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30"/>
  <workbookPr codeName="ThisWorkbook" defaultThemeVersion="124226"/>
  <mc:AlternateContent xmlns:mc="http://schemas.openxmlformats.org/markup-compatibility/2006">
    <mc:Choice Requires="x15">
      <x15ac:absPath xmlns:x15ac="http://schemas.microsoft.com/office/spreadsheetml/2010/11/ac" url="J:\13\13061 - MassDOT Design &amp; Review Services\2013061.60 - Ch. 90 New Guidance Doc\Project\current\Cost Estimating Tool\Bi-Annual Updates\June 2024\"/>
    </mc:Choice>
  </mc:AlternateContent>
  <xr:revisionPtr revIDLastSave="0" documentId="13_ncr:1_{1B5AE304-A596-4F99-9743-245008E41035}" xr6:coauthVersionLast="47" xr6:coauthVersionMax="47" xr10:uidLastSave="{00000000-0000-0000-0000-000000000000}"/>
  <workbookProtection workbookAlgorithmName="SHA-512" workbookHashValue="4atxeP8x9fU1QRR8aConmiqGZVlJ6IPg84XD+SMN7CXTLAIC1Dt3pETIFhpl6I5voQ6hlTADGfv/U1PVCp/EkA==" workbookSaltValue="Ae866E+s0HNgPw3atktI+Q==" workbookSpinCount="100000" lockStructure="1"/>
  <bookViews>
    <workbookView xWindow="-120" yWindow="-120" windowWidth="25440" windowHeight="15390" tabRatio="867" xr2:uid="{30E5AC8F-65E0-4907-A8FA-020C6502D9D2}"/>
  </bookViews>
  <sheets>
    <sheet name="INSTRUCTIONS" sheetId="1077" r:id="rId1"/>
    <sheet name="BasicProjectData" sheetId="1049" r:id="rId2"/>
    <sheet name="Roadway" sheetId="1040" r:id="rId3"/>
    <sheet name="Multimodal" sheetId="1042" r:id="rId4"/>
    <sheet name="Pavement" sheetId="1041" r:id="rId5"/>
    <sheet name="TrafficControl" sheetId="1034" r:id="rId6"/>
    <sheet name="MiscItems" sheetId="1075" r:id="rId7"/>
    <sheet name="ProjectSummary" sheetId="1046" r:id="rId8"/>
    <sheet name="ProjectEstimate" sheetId="1085" r:id="rId9"/>
    <sheet name="AREA" sheetId="296" r:id="rId10"/>
    <sheet name="PVMTPRES" sheetId="1053" r:id="rId11"/>
    <sheet name="DESIGN" sheetId="1030" r:id="rId12"/>
    <sheet name="CIVIL" sheetId="890" r:id="rId13"/>
    <sheet name="EDGING" sheetId="1024" r:id="rId14"/>
    <sheet name="DRAINAGE" sheetId="1023" r:id="rId15"/>
    <sheet name="LIGHTING" sheetId="1018" r:id="rId16"/>
    <sheet name="TRAFFIC" sheetId="1071" r:id="rId17"/>
    <sheet name="SIGNAL" sheetId="1048" r:id="rId18"/>
    <sheet name="AMENITIES" sheetId="1078" r:id="rId19"/>
    <sheet name="OUTPUT" sheetId="1072" state="hidden" r:id="rId20"/>
    <sheet name="HIDDEN" sheetId="1043" state="hidden" r:id="rId21"/>
    <sheet name="ITEMS LIST" sheetId="1076" state="hidden" r:id="rId22"/>
    <sheet name="PRICES" sheetId="1050" r:id="rId23"/>
    <sheet name="OLD" sheetId="1086" state="hidden" r:id="rId24"/>
  </sheets>
  <definedNames>
    <definedName name="_xlnm._FilterDatabase" localSheetId="21" hidden="1">'ITEMS LIST'!$B$1:$D$1</definedName>
    <definedName name="_xlnm._FilterDatabase" localSheetId="23" hidden="1">OLD!$I$1:$K$3641</definedName>
    <definedName name="_xlnm._FilterDatabase" localSheetId="19" hidden="1">OUTPUT!$A$7:$F$247</definedName>
    <definedName name="_xlnm._FilterDatabase" localSheetId="22" hidden="1">PRICES!$I$1:$K$3641</definedName>
    <definedName name="_xlnm._FilterDatabase" localSheetId="8" hidden="1">ProjectEstimate!$A$7:$F$248</definedName>
    <definedName name="avgLengthCulverts1">Roadway!$G$27</definedName>
    <definedName name="avgLengthCulverts2">Roadway!$H$27</definedName>
    <definedName name="avgLengthCulverts3">Roadway!$I$27</definedName>
    <definedName name="avgLengthCulverts4">Roadway!$J$27</definedName>
    <definedName name="balanceStoneWallAvgHeight">Roadway!$E$37</definedName>
    <definedName name="balanceStoneWallHappensExisting">Roadway!$E$40</definedName>
    <definedName name="balanceStoneWallTotalExistingLength">Roadway!$E$39</definedName>
    <definedName name="balanceStoneWallTotalNewLength">Roadway!$E$38</definedName>
    <definedName name="Condition">HIDDEN!$F$45:$F$47</definedName>
    <definedName name="Construction">HIDDEN!$J$45:$J$48</definedName>
    <definedName name="culvertExtensions1">Roadway!$G$26</definedName>
    <definedName name="culvertExtensions2">Roadway!$H$26</definedName>
    <definedName name="culvertExtensions3">Roadway!$I$26</definedName>
    <definedName name="culvertExtensions4">Roadway!$J$26</definedName>
    <definedName name="culvertType1">Roadway!$G$28</definedName>
    <definedName name="culvertType2">Roadway!$H$28</definedName>
    <definedName name="culvertType3">Roadway!$I$28</definedName>
    <definedName name="culvertType4">Roadway!$J$28</definedName>
    <definedName name="curbExtensions1">Roadway!$G$17</definedName>
    <definedName name="curbExtensions2">Roadway!$H$17</definedName>
    <definedName name="curbExtensions3">Roadway!$I$17</definedName>
    <definedName name="curbExtensions4">Roadway!$J$17</definedName>
    <definedName name="curbRamps1">Roadway!$G$16</definedName>
    <definedName name="curbRamps2">Roadway!$H$16</definedName>
    <definedName name="curbRamps3">Roadway!$I$16</definedName>
    <definedName name="curbRamps4">Roadway!$J$16</definedName>
    <definedName name="Design">HIDDEN!$H$14:$H$17</definedName>
    <definedName name="Detection">HIDDEN!$E$45:$E$47</definedName>
    <definedName name="Districts">HIDDEN!$AB$2:$AB$354</definedName>
    <definedName name="drivewaysRoad1">Roadway!$G$31</definedName>
    <definedName name="drivewaysRoad2">Roadway!$H$31</definedName>
    <definedName name="drivewaysRoad3">Roadway!$I$31</definedName>
    <definedName name="drivewaysRoad4">Roadway!$J$31</definedName>
    <definedName name="exDrainageCon1">Roadway!$G$24</definedName>
    <definedName name="exDrainageCon2">Roadway!$H$24</definedName>
    <definedName name="exDrainageCon3">Roadway!$I$24</definedName>
    <definedName name="exDrainageCon4">Roadway!$J$24</definedName>
    <definedName name="expectedConstructionYear">BasicProjectData!$G$13</definedName>
    <definedName name="exRoadwayWidth1">Roadway!$G$8</definedName>
    <definedName name="exRoadwayWidth2">Roadway!$H$8</definedName>
    <definedName name="exRoadwayWidth3">Roadway!$I$8</definedName>
    <definedName name="exRoadwayWidth4">Roadway!$J$8</definedName>
    <definedName name="headwallType1">Roadway!$G$29</definedName>
    <definedName name="headwallType2">Roadway!$H$29</definedName>
    <definedName name="headwallType3">Roadway!$I$29</definedName>
    <definedName name="headwallType4">Roadway!$J$29</definedName>
    <definedName name="includeDesignOrTTCP">BasicProjectData!$I$15</definedName>
    <definedName name="Intersection">HIDDEN!$C$45:$C$47</definedName>
    <definedName name="Intersection_Legs">HIDDEN!$H$45:$H$47</definedName>
    <definedName name="ItemsListSections">'ITEMS LIST'!$E$1:$E$9</definedName>
    <definedName name="leftBikeBufferMaterial1">Multimodal!$G$19</definedName>
    <definedName name="leftBikeBufferWidth1">Multimodal!$G$18</definedName>
    <definedName name="leftBikeFacilitiesMaterial1">Multimodal!$G$16</definedName>
    <definedName name="leftBikeFacilityAvgWidth1">Multimodal!$G$17</definedName>
    <definedName name="leftPedBufferMaterial1">Multimodal!$G$13</definedName>
    <definedName name="leftPedBufferWidth1">Multimodal!$G$12</definedName>
    <definedName name="leftPedFacilitiesAvgWidth1">Multimodal!$G$11</definedName>
    <definedName name="leftPedFacilitiesMaterial1">Multimodal!$G$10</definedName>
    <definedName name="leftPropBikeAccomodations1">Multimodal!$G$15</definedName>
    <definedName name="leftPropPedAccomodations1">Multimodal!$G$9</definedName>
    <definedName name="leftPropPedAccomodations2">Multimodal!$H$9</definedName>
    <definedName name="leftPropPedAccomodations3">Multimodal!$I$9</definedName>
    <definedName name="leftPropPedAccomodations4">Multimodal!$J$9</definedName>
    <definedName name="Midblock">HIDDEN!$D$45:$D$47</definedName>
    <definedName name="mixedTreatmentPercentFD1">Roadway!$G$11</definedName>
    <definedName name="mixedTreatmentPercentFD2">Roadway!$H$11</definedName>
    <definedName name="mixedTreatmentPercentFD3">Roadway!$I$11</definedName>
    <definedName name="mixedTreatmentPercentFD4">Roadway!$J$11</definedName>
    <definedName name="mmAmmenitiesBenches">Multimodal!$I$37</definedName>
    <definedName name="mmAmmenitiesBikeBoxes">Multimodal!$I$39</definedName>
    <definedName name="mmAmmenitiesBikeDrainGrates">Multimodal!$I$40</definedName>
    <definedName name="mmAmmenitiesBikeRacks">Multimodal!$I$35</definedName>
    <definedName name="mmAmmenitiesBusShelters">Multimodal!$I$38</definedName>
    <definedName name="mmAmmenitiesWayfindingSigns">Multimodal!$I$36</definedName>
    <definedName name="Municipalities">HIDDEN!$AA$2:$AA$354</definedName>
    <definedName name="numberOfProjectRoadways">BasicProjectData!$I$20</definedName>
    <definedName name="Options">HIDDEN!$E$62:$E$64</definedName>
    <definedName name="Ped_Accom">" "</definedName>
    <definedName name="pedIslands1">Roadway!$G$18</definedName>
    <definedName name="pedIslands2">Roadway!$H$18</definedName>
    <definedName name="pedIslands3">Roadway!$I$18</definedName>
    <definedName name="pedIslands4">Roadway!$J$18</definedName>
    <definedName name="pedScaleLightingTotalLength">Multimodal!$I$43</definedName>
    <definedName name="Preservation">HIDDEN!$J$63:$J$82</definedName>
    <definedName name="_xlnm.Print_Area" localSheetId="18">AMENITIES!$B$2:$L$26</definedName>
    <definedName name="_xlnm.Print_Area" localSheetId="9">AREA!$B$2:$M$67</definedName>
    <definedName name="_xlnm.Print_Area" localSheetId="1">BasicProjectData!$B$2:$K$35</definedName>
    <definedName name="_xlnm.Print_Area" localSheetId="12">CIVIL!$B$2:$L$248</definedName>
    <definedName name="_xlnm.Print_Area" localSheetId="11">DESIGN!$B$2:$K$41</definedName>
    <definedName name="_xlnm.Print_Area" localSheetId="14">DRAINAGE!$B$2:$M$242</definedName>
    <definedName name="_xlnm.Print_Area" localSheetId="13">EDGING!$B$2:$L$177</definedName>
    <definedName name="_xlnm.Print_Area" localSheetId="0">INSTRUCTIONS!$B$2:$K$38</definedName>
    <definedName name="_xlnm.Print_Area" localSheetId="15">LIGHTING!$B$2:$K$62</definedName>
    <definedName name="_xlnm.Print_Area" localSheetId="6">MiscItems!$B$2:$K$113</definedName>
    <definedName name="_xlnm.Print_Area" localSheetId="3">Multimodal!$B$2:$K$49</definedName>
    <definedName name="_xlnm.Print_Area" localSheetId="19">OUTPUT!$A$1:$F$247</definedName>
    <definedName name="_xlnm.Print_Area" localSheetId="4">Pavement!$B$2:$L$35</definedName>
    <definedName name="_xlnm.Print_Area" localSheetId="8">ProjectEstimate!$A$1:$G$248</definedName>
    <definedName name="_xlnm.Print_Area" localSheetId="7">ProjectSummary!$B$2:$K$37</definedName>
    <definedName name="_xlnm.Print_Area" localSheetId="10">PVMTPRES!$B$1:$Q$34</definedName>
    <definedName name="_xlnm.Print_Area" localSheetId="2">Roadway!$B$2:$K$52</definedName>
    <definedName name="_xlnm.Print_Area" localSheetId="17">SIGNAL!$B$2:$L$142</definedName>
    <definedName name="_xlnm.Print_Area" localSheetId="16">TRAFFIC!$B$1:$M$101</definedName>
    <definedName name="_xlnm.Print_Area" localSheetId="5">TrafficControl!$B$2:$K$45</definedName>
    <definedName name="_xlnm.Print_Titles" localSheetId="9">AREA!$2:$5</definedName>
    <definedName name="Project_Type">HIDDEN!$B$3:$B$5</definedName>
    <definedName name="projectFundingSource">BasicProjectData!$E$11</definedName>
    <definedName name="projectMassDOTDistrict">BasicProjectData!$G$18</definedName>
    <definedName name="projectMunicipality">BasicProjectData!$G$17</definedName>
    <definedName name="projectName">BasicProjectData!$E$7</definedName>
    <definedName name="projectNumber">BasicProjectData!$E$9</definedName>
    <definedName name="propBikeSignals">Multimodal!$I$45</definedName>
    <definedName name="propCurbLeft1">Roadway!$G$13</definedName>
    <definedName name="propCurbLeft2">Roadway!$H$13</definedName>
    <definedName name="propCurbLeft3">Roadway!$I$13</definedName>
    <definedName name="propCurbLeft4">Roadway!$J$13</definedName>
    <definedName name="propCurbRight1">Roadway!$G$14</definedName>
    <definedName name="propCurbRight2">Roadway!$H$14</definedName>
    <definedName name="propCurbRight3">Roadway!$I$14</definedName>
    <definedName name="propCurbRight4">Roadway!$J$14</definedName>
    <definedName name="propDrainageCon1">Roadway!$G$25</definedName>
    <definedName name="propDrainageCon2">Roadway!$H$25</definedName>
    <definedName name="propDrainageCon3">Roadway!$I$25</definedName>
    <definedName name="propDrainageCon4">Roadway!$J$25</definedName>
    <definedName name="propDrivewayMaterial1">Roadway!$G$32</definedName>
    <definedName name="propDrivewayMaterial2">Roadway!$H$32</definedName>
    <definedName name="propDrivewayMaterial3">Roadway!$I$32</definedName>
    <definedName name="propDrivewayMaterial4">Roadway!$J$32</definedName>
    <definedName name="propGreenBikeCrossings">Multimodal!$I$47</definedName>
    <definedName name="propGreenBikeDrivewayCrossings">Multimodal!$I$48</definedName>
    <definedName name="propMedianLength1">Roadway!$G$20</definedName>
    <definedName name="propMedianLength2">Roadway!$H$20</definedName>
    <definedName name="propMedianLength3">Roadway!$I$20</definedName>
    <definedName name="propMedianLength4">Roadway!$J$20</definedName>
    <definedName name="propMedianMaterial1">Roadway!$G$22</definedName>
    <definedName name="propMedianMaterial2">Roadway!$H$22</definedName>
    <definedName name="propMedianMaterial3">Roadway!$I$22</definedName>
    <definedName name="propMedianMaterial4">Roadway!$J$22</definedName>
    <definedName name="propMedianWidth1">Roadway!$G$21</definedName>
    <definedName name="propMedianWidth2">Roadway!$H$21</definedName>
    <definedName name="propMedianWidth3">Roadway!$I$21</definedName>
    <definedName name="propMedianWidth4">Roadway!$J$21</definedName>
    <definedName name="propPavementTreatment1">Roadway!$G$10</definedName>
    <definedName name="propPavementTreatment2">Roadway!$H$10</definedName>
    <definedName name="propPavementTreatment3">Roadway!$I$10</definedName>
    <definedName name="propPavementTreatment4">Roadway!$J$10</definedName>
    <definedName name="propRoadwayWidth1">Roadway!$G$9</definedName>
    <definedName name="propRoadwayWidth2">Roadway!$H$9</definedName>
    <definedName name="propRoadwayWidth3">Roadway!$I$9</definedName>
    <definedName name="propRoadwayWidth4">Roadway!$J$9</definedName>
    <definedName name="raisedCrossingLength1">Roadway!$G$34</definedName>
    <definedName name="raisedCrossingLength2">Roadway!$H$34</definedName>
    <definedName name="raisedCrossingLength3">Roadway!$I$34</definedName>
    <definedName name="raisedCrossingLength4">Roadway!$J$34</definedName>
    <definedName name="Resurfacing">HIDDEN!$I$62:$I$63</definedName>
    <definedName name="roadsideChainLinkFenceHappensExisting">Roadway!$H$45</definedName>
    <definedName name="roadsideChainLinkFenceTotalExistingLength">Roadway!$H$44</definedName>
    <definedName name="roadsideChainLinkFenceTotalNewLength">Roadway!$H$43</definedName>
    <definedName name="roadsideConcreteBarrierHappensExisting">Roadway!$F$45</definedName>
    <definedName name="roadsideConcreteBarrierTotalExistingLength">Roadway!$F$44</definedName>
    <definedName name="roadsideConcreteBarrierTotalNewLength">Roadway!$F$43</definedName>
    <definedName name="roadsideGuardrailHappensExisting">Roadway!$E$45</definedName>
    <definedName name="roadsideGuardrailTotalExistingLength">Roadway!$E$44</definedName>
    <definedName name="roadsideGuardrailTotalNewLength">Roadway!$E$43</definedName>
    <definedName name="roadsideWoodRailFenceHappensExisting">Roadway!$G$45</definedName>
    <definedName name="roadsideWoodRailFenceTotalExistingLength">Roadway!$G$44</definedName>
    <definedName name="roadsideWoodRailFenceTotalNewLength">Roadway!$G$43</definedName>
    <definedName name="roadwayLength1">BasicProjectData!$G$22</definedName>
    <definedName name="roadwayLength2">BasicProjectData!$H$22</definedName>
    <definedName name="roadwayLength3">BasicProjectData!$I$22</definedName>
    <definedName name="roadwayLength4">BasicProjectData!$J$22</definedName>
    <definedName name="roadwayName1">BasicProjectData!$G$21</definedName>
    <definedName name="roadwayName2">BasicProjectData!$H$21</definedName>
    <definedName name="roadwayName3">BasicProjectData!$I$21</definedName>
    <definedName name="roadwayName4">BasicProjectData!$J$21</definedName>
    <definedName name="roadwayProjectLighting">Roadway!$H$47</definedName>
    <definedName name="Section100_Earthwork">'ITEMS LIST'!$A$2:$A$259</definedName>
    <definedName name="Section200_Drainage">'ITEMS LIST'!$A$260:$A$557</definedName>
    <definedName name="Section300_Water">'ITEMS LIST'!$A$558:$A$754</definedName>
    <definedName name="Section400_Pavement">'ITEMS LIST'!$A$755:$A$854</definedName>
    <definedName name="Section500_Edging">'ITEMS LIST'!$A$855:$A$919</definedName>
    <definedName name="Section600_Guard_Fence_Wall">'ITEMS LIST'!$A$920:$A$1103</definedName>
    <definedName name="Section700_Incidental">'ITEMS LIST'!$A$1104:$A$1785</definedName>
    <definedName name="Section800_TrafficControl">'ITEMS LIST'!$A$1786:$A$2247</definedName>
    <definedName name="Section900_Structures">'ITEMS LIST'!$A$2248:$A$2655</definedName>
    <definedName name="Sheets">HIDDEN!$B$52:$B$55</definedName>
    <definedName name="signageRelocatingOrReplacement">Roadway!$H$52</definedName>
    <definedName name="Signal_Timing">HIDDEN!$G$45:$G$48</definedName>
    <definedName name="Signs">HIDDEN!$K$45:$K$48</definedName>
    <definedName name="Timing">HIDDEN!$G$45:$G$48</definedName>
    <definedName name="Type">HIDDEN!$B$45:$B$46</definedName>
    <definedName name="utilityPoleRelocations">Roadway!$H$50</definedName>
    <definedName name="wallBalanceStoneAvgHeight">Roadway!$E$37</definedName>
    <definedName name="wallBalanceStoneHappensExisting">Roadway!$E$40</definedName>
    <definedName name="wallBalanceStoneTotalExistingLength">Roadway!$E$39</definedName>
    <definedName name="wallBalanceStoneTotalNewLength">Roadway!$E$38</definedName>
    <definedName name="wallConcreteAverageHeight">Roadway!$G$37</definedName>
    <definedName name="wallConcreteHappensExisting">Roadway!$G$40</definedName>
    <definedName name="wallConcreteTotalExistingLength">Roadway!$G$39</definedName>
    <definedName name="wallConcreteTotalNewLength">Roadway!$G$38</definedName>
    <definedName name="wallGraniteCurbAverageHeight">Roadway!$I$37</definedName>
    <definedName name="wallGraniteCurbHappensExisting">Roadway!$I$40</definedName>
    <definedName name="wallGraniteCurbTotalExistingLength">Roadway!$I$39</definedName>
    <definedName name="wallGraniteCurbTotalNewLength">Roadway!$I$38</definedName>
    <definedName name="wallModularBlockAverageHeight">Roadway!$H$37</definedName>
    <definedName name="wallModularBlockHappensExisting">Roadway!$H$40</definedName>
    <definedName name="wallModularBlockTotalExistingLength">Roadway!$H$39</definedName>
    <definedName name="wallModularBlockTotalNewLength">Roadway!$H$38</definedName>
    <definedName name="wallStoneMasonryAverageHeight">Roadway!$F$37</definedName>
    <definedName name="wallStoneMasonryHappensExisting">Roadway!$F$40</definedName>
    <definedName name="wallStoneMasonryTotalExistingLength">Roadway!$F$39</definedName>
    <definedName name="wallStoneMasonryTotalNewLength">Roadway!$F$38</definedName>
    <definedName name="Yes_No">HIDDEN!$G$14:$G$15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8" i="1072" l="1"/>
  <c r="C8" i="1077"/>
  <c r="E123" i="1072"/>
  <c r="E102" i="1072"/>
  <c r="E105" i="1072"/>
  <c r="E106" i="1072"/>
  <c r="E107" i="1072"/>
  <c r="E110" i="1072"/>
  <c r="E112" i="1072"/>
  <c r="E101" i="1072"/>
  <c r="E91" i="1072"/>
  <c r="E69" i="1072"/>
  <c r="E76" i="1072"/>
  <c r="E44" i="1072"/>
  <c r="E13" i="1072"/>
  <c r="E14" i="1072"/>
  <c r="E29" i="1072"/>
  <c r="E30" i="1072"/>
  <c r="E34" i="1072"/>
  <c r="E35" i="1072"/>
  <c r="H14" i="1041" l="1" a="1"/>
  <c r="H14" i="1041" s="1"/>
  <c r="F1" i="1042"/>
  <c r="D16" i="1077"/>
  <c r="H24" i="1075" l="1" a="1"/>
  <c r="H24" i="1075" s="1"/>
  <c r="C37" i="1046"/>
  <c r="B6" i="1085" s="1"/>
  <c r="K136" i="1048"/>
  <c r="K137" i="1048"/>
  <c r="K107" i="1048"/>
  <c r="K108" i="1048"/>
  <c r="K78" i="1048"/>
  <c r="K79" i="1048"/>
  <c r="J29" i="1048"/>
  <c r="K29" i="1048" s="1"/>
  <c r="G14" i="1075"/>
  <c r="G15" i="1075"/>
  <c r="G16" i="1075"/>
  <c r="G17" i="1075"/>
  <c r="G18" i="1075"/>
  <c r="G19" i="1075"/>
  <c r="G20" i="1075"/>
  <c r="G21" i="1075"/>
  <c r="G22" i="1075"/>
  <c r="G23" i="1075"/>
  <c r="G24" i="1075"/>
  <c r="G25" i="1075"/>
  <c r="G26" i="1075"/>
  <c r="G27" i="1075"/>
  <c r="G28" i="1075"/>
  <c r="G29" i="1075"/>
  <c r="G30" i="1075"/>
  <c r="G31" i="1075"/>
  <c r="G32" i="1075"/>
  <c r="G33" i="1075"/>
  <c r="G34" i="1075"/>
  <c r="G35" i="1075"/>
  <c r="G36" i="1075"/>
  <c r="G37" i="1075"/>
  <c r="G38" i="1075"/>
  <c r="G39" i="1075"/>
  <c r="G40" i="1075"/>
  <c r="G41" i="1075"/>
  <c r="G42" i="1075"/>
  <c r="G43" i="1075"/>
  <c r="G44" i="1075"/>
  <c r="G45" i="1075"/>
  <c r="G46" i="1075"/>
  <c r="G47" i="1075"/>
  <c r="G48" i="1075"/>
  <c r="G49" i="1075"/>
  <c r="G50" i="1075"/>
  <c r="G51" i="1075"/>
  <c r="G52" i="1075"/>
  <c r="G53" i="1075"/>
  <c r="G54" i="1075"/>
  <c r="G55" i="1075"/>
  <c r="G56" i="1075"/>
  <c r="G57" i="1075"/>
  <c r="G58" i="1075"/>
  <c r="G59" i="1075"/>
  <c r="G60" i="1075"/>
  <c r="G61" i="1075"/>
  <c r="G62" i="1075"/>
  <c r="G63" i="1075"/>
  <c r="G64" i="1075"/>
  <c r="G65" i="1075"/>
  <c r="G66" i="1075"/>
  <c r="G67" i="1075"/>
  <c r="G68" i="1075"/>
  <c r="G69" i="1075"/>
  <c r="G70" i="1075"/>
  <c r="G71" i="1075"/>
  <c r="G72" i="1075"/>
  <c r="G73" i="1075"/>
  <c r="G74" i="1075"/>
  <c r="G75" i="1075"/>
  <c r="G76" i="1075"/>
  <c r="G77" i="1075"/>
  <c r="G78" i="1075"/>
  <c r="G79" i="1075"/>
  <c r="G80" i="1075"/>
  <c r="G81" i="1075"/>
  <c r="G82" i="1075"/>
  <c r="G83" i="1075"/>
  <c r="G84" i="1075"/>
  <c r="G85" i="1075"/>
  <c r="G86" i="1075"/>
  <c r="G87" i="1075"/>
  <c r="G88" i="1075"/>
  <c r="G89" i="1075"/>
  <c r="G90" i="1075"/>
  <c r="G91" i="1075"/>
  <c r="G92" i="1075"/>
  <c r="G93" i="1075"/>
  <c r="G94" i="1075"/>
  <c r="G95" i="1075"/>
  <c r="G96" i="1075"/>
  <c r="G97" i="1075"/>
  <c r="G98" i="1075"/>
  <c r="G99" i="1075"/>
  <c r="G100" i="1075"/>
  <c r="G101" i="1075"/>
  <c r="G102" i="1075"/>
  <c r="G103" i="1075"/>
  <c r="G104" i="1075"/>
  <c r="G105" i="1075"/>
  <c r="G106" i="1075"/>
  <c r="G107" i="1075"/>
  <c r="G108" i="1075"/>
  <c r="G109" i="1075"/>
  <c r="G110" i="1075"/>
  <c r="G111" i="1075"/>
  <c r="G112" i="1075"/>
  <c r="G113" i="1075"/>
  <c r="H19" i="1075" a="1"/>
  <c r="H19" i="1075" s="1"/>
  <c r="G14" i="1041" a="1"/>
  <c r="G14" i="1041" s="1"/>
  <c r="G18" i="1049" l="1"/>
  <c r="G13" i="1072"/>
  <c r="G14" i="1072"/>
  <c r="G15" i="1072"/>
  <c r="G16" i="1072"/>
  <c r="G17" i="1072"/>
  <c r="G18" i="1072"/>
  <c r="G19" i="1072"/>
  <c r="G20" i="1072"/>
  <c r="G21" i="1072"/>
  <c r="G22" i="1072"/>
  <c r="G23" i="1072"/>
  <c r="G24" i="1072"/>
  <c r="G25" i="1072"/>
  <c r="G26" i="1072"/>
  <c r="G27" i="1072"/>
  <c r="G28" i="1072"/>
  <c r="G29" i="1072"/>
  <c r="G30" i="1072"/>
  <c r="G31" i="1072"/>
  <c r="G32" i="1072"/>
  <c r="G33" i="1072"/>
  <c r="G34" i="1072"/>
  <c r="G35" i="1072"/>
  <c r="G36" i="1072"/>
  <c r="G37" i="1072"/>
  <c r="G38" i="1072"/>
  <c r="G39" i="1072"/>
  <c r="G40" i="1072"/>
  <c r="G41" i="1072"/>
  <c r="G42" i="1072"/>
  <c r="G43" i="1072"/>
  <c r="G44" i="1072"/>
  <c r="G45" i="1072"/>
  <c r="G46" i="1072"/>
  <c r="G47" i="1072"/>
  <c r="G48" i="1072"/>
  <c r="G49" i="1072"/>
  <c r="G50" i="1072"/>
  <c r="G51" i="1072"/>
  <c r="G52" i="1072"/>
  <c r="G53" i="1072"/>
  <c r="G54" i="1072"/>
  <c r="G55" i="1072"/>
  <c r="G56" i="1072"/>
  <c r="G57" i="1072"/>
  <c r="G58" i="1072"/>
  <c r="G59" i="1072"/>
  <c r="G60" i="1072"/>
  <c r="G61" i="1072"/>
  <c r="G62" i="1072"/>
  <c r="G63" i="1072"/>
  <c r="G64" i="1072"/>
  <c r="G65" i="1072"/>
  <c r="G66" i="1072"/>
  <c r="G67" i="1072"/>
  <c r="G68" i="1072"/>
  <c r="G69" i="1072"/>
  <c r="G70" i="1072"/>
  <c r="G71" i="1072"/>
  <c r="G72" i="1072"/>
  <c r="G73" i="1072"/>
  <c r="G74" i="1072"/>
  <c r="G75" i="1072"/>
  <c r="G76" i="1072"/>
  <c r="G77" i="1072"/>
  <c r="G78" i="1072"/>
  <c r="G79" i="1072"/>
  <c r="G80" i="1072"/>
  <c r="G81" i="1072"/>
  <c r="G82" i="1072"/>
  <c r="G83" i="1072"/>
  <c r="G84" i="1072"/>
  <c r="G85" i="1072"/>
  <c r="G86" i="1072"/>
  <c r="G87" i="1072"/>
  <c r="G88" i="1072"/>
  <c r="G89" i="1072"/>
  <c r="G90" i="1072"/>
  <c r="G91" i="1072"/>
  <c r="G92" i="1072"/>
  <c r="G93" i="1072"/>
  <c r="G94" i="1072"/>
  <c r="G95" i="1072"/>
  <c r="G96" i="1072"/>
  <c r="G97" i="1072"/>
  <c r="G98" i="1072"/>
  <c r="G99" i="1072"/>
  <c r="G100" i="1072"/>
  <c r="G101" i="1072"/>
  <c r="G102" i="1072"/>
  <c r="G103" i="1072"/>
  <c r="G104" i="1072"/>
  <c r="G105" i="1072"/>
  <c r="G106" i="1072"/>
  <c r="G107" i="1072"/>
  <c r="G108" i="1072"/>
  <c r="G109" i="1072"/>
  <c r="G110" i="1072"/>
  <c r="G111" i="1072"/>
  <c r="G112" i="1072"/>
  <c r="G113" i="1072"/>
  <c r="G114" i="1072"/>
  <c r="G115" i="1072"/>
  <c r="G116" i="1072"/>
  <c r="G117" i="1072"/>
  <c r="G118" i="1072"/>
  <c r="G119" i="1072"/>
  <c r="G120" i="1072"/>
  <c r="G121" i="1072"/>
  <c r="G122" i="1072"/>
  <c r="G123" i="1072"/>
  <c r="G124" i="1072"/>
  <c r="G125" i="1072"/>
  <c r="G126" i="1072"/>
  <c r="G127" i="1072"/>
  <c r="G128" i="1072"/>
  <c r="G129" i="1072"/>
  <c r="G130" i="1072"/>
  <c r="G131" i="1072"/>
  <c r="G132" i="1072"/>
  <c r="G133" i="1072"/>
  <c r="G134" i="1072"/>
  <c r="G135" i="1072"/>
  <c r="G136" i="1072"/>
  <c r="G137" i="1072"/>
  <c r="G138" i="1072"/>
  <c r="G139" i="1072"/>
  <c r="G140" i="1072"/>
  <c r="G141" i="1072"/>
  <c r="G142" i="1072"/>
  <c r="G143" i="1072"/>
  <c r="G144" i="1072"/>
  <c r="G145" i="1072"/>
  <c r="G12" i="1072"/>
  <c r="F27" i="1046"/>
  <c r="G10" i="1072"/>
  <c r="G11" i="1072"/>
  <c r="G9" i="1072"/>
  <c r="G13" i="1075"/>
  <c r="J133" i="1048"/>
  <c r="J104" i="1048"/>
  <c r="J75" i="1048"/>
  <c r="J46" i="1048"/>
  <c r="J140" i="1048"/>
  <c r="K140" i="1048" s="1"/>
  <c r="J139" i="1048"/>
  <c r="K139" i="1048" s="1"/>
  <c r="J138" i="1048"/>
  <c r="K138" i="1048" s="1"/>
  <c r="J137" i="1048"/>
  <c r="J136" i="1048"/>
  <c r="J135" i="1048"/>
  <c r="K135" i="1048" s="1"/>
  <c r="J130" i="1048"/>
  <c r="J127" i="1048"/>
  <c r="J126" i="1048"/>
  <c r="K126" i="1048" s="1"/>
  <c r="J125" i="1048"/>
  <c r="K125" i="1048" s="1"/>
  <c r="J118" i="1048"/>
  <c r="K118" i="1048" s="1"/>
  <c r="J117" i="1048"/>
  <c r="K117" i="1048" s="1"/>
  <c r="J116" i="1048"/>
  <c r="K116" i="1048" s="1"/>
  <c r="J111" i="1048"/>
  <c r="K111" i="1048" s="1"/>
  <c r="J110" i="1048"/>
  <c r="K110" i="1048" s="1"/>
  <c r="J109" i="1048"/>
  <c r="K109" i="1048" s="1"/>
  <c r="J108" i="1048"/>
  <c r="J107" i="1048"/>
  <c r="J106" i="1048"/>
  <c r="K106" i="1048" s="1"/>
  <c r="J101" i="1048"/>
  <c r="J98" i="1048"/>
  <c r="J97" i="1048"/>
  <c r="K97" i="1048" s="1"/>
  <c r="J96" i="1048"/>
  <c r="K96" i="1048" s="1"/>
  <c r="J89" i="1048"/>
  <c r="K89" i="1048" s="1"/>
  <c r="J88" i="1048"/>
  <c r="K88" i="1048" s="1"/>
  <c r="J87" i="1048"/>
  <c r="K87" i="1048" s="1"/>
  <c r="J82" i="1048"/>
  <c r="K82" i="1048" s="1"/>
  <c r="J81" i="1048"/>
  <c r="K81" i="1048" s="1"/>
  <c r="J80" i="1048"/>
  <c r="K80" i="1048" s="1"/>
  <c r="J79" i="1048"/>
  <c r="J78" i="1048"/>
  <c r="J77" i="1048"/>
  <c r="K77" i="1048" s="1"/>
  <c r="J72" i="1048"/>
  <c r="J69" i="1048"/>
  <c r="J68" i="1048"/>
  <c r="K68" i="1048" s="1"/>
  <c r="J67" i="1048"/>
  <c r="K67" i="1048" s="1"/>
  <c r="J60" i="1048"/>
  <c r="K60" i="1048" s="1"/>
  <c r="J59" i="1048"/>
  <c r="K59" i="1048" s="1"/>
  <c r="J58" i="1048"/>
  <c r="K58" i="1048" s="1"/>
  <c r="J53" i="1048"/>
  <c r="K53" i="1048" s="1"/>
  <c r="J52" i="1048"/>
  <c r="K52" i="1048" s="1"/>
  <c r="J51" i="1048"/>
  <c r="K51" i="1048" s="1"/>
  <c r="J50" i="1048"/>
  <c r="K50" i="1048" s="1"/>
  <c r="J49" i="1048"/>
  <c r="K49" i="1048" s="1"/>
  <c r="J40" i="1048"/>
  <c r="J39" i="1048"/>
  <c r="K39" i="1048" s="1"/>
  <c r="J31" i="1048"/>
  <c r="K31" i="1048" s="1"/>
  <c r="J30" i="1048"/>
  <c r="K30" i="1048" s="1"/>
  <c r="D33" i="1046"/>
  <c r="I20" i="1030"/>
  <c r="J128" i="1048" l="1"/>
  <c r="K127" i="1048"/>
  <c r="J131" i="1048"/>
  <c r="K131" i="1048" s="1"/>
  <c r="K130" i="1048"/>
  <c r="J99" i="1048"/>
  <c r="K98" i="1048"/>
  <c r="J70" i="1048"/>
  <c r="K69" i="1048"/>
  <c r="J41" i="1048"/>
  <c r="K40" i="1048"/>
  <c r="J102" i="1048"/>
  <c r="K102" i="1048" s="1"/>
  <c r="K101" i="1048"/>
  <c r="J73" i="1048"/>
  <c r="K73" i="1048" s="1"/>
  <c r="K72" i="1048"/>
  <c r="J134" i="1048"/>
  <c r="K134" i="1048" s="1"/>
  <c r="K133" i="1048"/>
  <c r="J105" i="1048"/>
  <c r="K105" i="1048" s="1"/>
  <c r="K104" i="1048"/>
  <c r="J76" i="1048"/>
  <c r="K76" i="1048" s="1"/>
  <c r="K75" i="1048"/>
  <c r="J47" i="1048"/>
  <c r="K47" i="1048" s="1"/>
  <c r="K46" i="1048"/>
  <c r="C4" i="1034"/>
  <c r="C4" i="1075"/>
  <c r="C4" i="1042"/>
  <c r="C4" i="1041"/>
  <c r="C4" i="1049"/>
  <c r="C4" i="1040"/>
  <c r="F54" i="1072"/>
  <c r="D54" i="1072"/>
  <c r="B98" i="1072"/>
  <c r="C98" i="1072"/>
  <c r="B99" i="1072"/>
  <c r="C99" i="1072"/>
  <c r="C97" i="1072"/>
  <c r="B97" i="1072"/>
  <c r="B114" i="1072"/>
  <c r="C114" i="1072"/>
  <c r="B115" i="1072"/>
  <c r="C115" i="1072"/>
  <c r="B116" i="1072"/>
  <c r="C116" i="1072"/>
  <c r="B117" i="1072"/>
  <c r="C117" i="1072"/>
  <c r="B118" i="1072"/>
  <c r="C118" i="1072"/>
  <c r="B119" i="1072"/>
  <c r="C119" i="1072"/>
  <c r="B120" i="1072"/>
  <c r="C120" i="1072"/>
  <c r="B121" i="1072"/>
  <c r="C121" i="1072"/>
  <c r="B122" i="1072"/>
  <c r="C122" i="1072"/>
  <c r="C111" i="1072"/>
  <c r="B111" i="1072"/>
  <c r="B109" i="1072"/>
  <c r="C109" i="1072"/>
  <c r="C113" i="1072"/>
  <c r="B113" i="1072"/>
  <c r="C108" i="1072"/>
  <c r="B108" i="1072"/>
  <c r="C103" i="1072"/>
  <c r="B103" i="1072"/>
  <c r="C92" i="1072"/>
  <c r="B92" i="1072"/>
  <c r="C91" i="1072"/>
  <c r="B91" i="1072"/>
  <c r="B83" i="1072"/>
  <c r="C83" i="1072"/>
  <c r="B84" i="1072"/>
  <c r="C84" i="1072"/>
  <c r="B85" i="1072"/>
  <c r="C85" i="1072"/>
  <c r="B86" i="1072"/>
  <c r="C86" i="1072"/>
  <c r="B87" i="1072"/>
  <c r="C87" i="1072"/>
  <c r="B88" i="1072"/>
  <c r="C88" i="1072"/>
  <c r="B89" i="1072"/>
  <c r="C89" i="1072"/>
  <c r="C82" i="1072"/>
  <c r="B82" i="1072"/>
  <c r="C81" i="1072"/>
  <c r="B81" i="1072"/>
  <c r="C80" i="1072"/>
  <c r="B80" i="1072"/>
  <c r="C79" i="1072"/>
  <c r="B79" i="1072"/>
  <c r="C78" i="1072"/>
  <c r="B78" i="1072"/>
  <c r="C77" i="1072"/>
  <c r="B77" i="1072"/>
  <c r="B71" i="1072"/>
  <c r="C71" i="1072"/>
  <c r="B72" i="1072"/>
  <c r="C72" i="1072"/>
  <c r="B73" i="1072"/>
  <c r="C73" i="1072"/>
  <c r="B74" i="1072"/>
  <c r="C74" i="1072"/>
  <c r="B75" i="1072"/>
  <c r="C75" i="1072"/>
  <c r="C70" i="1072"/>
  <c r="B70" i="1072"/>
  <c r="B46" i="1072"/>
  <c r="C46" i="1072"/>
  <c r="B47" i="1072"/>
  <c r="C47" i="1072"/>
  <c r="B48" i="1072"/>
  <c r="C48" i="1072"/>
  <c r="B49" i="1072"/>
  <c r="C49" i="1072"/>
  <c r="B50" i="1072"/>
  <c r="C50" i="1072"/>
  <c r="B51" i="1072"/>
  <c r="C51" i="1072"/>
  <c r="B52" i="1072"/>
  <c r="C52" i="1072"/>
  <c r="B53" i="1072"/>
  <c r="C53" i="1072"/>
  <c r="B54" i="1072"/>
  <c r="C54" i="1072"/>
  <c r="B55" i="1072"/>
  <c r="C55" i="1072"/>
  <c r="B56" i="1072"/>
  <c r="C56" i="1072"/>
  <c r="B57" i="1072"/>
  <c r="C57" i="1072"/>
  <c r="B58" i="1072"/>
  <c r="C58" i="1072"/>
  <c r="B59" i="1072"/>
  <c r="C59" i="1072"/>
  <c r="B60" i="1072"/>
  <c r="C60" i="1072"/>
  <c r="B61" i="1072"/>
  <c r="C61" i="1072"/>
  <c r="B62" i="1072"/>
  <c r="C62" i="1072"/>
  <c r="B63" i="1072"/>
  <c r="C63" i="1072"/>
  <c r="B64" i="1072"/>
  <c r="C64" i="1072"/>
  <c r="B65" i="1072"/>
  <c r="C65" i="1072"/>
  <c r="B66" i="1072"/>
  <c r="C66" i="1072"/>
  <c r="B67" i="1072"/>
  <c r="C67" i="1072"/>
  <c r="B68" i="1072"/>
  <c r="C68" i="1072"/>
  <c r="B37" i="1072"/>
  <c r="C37" i="1072"/>
  <c r="B38" i="1072"/>
  <c r="C38" i="1072"/>
  <c r="B39" i="1072"/>
  <c r="C39" i="1072"/>
  <c r="B40" i="1072"/>
  <c r="C40" i="1072"/>
  <c r="B41" i="1072"/>
  <c r="C41" i="1072"/>
  <c r="B42" i="1072"/>
  <c r="C42" i="1072"/>
  <c r="B43" i="1072"/>
  <c r="C43" i="1072"/>
  <c r="B31" i="1072"/>
  <c r="C31" i="1072"/>
  <c r="B32" i="1072"/>
  <c r="C32" i="1072"/>
  <c r="B33" i="1072"/>
  <c r="C33" i="1072"/>
  <c r="C45" i="1072"/>
  <c r="B45" i="1072"/>
  <c r="C36" i="1072"/>
  <c r="B36" i="1072"/>
  <c r="B16" i="1072"/>
  <c r="C16" i="1072"/>
  <c r="B17" i="1072"/>
  <c r="C17" i="1072"/>
  <c r="B18" i="1072"/>
  <c r="C18" i="1072"/>
  <c r="B19" i="1072"/>
  <c r="C19" i="1072"/>
  <c r="B20" i="1072"/>
  <c r="C20" i="1072"/>
  <c r="B21" i="1072"/>
  <c r="C21" i="1072"/>
  <c r="B22" i="1072"/>
  <c r="C22" i="1072"/>
  <c r="B23" i="1072"/>
  <c r="C23" i="1072"/>
  <c r="B24" i="1072"/>
  <c r="C24" i="1072"/>
  <c r="B25" i="1072"/>
  <c r="C25" i="1072"/>
  <c r="B26" i="1072"/>
  <c r="C26" i="1072"/>
  <c r="B27" i="1072"/>
  <c r="C27" i="1072"/>
  <c r="B28" i="1072"/>
  <c r="C28" i="1072"/>
  <c r="C15" i="1072"/>
  <c r="B15" i="1072"/>
  <c r="B10" i="1072"/>
  <c r="C10" i="1072"/>
  <c r="B11" i="1072"/>
  <c r="C11" i="1072"/>
  <c r="B12" i="1072"/>
  <c r="C12" i="1072"/>
  <c r="I10" i="1072" a="1"/>
  <c r="I10" i="1072" s="1"/>
  <c r="I11" i="1072" a="1"/>
  <c r="I11" i="1072" s="1"/>
  <c r="I12" i="1072" a="1"/>
  <c r="I12" i="1072" s="1"/>
  <c r="I13" i="1072" a="1"/>
  <c r="I13" i="1072" s="1"/>
  <c r="K13" i="1072" s="1"/>
  <c r="I14" i="1072" a="1"/>
  <c r="I14" i="1072" s="1"/>
  <c r="K14" i="1072" s="1"/>
  <c r="I15" i="1072" a="1"/>
  <c r="I15" i="1072" s="1"/>
  <c r="I16" i="1072" a="1"/>
  <c r="I16" i="1072" s="1"/>
  <c r="I17" i="1072" a="1"/>
  <c r="I17" i="1072" s="1"/>
  <c r="I18" i="1072" a="1"/>
  <c r="I18" i="1072" s="1"/>
  <c r="I19" i="1072" a="1"/>
  <c r="I19" i="1072" s="1"/>
  <c r="I20" i="1072" a="1"/>
  <c r="I20" i="1072" s="1"/>
  <c r="I21" i="1072" a="1"/>
  <c r="I21" i="1072" s="1"/>
  <c r="I22" i="1072" a="1"/>
  <c r="I22" i="1072" s="1"/>
  <c r="I23" i="1072" a="1"/>
  <c r="I23" i="1072" s="1"/>
  <c r="I24" i="1072" a="1"/>
  <c r="I24" i="1072" s="1"/>
  <c r="I25" i="1072" a="1"/>
  <c r="I25" i="1072" s="1"/>
  <c r="I26" i="1072" a="1"/>
  <c r="I26" i="1072" s="1"/>
  <c r="I27" i="1072" a="1"/>
  <c r="I27" i="1072" s="1"/>
  <c r="I28" i="1072" a="1"/>
  <c r="I28" i="1072" s="1"/>
  <c r="I29" i="1072" a="1"/>
  <c r="I29" i="1072" s="1"/>
  <c r="K29" i="1072" s="1"/>
  <c r="I30" i="1072" a="1"/>
  <c r="I30" i="1072" s="1"/>
  <c r="I31" i="1072" a="1"/>
  <c r="I31" i="1072" s="1"/>
  <c r="I32" i="1072" a="1"/>
  <c r="I32" i="1072" s="1"/>
  <c r="I33" i="1072" a="1"/>
  <c r="I33" i="1072" s="1"/>
  <c r="I34" i="1072" a="1"/>
  <c r="I34" i="1072" s="1"/>
  <c r="K34" i="1072" s="1"/>
  <c r="I35" i="1072" a="1"/>
  <c r="I35" i="1072" s="1"/>
  <c r="K35" i="1072" s="1"/>
  <c r="I36" i="1072" a="1"/>
  <c r="I36" i="1072" s="1"/>
  <c r="I37" i="1072" a="1"/>
  <c r="I37" i="1072" s="1"/>
  <c r="I38" i="1072" a="1"/>
  <c r="I38" i="1072" s="1"/>
  <c r="I39" i="1072" a="1"/>
  <c r="I39" i="1072" s="1"/>
  <c r="I40" i="1072" a="1"/>
  <c r="I40" i="1072" s="1"/>
  <c r="I41" i="1072" a="1"/>
  <c r="I41" i="1072" s="1"/>
  <c r="I42" i="1072" a="1"/>
  <c r="I42" i="1072" s="1"/>
  <c r="I43" i="1072" a="1"/>
  <c r="I43" i="1072" s="1"/>
  <c r="I44" i="1072" a="1"/>
  <c r="I44" i="1072" s="1"/>
  <c r="K44" i="1072" s="1"/>
  <c r="I45" i="1072" a="1"/>
  <c r="I45" i="1072" s="1"/>
  <c r="I46" i="1072" a="1"/>
  <c r="I46" i="1072" s="1"/>
  <c r="I47" i="1072" a="1"/>
  <c r="I47" i="1072" s="1"/>
  <c r="I48" i="1072" a="1"/>
  <c r="I48" i="1072" s="1"/>
  <c r="I49" i="1072" a="1"/>
  <c r="I49" i="1072" s="1"/>
  <c r="I50" i="1072" a="1"/>
  <c r="I50" i="1072" s="1"/>
  <c r="I51" i="1072" a="1"/>
  <c r="I51" i="1072" s="1"/>
  <c r="I52" i="1072" a="1"/>
  <c r="I52" i="1072" s="1"/>
  <c r="I53" i="1072" a="1"/>
  <c r="I53" i="1072" s="1"/>
  <c r="I54" i="1072" a="1"/>
  <c r="I54" i="1072" s="1"/>
  <c r="I55" i="1072" a="1"/>
  <c r="I55" i="1072" s="1"/>
  <c r="I56" i="1072" a="1"/>
  <c r="I56" i="1072" s="1"/>
  <c r="I57" i="1072" a="1"/>
  <c r="I57" i="1072" s="1"/>
  <c r="I58" i="1072" a="1"/>
  <c r="I58" i="1072" s="1"/>
  <c r="I59" i="1072" a="1"/>
  <c r="I59" i="1072" s="1"/>
  <c r="I60" i="1072" a="1"/>
  <c r="I60" i="1072" s="1"/>
  <c r="I61" i="1072" a="1"/>
  <c r="I61" i="1072" s="1"/>
  <c r="I62" i="1072" a="1"/>
  <c r="I62" i="1072" s="1"/>
  <c r="I63" i="1072" a="1"/>
  <c r="I63" i="1072" s="1"/>
  <c r="I64" i="1072" a="1"/>
  <c r="I64" i="1072" s="1"/>
  <c r="I65" i="1072" a="1"/>
  <c r="I65" i="1072" s="1"/>
  <c r="I66" i="1072" a="1"/>
  <c r="I66" i="1072" s="1"/>
  <c r="I67" i="1072" a="1"/>
  <c r="I67" i="1072" s="1"/>
  <c r="I68" i="1072" a="1"/>
  <c r="I68" i="1072" s="1"/>
  <c r="I69" i="1072" a="1"/>
  <c r="I69" i="1072" s="1"/>
  <c r="K69" i="1072" s="1"/>
  <c r="I70" i="1072" a="1"/>
  <c r="I70" i="1072" s="1"/>
  <c r="I71" i="1072" a="1"/>
  <c r="I71" i="1072" s="1"/>
  <c r="I72" i="1072" a="1"/>
  <c r="I72" i="1072" s="1"/>
  <c r="I73" i="1072" a="1"/>
  <c r="I73" i="1072" s="1"/>
  <c r="I74" i="1072" a="1"/>
  <c r="I74" i="1072" s="1"/>
  <c r="I75" i="1072" a="1"/>
  <c r="I75" i="1072" s="1"/>
  <c r="I76" i="1072" a="1"/>
  <c r="I76" i="1072" s="1"/>
  <c r="K76" i="1072" s="1"/>
  <c r="I77" i="1072" a="1"/>
  <c r="I77" i="1072" s="1"/>
  <c r="I78" i="1072" a="1"/>
  <c r="I78" i="1072" s="1"/>
  <c r="I79" i="1072" a="1"/>
  <c r="I79" i="1072" s="1"/>
  <c r="I80" i="1072" a="1"/>
  <c r="I80" i="1072" s="1"/>
  <c r="I81" i="1072" a="1"/>
  <c r="I81" i="1072" s="1"/>
  <c r="I82" i="1072" a="1"/>
  <c r="I82" i="1072" s="1"/>
  <c r="I83" i="1072" a="1"/>
  <c r="I83" i="1072" s="1"/>
  <c r="I84" i="1072" a="1"/>
  <c r="I84" i="1072" s="1"/>
  <c r="I85" i="1072" a="1"/>
  <c r="I85" i="1072" s="1"/>
  <c r="I86" i="1072" a="1"/>
  <c r="I86" i="1072" s="1"/>
  <c r="I87" i="1072" a="1"/>
  <c r="I87" i="1072" s="1"/>
  <c r="I88" i="1072" a="1"/>
  <c r="I88" i="1072" s="1"/>
  <c r="I89" i="1072" a="1"/>
  <c r="I89" i="1072" s="1"/>
  <c r="I90" i="1072" a="1"/>
  <c r="I90" i="1072" s="1"/>
  <c r="K90" i="1072" s="1"/>
  <c r="I91" i="1072" a="1"/>
  <c r="I91" i="1072" s="1"/>
  <c r="I92" i="1072" a="1"/>
  <c r="I92" i="1072" s="1"/>
  <c r="I93" i="1072" a="1"/>
  <c r="I93" i="1072" s="1"/>
  <c r="I94" i="1072" a="1"/>
  <c r="I94" i="1072" s="1"/>
  <c r="I95" i="1072" a="1"/>
  <c r="I95" i="1072" s="1"/>
  <c r="I96" i="1072" a="1"/>
  <c r="I96" i="1072" s="1"/>
  <c r="I97" i="1072" a="1"/>
  <c r="I97" i="1072" s="1"/>
  <c r="I98" i="1072" a="1"/>
  <c r="I98" i="1072" s="1"/>
  <c r="I99" i="1072" a="1"/>
  <c r="I99" i="1072" s="1"/>
  <c r="I101" i="1072" a="1"/>
  <c r="I101" i="1072" s="1"/>
  <c r="I102" i="1072" a="1"/>
  <c r="I102" i="1072" s="1"/>
  <c r="K102" i="1072" s="1"/>
  <c r="I103" i="1072" a="1"/>
  <c r="I103" i="1072" s="1"/>
  <c r="I104" i="1072" a="1"/>
  <c r="I104" i="1072" s="1"/>
  <c r="K104" i="1072" s="1"/>
  <c r="I105" i="1072" a="1"/>
  <c r="I105" i="1072" s="1"/>
  <c r="K105" i="1072" s="1"/>
  <c r="I106" i="1072" a="1"/>
  <c r="I106" i="1072" s="1"/>
  <c r="I107" i="1072" a="1"/>
  <c r="I107" i="1072" s="1"/>
  <c r="I108" i="1072" a="1"/>
  <c r="I108" i="1072" s="1"/>
  <c r="I109" i="1072" a="1"/>
  <c r="I109" i="1072" s="1"/>
  <c r="I110" i="1072" a="1"/>
  <c r="I110" i="1072" s="1"/>
  <c r="K110" i="1072" s="1"/>
  <c r="I111" i="1072" a="1"/>
  <c r="I111" i="1072" s="1"/>
  <c r="I112" i="1072" a="1"/>
  <c r="I112" i="1072" s="1"/>
  <c r="K112" i="1072" s="1"/>
  <c r="I113" i="1072" a="1"/>
  <c r="I113" i="1072" s="1"/>
  <c r="I114" i="1072" a="1"/>
  <c r="I114" i="1072" s="1"/>
  <c r="I115" i="1072" a="1"/>
  <c r="I115" i="1072" s="1"/>
  <c r="I116" i="1072" a="1"/>
  <c r="I116" i="1072" s="1"/>
  <c r="I117" i="1072" a="1"/>
  <c r="I117" i="1072" s="1"/>
  <c r="I118" i="1072" a="1"/>
  <c r="I118" i="1072" s="1"/>
  <c r="I119" i="1072" a="1"/>
  <c r="I119" i="1072" s="1"/>
  <c r="I120" i="1072" a="1"/>
  <c r="I120" i="1072" s="1"/>
  <c r="I121" i="1072" a="1"/>
  <c r="I121" i="1072" s="1"/>
  <c r="I122" i="1072" a="1"/>
  <c r="I122" i="1072" s="1"/>
  <c r="I123" i="1072" a="1"/>
  <c r="I123" i="1072" s="1"/>
  <c r="K123" i="1072" s="1"/>
  <c r="I124" i="1072" a="1"/>
  <c r="I124" i="1072" s="1"/>
  <c r="K124" i="1072" s="1"/>
  <c r="I125" i="1072" a="1"/>
  <c r="I125" i="1072" s="1"/>
  <c r="K125" i="1072" s="1"/>
  <c r="I126" i="1072" a="1"/>
  <c r="I126" i="1072" s="1"/>
  <c r="K126" i="1072" s="1"/>
  <c r="I127" i="1072" a="1"/>
  <c r="I127" i="1072" s="1"/>
  <c r="K127" i="1072" s="1"/>
  <c r="I128" i="1072" a="1"/>
  <c r="I128" i="1072" s="1"/>
  <c r="K128" i="1072" s="1"/>
  <c r="I129" i="1072" a="1"/>
  <c r="I129" i="1072" s="1"/>
  <c r="K129" i="1072" s="1"/>
  <c r="I130" i="1072" a="1"/>
  <c r="I130" i="1072" s="1"/>
  <c r="K130" i="1072" s="1"/>
  <c r="I131" i="1072" a="1"/>
  <c r="I131" i="1072" s="1"/>
  <c r="K131" i="1072" s="1"/>
  <c r="I132" i="1072" a="1"/>
  <c r="I132" i="1072" s="1"/>
  <c r="K132" i="1072" s="1"/>
  <c r="I133" i="1072" a="1"/>
  <c r="I133" i="1072" s="1"/>
  <c r="K133" i="1072" s="1"/>
  <c r="I134" i="1072" a="1"/>
  <c r="I134" i="1072" s="1"/>
  <c r="K134" i="1072" s="1"/>
  <c r="I135" i="1072" a="1"/>
  <c r="I135" i="1072" s="1"/>
  <c r="K135" i="1072" s="1"/>
  <c r="I136" i="1072" a="1"/>
  <c r="I136" i="1072" s="1"/>
  <c r="K136" i="1072" s="1"/>
  <c r="I137" i="1072" a="1"/>
  <c r="I137" i="1072" s="1"/>
  <c r="K137" i="1072" s="1"/>
  <c r="I138" i="1072" a="1"/>
  <c r="I138" i="1072" s="1"/>
  <c r="K138" i="1072" s="1"/>
  <c r="I139" i="1072" a="1"/>
  <c r="I139" i="1072" s="1"/>
  <c r="K139" i="1072" s="1"/>
  <c r="I140" i="1072" a="1"/>
  <c r="I140" i="1072" s="1"/>
  <c r="K140" i="1072" s="1"/>
  <c r="I141" i="1072" a="1"/>
  <c r="I141" i="1072" s="1"/>
  <c r="K141" i="1072" s="1"/>
  <c r="I142" i="1072" a="1"/>
  <c r="I142" i="1072" s="1"/>
  <c r="K142" i="1072" s="1"/>
  <c r="I143" i="1072" a="1"/>
  <c r="I143" i="1072" s="1"/>
  <c r="K143" i="1072" s="1"/>
  <c r="I144" i="1072" a="1"/>
  <c r="I144" i="1072" s="1"/>
  <c r="K144" i="1072" s="1"/>
  <c r="I145" i="1072" a="1"/>
  <c r="I145" i="1072" s="1"/>
  <c r="K145" i="1072" s="1"/>
  <c r="I146" i="1072" a="1"/>
  <c r="I146" i="1072" s="1"/>
  <c r="I9" i="1072" a="1"/>
  <c r="I9" i="1072" s="1"/>
  <c r="C9" i="1072"/>
  <c r="B9" i="1072"/>
  <c r="H88" i="1071"/>
  <c r="H83" i="1071"/>
  <c r="H23" i="1071"/>
  <c r="J129" i="1048" l="1"/>
  <c r="K129" i="1048" s="1"/>
  <c r="K128" i="1048"/>
  <c r="J100" i="1048"/>
  <c r="K100" i="1048" s="1"/>
  <c r="K99" i="1048"/>
  <c r="J71" i="1048"/>
  <c r="K71" i="1048" s="1"/>
  <c r="K70" i="1048"/>
  <c r="J42" i="1048"/>
  <c r="K42" i="1048" s="1"/>
  <c r="K41" i="1048"/>
  <c r="J132" i="1048"/>
  <c r="K132" i="1048" s="1"/>
  <c r="J103" i="1048"/>
  <c r="K103" i="1048" s="1"/>
  <c r="J74" i="1048"/>
  <c r="K74" i="1048" s="1"/>
  <c r="G7" i="1040"/>
  <c r="E145" i="1072"/>
  <c r="J243" i="890" s="1"/>
  <c r="E144" i="1072"/>
  <c r="J54" i="890"/>
  <c r="J58" i="890"/>
  <c r="J162" i="1023"/>
  <c r="J93" i="890"/>
  <c r="J97" i="890"/>
  <c r="J160" i="890"/>
  <c r="J146" i="1024"/>
  <c r="J222" i="890"/>
  <c r="J24" i="1018"/>
  <c r="J170" i="1024"/>
  <c r="J54" i="1072"/>
  <c r="K54" i="1072" s="1"/>
  <c r="J51" i="1018" l="1"/>
  <c r="J34" i="1018"/>
  <c r="J11" i="1018"/>
  <c r="AA152" i="1072" a="1"/>
  <c r="J33" i="1071" a="1"/>
  <c r="AB20" i="1072" a="1"/>
  <c r="J42" i="1071" a="1"/>
  <c r="AC20" i="1072" a="1"/>
  <c r="J123" i="1048" l="1"/>
  <c r="K123" i="1048" s="1"/>
  <c r="J94" i="1048"/>
  <c r="K94" i="1048" s="1"/>
  <c r="J93" i="1048"/>
  <c r="K93" i="1048" s="1"/>
  <c r="J65" i="1048"/>
  <c r="K65" i="1048" s="1"/>
  <c r="J64" i="1048"/>
  <c r="K64" i="1048" s="1"/>
  <c r="J122" i="1048"/>
  <c r="J35" i="1048"/>
  <c r="K35" i="1048" s="1"/>
  <c r="J36" i="1048"/>
  <c r="K36" i="1048" s="1"/>
  <c r="H11" i="1072" a="1"/>
  <c r="H11" i="1072" s="1"/>
  <c r="H42" i="1072" a="1"/>
  <c r="H42" i="1072" s="1"/>
  <c r="H117" i="1072" a="1"/>
  <c r="H117" i="1072" s="1"/>
  <c r="H120" i="1072" a="1"/>
  <c r="H120" i="1072" s="1"/>
  <c r="H126" i="1072" a="1"/>
  <c r="H126" i="1072" s="1"/>
  <c r="H135" i="1072" a="1"/>
  <c r="H135" i="1072" s="1"/>
  <c r="H33" i="1072" a="1"/>
  <c r="H33" i="1072" s="1"/>
  <c r="H80" i="1072" a="1"/>
  <c r="H80" i="1072" s="1"/>
  <c r="H131" i="1072" a="1"/>
  <c r="H131" i="1072" s="1"/>
  <c r="H15" i="1072" a="1"/>
  <c r="H15" i="1072" s="1"/>
  <c r="H19" i="1072" a="1"/>
  <c r="H19" i="1072" s="1"/>
  <c r="H23" i="1072" a="1"/>
  <c r="H23" i="1072" s="1"/>
  <c r="H27" i="1072" a="1"/>
  <c r="H27" i="1072" s="1"/>
  <c r="H31" i="1072" a="1"/>
  <c r="H31" i="1072" s="1"/>
  <c r="H35" i="1072" a="1"/>
  <c r="H35" i="1072" s="1"/>
  <c r="H39" i="1072" a="1"/>
  <c r="H39" i="1072" s="1"/>
  <c r="H46" i="1072" a="1"/>
  <c r="H46" i="1072" s="1"/>
  <c r="H50" i="1072" a="1"/>
  <c r="H50" i="1072" s="1"/>
  <c r="H54" i="1072" a="1"/>
  <c r="H54" i="1072" s="1"/>
  <c r="E54" i="1072" s="1"/>
  <c r="H58" i="1072" a="1"/>
  <c r="H58" i="1072" s="1"/>
  <c r="H62" i="1072" a="1"/>
  <c r="H62" i="1072" s="1"/>
  <c r="H66" i="1072" a="1"/>
  <c r="H66" i="1072" s="1"/>
  <c r="H70" i="1072" a="1"/>
  <c r="H70" i="1072" s="1"/>
  <c r="H74" i="1072" a="1"/>
  <c r="H74" i="1072" s="1"/>
  <c r="H78" i="1072" a="1"/>
  <c r="H78" i="1072" s="1"/>
  <c r="H82" i="1072" a="1"/>
  <c r="H82" i="1072" s="1"/>
  <c r="H86" i="1072" a="1"/>
  <c r="H86" i="1072" s="1"/>
  <c r="H90" i="1072" a="1"/>
  <c r="H90" i="1072" s="1"/>
  <c r="E90" i="1072" s="1"/>
  <c r="H94" i="1072" a="1"/>
  <c r="H94" i="1072" s="1"/>
  <c r="H98" i="1072" a="1"/>
  <c r="H98" i="1072" s="1"/>
  <c r="H102" i="1072" a="1"/>
  <c r="H102" i="1072" s="1"/>
  <c r="H106" i="1072" a="1"/>
  <c r="H106" i="1072" s="1"/>
  <c r="H115" i="1072" a="1"/>
  <c r="H115" i="1072" s="1"/>
  <c r="H129" i="1072" a="1"/>
  <c r="H129" i="1072" s="1"/>
  <c r="H132" i="1072" a="1"/>
  <c r="H132" i="1072" s="1"/>
  <c r="H138" i="1072" a="1"/>
  <c r="H138" i="1072" s="1"/>
  <c r="H9" i="1072" a="1"/>
  <c r="H9" i="1072" s="1"/>
  <c r="H44" i="1072" a="1"/>
  <c r="H44" i="1072" s="1"/>
  <c r="H113" i="1072" a="1"/>
  <c r="H113" i="1072" s="1"/>
  <c r="H123" i="1072" a="1"/>
  <c r="H123" i="1072" s="1"/>
  <c r="H43" i="1072" a="1"/>
  <c r="H43" i="1072" s="1"/>
  <c r="H109" i="1072" a="1"/>
  <c r="H109" i="1072" s="1"/>
  <c r="H112" i="1072" a="1"/>
  <c r="H112" i="1072" s="1"/>
  <c r="H118" i="1072" a="1"/>
  <c r="H118" i="1072" s="1"/>
  <c r="H127" i="1072" a="1"/>
  <c r="H127" i="1072" s="1"/>
  <c r="H141" i="1072" a="1"/>
  <c r="H141" i="1072" s="1"/>
  <c r="H144" i="1072" a="1"/>
  <c r="H144" i="1072" s="1"/>
  <c r="H48" i="1072" a="1"/>
  <c r="H48" i="1072" s="1"/>
  <c r="H76" i="1072" a="1"/>
  <c r="H76" i="1072" s="1"/>
  <c r="H92" i="1072" a="1"/>
  <c r="H92" i="1072" s="1"/>
  <c r="H104" i="1072" a="1"/>
  <c r="H104" i="1072" s="1"/>
  <c r="H122" i="1072" a="1"/>
  <c r="H122" i="1072" s="1"/>
  <c r="H12" i="1072" a="1"/>
  <c r="H12" i="1072" s="1"/>
  <c r="H16" i="1072" a="1"/>
  <c r="H16" i="1072" s="1"/>
  <c r="H20" i="1072" a="1"/>
  <c r="H20" i="1072" s="1"/>
  <c r="H24" i="1072" a="1"/>
  <c r="H24" i="1072" s="1"/>
  <c r="H28" i="1072" a="1"/>
  <c r="H28" i="1072" s="1"/>
  <c r="H32" i="1072" a="1"/>
  <c r="H32" i="1072" s="1"/>
  <c r="H36" i="1072" a="1"/>
  <c r="H36" i="1072" s="1"/>
  <c r="H40" i="1072" a="1"/>
  <c r="H40" i="1072" s="1"/>
  <c r="H47" i="1072" a="1"/>
  <c r="H47" i="1072" s="1"/>
  <c r="H51" i="1072" a="1"/>
  <c r="H51" i="1072" s="1"/>
  <c r="H55" i="1072" a="1"/>
  <c r="H55" i="1072" s="1"/>
  <c r="H59" i="1072" a="1"/>
  <c r="H59" i="1072" s="1"/>
  <c r="H63" i="1072" a="1"/>
  <c r="H63" i="1072" s="1"/>
  <c r="H67" i="1072" a="1"/>
  <c r="H67" i="1072" s="1"/>
  <c r="H71" i="1072" a="1"/>
  <c r="H71" i="1072" s="1"/>
  <c r="H75" i="1072" a="1"/>
  <c r="H75" i="1072" s="1"/>
  <c r="H79" i="1072" a="1"/>
  <c r="H79" i="1072" s="1"/>
  <c r="H83" i="1072" a="1"/>
  <c r="H83" i="1072" s="1"/>
  <c r="H87" i="1072" a="1"/>
  <c r="H87" i="1072" s="1"/>
  <c r="H91" i="1072" a="1"/>
  <c r="H91" i="1072" s="1"/>
  <c r="H95" i="1072" a="1"/>
  <c r="H95" i="1072" s="1"/>
  <c r="H99" i="1072" a="1"/>
  <c r="H99" i="1072" s="1"/>
  <c r="H103" i="1072" a="1"/>
  <c r="H103" i="1072" s="1"/>
  <c r="H107" i="1072" a="1"/>
  <c r="H107" i="1072" s="1"/>
  <c r="H121" i="1072" a="1"/>
  <c r="H121" i="1072" s="1"/>
  <c r="H124" i="1072" a="1"/>
  <c r="H124" i="1072" s="1"/>
  <c r="H130" i="1072" a="1"/>
  <c r="H130" i="1072" s="1"/>
  <c r="H139" i="1072" a="1"/>
  <c r="H139" i="1072" s="1"/>
  <c r="H29" i="1072" a="1"/>
  <c r="H29" i="1072" s="1"/>
  <c r="H52" i="1072" a="1"/>
  <c r="H52" i="1072" s="1"/>
  <c r="H60" i="1072" a="1"/>
  <c r="H60" i="1072" s="1"/>
  <c r="H68" i="1072" a="1"/>
  <c r="H68" i="1072" s="1"/>
  <c r="H84" i="1072" a="1"/>
  <c r="H84" i="1072" s="1"/>
  <c r="H100" i="1072" a="1"/>
  <c r="H100" i="1072" s="1"/>
  <c r="H116" i="1072" a="1"/>
  <c r="H116" i="1072" s="1"/>
  <c r="H145" i="1072" a="1"/>
  <c r="H145" i="1072" s="1"/>
  <c r="H110" i="1072" a="1"/>
  <c r="H110" i="1072" s="1"/>
  <c r="H119" i="1072" a="1"/>
  <c r="H119" i="1072" s="1"/>
  <c r="H133" i="1072" a="1"/>
  <c r="H133" i="1072" s="1"/>
  <c r="H136" i="1072" a="1"/>
  <c r="H136" i="1072" s="1"/>
  <c r="H142" i="1072" a="1"/>
  <c r="H142" i="1072" s="1"/>
  <c r="H13" i="1072" a="1"/>
  <c r="H13" i="1072" s="1"/>
  <c r="H17" i="1072" a="1"/>
  <c r="H17" i="1072" s="1"/>
  <c r="H21" i="1072" a="1"/>
  <c r="H21" i="1072" s="1"/>
  <c r="H25" i="1072" a="1"/>
  <c r="H25" i="1072" s="1"/>
  <c r="H37" i="1072" a="1"/>
  <c r="H37" i="1072" s="1"/>
  <c r="H41" i="1072" a="1"/>
  <c r="H41" i="1072" s="1"/>
  <c r="H56" i="1072" a="1"/>
  <c r="H56" i="1072" s="1"/>
  <c r="H64" i="1072" a="1"/>
  <c r="H64" i="1072" s="1"/>
  <c r="H72" i="1072" a="1"/>
  <c r="H72" i="1072" s="1"/>
  <c r="H88" i="1072" a="1"/>
  <c r="H88" i="1072" s="1"/>
  <c r="H96" i="1072" a="1"/>
  <c r="H96" i="1072" s="1"/>
  <c r="H114" i="1072" a="1"/>
  <c r="H114" i="1072" s="1"/>
  <c r="H10" i="1072" a="1"/>
  <c r="H10" i="1072" s="1"/>
  <c r="H111" i="1072" a="1"/>
  <c r="H111" i="1072" s="1"/>
  <c r="H125" i="1072" a="1"/>
  <c r="H125" i="1072" s="1"/>
  <c r="H128" i="1072" a="1"/>
  <c r="H128" i="1072" s="1"/>
  <c r="H134" i="1072" a="1"/>
  <c r="H134" i="1072" s="1"/>
  <c r="H143" i="1072" a="1"/>
  <c r="H143" i="1072" s="1"/>
  <c r="H14" i="1072" a="1"/>
  <c r="H14" i="1072" s="1"/>
  <c r="H18" i="1072" a="1"/>
  <c r="H18" i="1072" s="1"/>
  <c r="H22" i="1072" a="1"/>
  <c r="H22" i="1072" s="1"/>
  <c r="H26" i="1072" a="1"/>
  <c r="H26" i="1072" s="1"/>
  <c r="H30" i="1072" a="1"/>
  <c r="H30" i="1072" s="1"/>
  <c r="H34" i="1072" a="1"/>
  <c r="H34" i="1072" s="1"/>
  <c r="H38" i="1072" a="1"/>
  <c r="H38" i="1072" s="1"/>
  <c r="H45" i="1072" a="1"/>
  <c r="H45" i="1072" s="1"/>
  <c r="H49" i="1072" a="1"/>
  <c r="H49" i="1072" s="1"/>
  <c r="H53" i="1072" a="1"/>
  <c r="H53" i="1072" s="1"/>
  <c r="H57" i="1072" a="1"/>
  <c r="H57" i="1072" s="1"/>
  <c r="H61" i="1072" a="1"/>
  <c r="H61" i="1072" s="1"/>
  <c r="H65" i="1072" a="1"/>
  <c r="H65" i="1072" s="1"/>
  <c r="H69" i="1072" a="1"/>
  <c r="H69" i="1072" s="1"/>
  <c r="H73" i="1072" a="1"/>
  <c r="H73" i="1072" s="1"/>
  <c r="H77" i="1072" a="1"/>
  <c r="H77" i="1072" s="1"/>
  <c r="H81" i="1072" a="1"/>
  <c r="H81" i="1072" s="1"/>
  <c r="H85" i="1072" a="1"/>
  <c r="H85" i="1072" s="1"/>
  <c r="H89" i="1072" a="1"/>
  <c r="H89" i="1072" s="1"/>
  <c r="H93" i="1072" a="1"/>
  <c r="H93" i="1072" s="1"/>
  <c r="H97" i="1072" a="1"/>
  <c r="H97" i="1072" s="1"/>
  <c r="H101" i="1072" a="1"/>
  <c r="H101" i="1072" s="1"/>
  <c r="H105" i="1072" a="1"/>
  <c r="H105" i="1072" s="1"/>
  <c r="H108" i="1072" a="1"/>
  <c r="H108" i="1072" s="1"/>
  <c r="H137" i="1072" a="1"/>
  <c r="H137" i="1072" s="1"/>
  <c r="H140" i="1072" a="1"/>
  <c r="H140" i="1072" s="1"/>
  <c r="H146" i="1072" a="1"/>
  <c r="H146" i="1072" s="1"/>
  <c r="AA152" i="1072"/>
  <c r="D23" i="1072" s="1"/>
  <c r="AC20" i="1072"/>
  <c r="F39" i="1072" s="1"/>
  <c r="AB20" i="1072"/>
  <c r="J39" i="1072" s="1"/>
  <c r="J42" i="1071"/>
  <c r="J33" i="1071"/>
  <c r="AB107" i="1072" a="1"/>
  <c r="AB53" i="1072" a="1"/>
  <c r="AB94" i="1072" a="1"/>
  <c r="AB161" i="1072" a="1"/>
  <c r="AB14" i="1072" a="1"/>
  <c r="AB163" i="1072" a="1"/>
  <c r="AB97" i="1072" a="1"/>
  <c r="AB24" i="1072" a="1"/>
  <c r="AB86" i="1072" a="1"/>
  <c r="AB159" i="1072" a="1"/>
  <c r="AB104" i="1072" a="1"/>
  <c r="AB160" i="1072" a="1"/>
  <c r="AB162" i="1072" a="1"/>
  <c r="AB47" i="1072" a="1"/>
  <c r="AB149" i="1072" a="1"/>
  <c r="AB110" i="1072" a="1"/>
  <c r="E104" i="1072" l="1"/>
  <c r="J22" i="1018" s="1"/>
  <c r="K39" i="1072"/>
  <c r="E39" i="1072"/>
  <c r="J57" i="1018"/>
  <c r="J17" i="1018"/>
  <c r="J40" i="1018"/>
  <c r="K122" i="1048"/>
  <c r="AB160" i="1072"/>
  <c r="AB47" i="1072"/>
  <c r="AB86" i="1072"/>
  <c r="AB14" i="1072"/>
  <c r="AB110" i="1072"/>
  <c r="AB149" i="1072"/>
  <c r="AB162" i="1072"/>
  <c r="AB94" i="1072"/>
  <c r="AB104" i="1072"/>
  <c r="AB24" i="1072"/>
  <c r="AB53" i="1072"/>
  <c r="AB97" i="1072"/>
  <c r="AB107" i="1072"/>
  <c r="AB163" i="1072"/>
  <c r="AB159" i="1072"/>
  <c r="AB161" i="1072"/>
  <c r="J14" i="1041" a="1"/>
  <c r="J14" i="1041" s="1"/>
  <c r="I14" i="1041" a="1"/>
  <c r="I14" i="1041" s="1"/>
  <c r="S8" i="1053"/>
  <c r="S9" i="1053"/>
  <c r="S10" i="1053"/>
  <c r="S11" i="1053"/>
  <c r="S12" i="1053"/>
  <c r="S13" i="1053"/>
  <c r="S14" i="1053"/>
  <c r="S15" i="1053"/>
  <c r="S16" i="1053"/>
  <c r="S17" i="1053"/>
  <c r="S18" i="1053"/>
  <c r="S19" i="1053"/>
  <c r="S20" i="1053"/>
  <c r="S21" i="1053"/>
  <c r="S22" i="1053"/>
  <c r="S23" i="1053"/>
  <c r="S24" i="1053"/>
  <c r="S25" i="1053"/>
  <c r="S26" i="1053"/>
  <c r="S7" i="1053"/>
  <c r="J7" i="1085"/>
  <c r="E23" i="1018"/>
  <c r="C153" i="1072"/>
  <c r="E58" i="296" l="1"/>
  <c r="AB29" i="1072" a="1"/>
  <c r="AB29" i="1072" l="1"/>
  <c r="J77" i="1072" s="1"/>
  <c r="E36" i="1023"/>
  <c r="H23" i="1023"/>
  <c r="H22" i="1023"/>
  <c r="H21" i="1023"/>
  <c r="G23" i="1023"/>
  <c r="G22" i="1023"/>
  <c r="G21" i="1023"/>
  <c r="H209" i="1023"/>
  <c r="H207" i="1023"/>
  <c r="H208" i="1023"/>
  <c r="H206" i="1023"/>
  <c r="H200" i="1023"/>
  <c r="H201" i="1023"/>
  <c r="H202" i="1023"/>
  <c r="H199" i="1023"/>
  <c r="H193" i="1023"/>
  <c r="H194" i="1023"/>
  <c r="H195" i="1023"/>
  <c r="H192" i="1023"/>
  <c r="H20" i="1023"/>
  <c r="H19" i="1023"/>
  <c r="H18" i="1023"/>
  <c r="K77" i="1072" l="1"/>
  <c r="E77" i="1072"/>
  <c r="J226" i="890" s="1"/>
  <c r="C33" i="1053"/>
  <c r="G72" i="1071"/>
  <c r="J42" i="1034"/>
  <c r="I42" i="1034"/>
  <c r="H42" i="1034"/>
  <c r="G71" i="1071" l="1"/>
  <c r="E71" i="1071" s="1"/>
  <c r="J10" i="1023"/>
  <c r="G69" i="1071"/>
  <c r="G70" i="1071" s="1"/>
  <c r="H48" i="890"/>
  <c r="H29" i="890"/>
  <c r="E213" i="1023"/>
  <c r="G230" i="1023"/>
  <c r="G229" i="1023"/>
  <c r="G228" i="1023"/>
  <c r="G227" i="1023"/>
  <c r="G223" i="1023"/>
  <c r="G222" i="1023"/>
  <c r="G221" i="1023"/>
  <c r="G220" i="1023"/>
  <c r="G216" i="1023"/>
  <c r="G215" i="1023"/>
  <c r="G214" i="1023"/>
  <c r="G213" i="1023"/>
  <c r="G209" i="1023"/>
  <c r="E209" i="1023" s="1"/>
  <c r="G208" i="1023"/>
  <c r="E208" i="1023" s="1"/>
  <c r="G207" i="1023"/>
  <c r="E207" i="1023" s="1"/>
  <c r="G206" i="1023"/>
  <c r="E206" i="1023" s="1"/>
  <c r="G202" i="1023"/>
  <c r="E202" i="1023" s="1"/>
  <c r="G201" i="1023"/>
  <c r="E201" i="1023" s="1"/>
  <c r="G200" i="1023"/>
  <c r="E200" i="1023" s="1"/>
  <c r="G199" i="1023"/>
  <c r="J209" i="1023"/>
  <c r="J208" i="1023"/>
  <c r="J207" i="1023"/>
  <c r="J206" i="1023"/>
  <c r="J202" i="1023"/>
  <c r="J201" i="1023"/>
  <c r="J200" i="1023"/>
  <c r="J199" i="1023"/>
  <c r="J195" i="1023"/>
  <c r="J194" i="1023"/>
  <c r="J193" i="1023"/>
  <c r="J192" i="1023"/>
  <c r="G195" i="1023"/>
  <c r="E195" i="1023" s="1"/>
  <c r="G194" i="1023"/>
  <c r="E194" i="1023" s="1"/>
  <c r="G193" i="1023"/>
  <c r="E193" i="1023" s="1"/>
  <c r="G192" i="1023"/>
  <c r="E192" i="1023" s="1"/>
  <c r="G20" i="1023"/>
  <c r="G19" i="1023"/>
  <c r="G18" i="1023"/>
  <c r="G45" i="1071"/>
  <c r="G44" i="1071"/>
  <c r="E222" i="1023"/>
  <c r="E168" i="1023"/>
  <c r="G168" i="1023" s="1"/>
  <c r="E167" i="1023"/>
  <c r="G167" i="1023" s="1"/>
  <c r="E165" i="1023"/>
  <c r="G165" i="1023" s="1"/>
  <c r="E166" i="1023"/>
  <c r="G166" i="1023" s="1"/>
  <c r="E159" i="1023"/>
  <c r="G159" i="1023" s="1"/>
  <c r="E158" i="1023"/>
  <c r="G158" i="1023" s="1"/>
  <c r="E157" i="1023"/>
  <c r="G157" i="1023" s="1"/>
  <c r="E156" i="1023"/>
  <c r="G156" i="1023" s="1"/>
  <c r="E150" i="1023"/>
  <c r="G150" i="1023" s="1"/>
  <c r="E149" i="1023"/>
  <c r="G149" i="1023" s="1"/>
  <c r="E148" i="1023"/>
  <c r="G148" i="1023" s="1"/>
  <c r="E147" i="1023"/>
  <c r="G147" i="1023" s="1"/>
  <c r="F27" i="1040"/>
  <c r="G33" i="1042"/>
  <c r="F33" i="1042"/>
  <c r="E33" i="1042"/>
  <c r="E210" i="1023" l="1"/>
  <c r="E199" i="1023"/>
  <c r="E203" i="1023" s="1"/>
  <c r="G203" i="1023"/>
  <c r="E69" i="1071"/>
  <c r="G196" i="1023"/>
  <c r="E35" i="1023" s="1"/>
  <c r="G210" i="1023"/>
  <c r="E37" i="1023" s="1"/>
  <c r="F11" i="1018"/>
  <c r="E15" i="1040" a="1"/>
  <c r="E15" i="1040" s="1"/>
  <c r="F29" i="1040"/>
  <c r="F28" i="1040"/>
  <c r="I22" i="1023" l="1"/>
  <c r="E22" i="1023" s="1"/>
  <c r="I23" i="1023"/>
  <c r="E23" i="1023" s="1"/>
  <c r="I21" i="1023"/>
  <c r="E21" i="1023" s="1"/>
  <c r="G33" i="1041"/>
  <c r="G38" i="1034"/>
  <c r="J38" i="1048" s="1"/>
  <c r="K38" i="1048" s="1"/>
  <c r="F58" i="296"/>
  <c r="G58" i="296"/>
  <c r="H58" i="296"/>
  <c r="C100" i="1024"/>
  <c r="J23" i="1048"/>
  <c r="H23" i="1048"/>
  <c r="H24" i="1018"/>
  <c r="G48" i="1040"/>
  <c r="H22" i="1018"/>
  <c r="E21" i="1018"/>
  <c r="D15" i="1048"/>
  <c r="C114" i="1048" s="1"/>
  <c r="D13" i="1048"/>
  <c r="C85" i="1048" s="1"/>
  <c r="D11" i="1048"/>
  <c r="C56" i="1048" s="1"/>
  <c r="D9" i="1048"/>
  <c r="C27" i="1048" s="1"/>
  <c r="I8" i="1034"/>
  <c r="E14" i="1046" s="1"/>
  <c r="H2" i="1053"/>
  <c r="H1" i="1053"/>
  <c r="D31" i="1053"/>
  <c r="AA153" i="1072" a="1"/>
  <c r="AA154" i="1072" a="1"/>
  <c r="AA153" i="1072" l="1"/>
  <c r="D104" i="1072" s="1"/>
  <c r="AA154" i="1072"/>
  <c r="E46" i="1018"/>
  <c r="G27" i="890"/>
  <c r="H19" i="1048"/>
  <c r="D35" i="296"/>
  <c r="D13" i="296"/>
  <c r="D105" i="1072" l="1"/>
  <c r="K23" i="1048" l="1"/>
  <c r="J3" i="1018"/>
  <c r="J2" i="1018"/>
  <c r="H22" i="890"/>
  <c r="C101" i="1024"/>
  <c r="E105" i="1024"/>
  <c r="AB71" i="1072" a="1"/>
  <c r="AB68" i="1072" a="1"/>
  <c r="AB68" i="1072" l="1"/>
  <c r="AB71" i="1072"/>
  <c r="H43" i="890"/>
  <c r="H39" i="890"/>
  <c r="H38" i="890"/>
  <c r="E149" i="890"/>
  <c r="J170" i="890"/>
  <c r="H25" i="1071"/>
  <c r="E25" i="1071" s="1"/>
  <c r="F88" i="1043"/>
  <c r="E15" i="1071"/>
  <c r="I93" i="1023"/>
  <c r="I87" i="1023"/>
  <c r="J49" i="890"/>
  <c r="K4" i="1048"/>
  <c r="K3" i="1071"/>
  <c r="J3" i="1024"/>
  <c r="J3" i="1023"/>
  <c r="J3" i="1078"/>
  <c r="J3" i="890"/>
  <c r="I3" i="1030"/>
  <c r="E12" i="1040"/>
  <c r="G46" i="1071"/>
  <c r="E46" i="1071" s="1"/>
  <c r="B161" i="1072"/>
  <c r="D161" i="1072"/>
  <c r="B162" i="1072"/>
  <c r="D162" i="1072"/>
  <c r="B163" i="1072"/>
  <c r="D163" i="1072"/>
  <c r="B164" i="1072"/>
  <c r="D164" i="1072"/>
  <c r="B165" i="1072"/>
  <c r="D165" i="1072"/>
  <c r="B166" i="1072"/>
  <c r="D166" i="1072"/>
  <c r="B167" i="1072"/>
  <c r="D167" i="1072"/>
  <c r="B168" i="1072"/>
  <c r="C168" i="1072"/>
  <c r="D168" i="1072"/>
  <c r="B169" i="1072"/>
  <c r="D169" i="1072"/>
  <c r="B170" i="1072"/>
  <c r="D170" i="1072"/>
  <c r="B171" i="1072"/>
  <c r="D171" i="1072"/>
  <c r="B172" i="1072"/>
  <c r="D172" i="1072"/>
  <c r="B173" i="1072"/>
  <c r="D173" i="1072"/>
  <c r="B174" i="1072"/>
  <c r="D174" i="1072"/>
  <c r="B175" i="1072"/>
  <c r="D175" i="1072"/>
  <c r="B176" i="1072"/>
  <c r="D176" i="1072"/>
  <c r="B177" i="1072"/>
  <c r="D177" i="1072"/>
  <c r="B178" i="1072"/>
  <c r="D178" i="1072"/>
  <c r="B179" i="1072"/>
  <c r="D179" i="1072"/>
  <c r="B180" i="1072"/>
  <c r="D180" i="1072"/>
  <c r="B181" i="1072"/>
  <c r="D181" i="1072"/>
  <c r="B182" i="1072"/>
  <c r="D182" i="1072"/>
  <c r="B183" i="1072"/>
  <c r="D183" i="1072"/>
  <c r="B184" i="1072"/>
  <c r="D184" i="1072"/>
  <c r="B185" i="1072"/>
  <c r="D185" i="1072"/>
  <c r="B186" i="1072"/>
  <c r="D186" i="1072"/>
  <c r="B187" i="1072"/>
  <c r="D187" i="1072"/>
  <c r="B188" i="1072"/>
  <c r="D188" i="1072"/>
  <c r="B189" i="1072"/>
  <c r="D189" i="1072"/>
  <c r="B190" i="1072"/>
  <c r="D190" i="1072"/>
  <c r="B191" i="1072"/>
  <c r="D191" i="1072"/>
  <c r="B192" i="1072"/>
  <c r="D192" i="1072"/>
  <c r="B193" i="1072"/>
  <c r="D193" i="1072"/>
  <c r="B194" i="1072"/>
  <c r="D194" i="1072"/>
  <c r="B195" i="1072"/>
  <c r="D195" i="1072"/>
  <c r="B196" i="1072"/>
  <c r="D196" i="1072"/>
  <c r="B197" i="1072"/>
  <c r="D197" i="1072"/>
  <c r="B198" i="1072"/>
  <c r="D198" i="1072"/>
  <c r="B199" i="1072"/>
  <c r="D199" i="1072"/>
  <c r="B200" i="1072"/>
  <c r="D200" i="1072"/>
  <c r="B201" i="1072"/>
  <c r="D201" i="1072"/>
  <c r="B202" i="1072"/>
  <c r="D202" i="1072"/>
  <c r="B203" i="1072"/>
  <c r="D203" i="1072"/>
  <c r="B204" i="1072"/>
  <c r="D204" i="1072"/>
  <c r="B205" i="1072"/>
  <c r="D205" i="1072"/>
  <c r="B206" i="1072"/>
  <c r="D206" i="1072"/>
  <c r="B207" i="1072"/>
  <c r="D207" i="1072"/>
  <c r="B208" i="1072"/>
  <c r="D208" i="1072"/>
  <c r="B209" i="1072"/>
  <c r="C209" i="1072"/>
  <c r="D209" i="1072"/>
  <c r="B210" i="1072"/>
  <c r="D210" i="1072"/>
  <c r="B211" i="1072"/>
  <c r="D211" i="1072"/>
  <c r="B212" i="1072"/>
  <c r="D212" i="1072"/>
  <c r="B213" i="1072"/>
  <c r="D213" i="1072"/>
  <c r="B214" i="1072"/>
  <c r="D214" i="1072"/>
  <c r="B215" i="1072"/>
  <c r="D215" i="1072"/>
  <c r="B216" i="1072"/>
  <c r="C216" i="1072"/>
  <c r="D216" i="1072"/>
  <c r="B217" i="1072"/>
  <c r="D217" i="1072"/>
  <c r="B218" i="1072"/>
  <c r="D218" i="1072"/>
  <c r="B219" i="1072"/>
  <c r="D219" i="1072"/>
  <c r="B220" i="1072"/>
  <c r="D220" i="1072"/>
  <c r="B221" i="1072"/>
  <c r="D221" i="1072"/>
  <c r="B222" i="1072"/>
  <c r="D222" i="1072"/>
  <c r="B223" i="1072"/>
  <c r="D223" i="1072"/>
  <c r="B224" i="1072"/>
  <c r="D224" i="1072"/>
  <c r="B225" i="1072"/>
  <c r="D225" i="1072"/>
  <c r="B226" i="1072"/>
  <c r="D226" i="1072"/>
  <c r="B227" i="1072"/>
  <c r="D227" i="1072"/>
  <c r="B228" i="1072"/>
  <c r="D228" i="1072"/>
  <c r="B229" i="1072"/>
  <c r="D229" i="1072"/>
  <c r="B230" i="1072"/>
  <c r="D230" i="1072"/>
  <c r="B231" i="1072"/>
  <c r="D231" i="1072"/>
  <c r="B232" i="1072"/>
  <c r="C232" i="1072"/>
  <c r="D232" i="1072"/>
  <c r="B233" i="1072"/>
  <c r="D233" i="1072"/>
  <c r="B234" i="1072"/>
  <c r="D234" i="1072"/>
  <c r="B235" i="1072"/>
  <c r="D235" i="1072"/>
  <c r="B236" i="1072"/>
  <c r="D236" i="1072"/>
  <c r="B237" i="1072"/>
  <c r="D237" i="1072"/>
  <c r="B238" i="1072"/>
  <c r="D238" i="1072"/>
  <c r="B239" i="1072"/>
  <c r="D239" i="1072"/>
  <c r="B240" i="1072"/>
  <c r="D240" i="1072"/>
  <c r="B241" i="1072"/>
  <c r="D241" i="1072"/>
  <c r="B242" i="1072"/>
  <c r="D242" i="1072"/>
  <c r="B243" i="1072"/>
  <c r="D243" i="1072"/>
  <c r="B244" i="1072"/>
  <c r="D244" i="1072"/>
  <c r="B245" i="1072"/>
  <c r="D245" i="1072"/>
  <c r="B246" i="1072"/>
  <c r="D246" i="1072"/>
  <c r="B247" i="1072"/>
  <c r="D247" i="1072"/>
  <c r="E44" i="1071"/>
  <c r="E45" i="1071"/>
  <c r="J38" i="1034"/>
  <c r="I38" i="1034"/>
  <c r="H38" i="1034"/>
  <c r="D9" i="890"/>
  <c r="I2" i="1030"/>
  <c r="J214" i="890"/>
  <c r="J212" i="890"/>
  <c r="J245" i="890"/>
  <c r="E27" i="296"/>
  <c r="E245" i="890"/>
  <c r="H243" i="890" s="1"/>
  <c r="C158" i="1072"/>
  <c r="H78" i="1071"/>
  <c r="I78" i="1071"/>
  <c r="J78" i="1071"/>
  <c r="G78" i="1071"/>
  <c r="H63" i="1071"/>
  <c r="I63" i="1071"/>
  <c r="J63" i="1071"/>
  <c r="G63" i="1071"/>
  <c r="I21" i="1041"/>
  <c r="G14" i="296"/>
  <c r="B152" i="1072"/>
  <c r="B153" i="1072"/>
  <c r="B154" i="1072"/>
  <c r="B155" i="1072"/>
  <c r="B156" i="1072"/>
  <c r="B157" i="1072"/>
  <c r="B158" i="1072"/>
  <c r="B159" i="1072"/>
  <c r="B160" i="1072"/>
  <c r="B147" i="1072"/>
  <c r="B148" i="1072"/>
  <c r="B149" i="1072"/>
  <c r="B150" i="1072"/>
  <c r="B151" i="1072"/>
  <c r="N25" i="1075"/>
  <c r="N26" i="1075"/>
  <c r="N27" i="1075"/>
  <c r="N28" i="1075"/>
  <c r="N29" i="1075"/>
  <c r="N30" i="1075"/>
  <c r="N31" i="1075"/>
  <c r="N32" i="1075"/>
  <c r="N33" i="1075"/>
  <c r="N34" i="1075"/>
  <c r="N35" i="1075"/>
  <c r="N36" i="1075"/>
  <c r="N37" i="1075"/>
  <c r="N38" i="1075"/>
  <c r="N39" i="1075"/>
  <c r="N40" i="1075"/>
  <c r="N41" i="1075"/>
  <c r="N42" i="1075"/>
  <c r="N43" i="1075"/>
  <c r="N44" i="1075"/>
  <c r="N45" i="1075"/>
  <c r="N46" i="1075"/>
  <c r="N47" i="1075"/>
  <c r="N48" i="1075"/>
  <c r="N49" i="1075"/>
  <c r="N50" i="1075"/>
  <c r="N51" i="1075"/>
  <c r="N52" i="1075"/>
  <c r="N53" i="1075"/>
  <c r="N54" i="1075"/>
  <c r="N55" i="1075"/>
  <c r="N56" i="1075"/>
  <c r="N57" i="1075"/>
  <c r="N58" i="1075"/>
  <c r="N59" i="1075"/>
  <c r="N60" i="1075"/>
  <c r="N61" i="1075"/>
  <c r="N62" i="1075"/>
  <c r="N63" i="1075"/>
  <c r="N64" i="1075"/>
  <c r="N65" i="1075"/>
  <c r="N66" i="1075"/>
  <c r="N67" i="1075"/>
  <c r="N68" i="1075"/>
  <c r="N69" i="1075"/>
  <c r="N70" i="1075"/>
  <c r="N71" i="1075"/>
  <c r="N72" i="1075"/>
  <c r="N73" i="1075"/>
  <c r="N74" i="1075"/>
  <c r="N75" i="1075"/>
  <c r="N76" i="1075"/>
  <c r="N77" i="1075"/>
  <c r="N78" i="1075"/>
  <c r="N79" i="1075"/>
  <c r="N80" i="1075"/>
  <c r="N81" i="1075"/>
  <c r="N82" i="1075"/>
  <c r="N83" i="1075"/>
  <c r="N84" i="1075"/>
  <c r="N85" i="1075"/>
  <c r="N86" i="1075"/>
  <c r="N87" i="1075"/>
  <c r="N88" i="1075"/>
  <c r="N89" i="1075"/>
  <c r="N90" i="1075"/>
  <c r="N91" i="1075"/>
  <c r="N92" i="1075"/>
  <c r="N93" i="1075"/>
  <c r="N94" i="1075"/>
  <c r="N95" i="1075"/>
  <c r="N96" i="1075"/>
  <c r="N97" i="1075"/>
  <c r="N98" i="1075"/>
  <c r="N99" i="1075"/>
  <c r="N100" i="1075"/>
  <c r="N101" i="1075"/>
  <c r="N102" i="1075"/>
  <c r="N103" i="1075"/>
  <c r="N104" i="1075"/>
  <c r="N105" i="1075"/>
  <c r="N106" i="1075"/>
  <c r="N107" i="1075"/>
  <c r="N108" i="1075"/>
  <c r="N109" i="1075"/>
  <c r="N110" i="1075"/>
  <c r="N111" i="1075"/>
  <c r="N112" i="1075"/>
  <c r="N113" i="1075"/>
  <c r="N17" i="1075"/>
  <c r="N18" i="1075"/>
  <c r="N19" i="1075"/>
  <c r="N20" i="1075"/>
  <c r="N21" i="1075"/>
  <c r="N22" i="1075"/>
  <c r="N23" i="1075"/>
  <c r="N24" i="1075"/>
  <c r="N13" i="1075"/>
  <c r="N14" i="1075"/>
  <c r="N15" i="1075"/>
  <c r="N16" i="1075"/>
  <c r="J7" i="1040"/>
  <c r="I7" i="1040"/>
  <c r="F31" i="1053" s="1"/>
  <c r="H7" i="1040"/>
  <c r="G11" i="1049"/>
  <c r="G12" i="1049"/>
  <c r="E29" i="296"/>
  <c r="D148" i="1072"/>
  <c r="D149" i="1072"/>
  <c r="D150" i="1072"/>
  <c r="D151" i="1072"/>
  <c r="D152" i="1072"/>
  <c r="D153" i="1072"/>
  <c r="D154" i="1072"/>
  <c r="D155" i="1072"/>
  <c r="D156" i="1072"/>
  <c r="D157" i="1072"/>
  <c r="D158" i="1072"/>
  <c r="D159" i="1072"/>
  <c r="D160" i="1072"/>
  <c r="D147" i="1072"/>
  <c r="AA110" i="1072" a="1"/>
  <c r="J84" i="1075" l="1"/>
  <c r="A225" i="1072"/>
  <c r="G225" i="1072" s="1"/>
  <c r="J91" i="1075"/>
  <c r="J22" i="1075"/>
  <c r="H20" i="1075" a="1"/>
  <c r="H20" i="1075" s="1"/>
  <c r="J20" i="1075"/>
  <c r="J109" i="1075"/>
  <c r="A235" i="1072"/>
  <c r="G235" i="1072" s="1"/>
  <c r="J101" i="1075"/>
  <c r="A227" i="1072"/>
  <c r="G227" i="1072" s="1"/>
  <c r="J93" i="1075"/>
  <c r="J85" i="1075"/>
  <c r="J77" i="1075"/>
  <c r="A203" i="1072"/>
  <c r="G203" i="1072" s="1"/>
  <c r="J69" i="1075"/>
  <c r="A195" i="1072"/>
  <c r="G195" i="1072" s="1"/>
  <c r="J61" i="1075"/>
  <c r="J53" i="1075"/>
  <c r="J45" i="1075"/>
  <c r="A171" i="1072"/>
  <c r="G171" i="1072" s="1"/>
  <c r="J37" i="1075"/>
  <c r="J29" i="1075"/>
  <c r="C236" i="1072"/>
  <c r="C204" i="1072"/>
  <c r="C196" i="1072"/>
  <c r="C188" i="1072"/>
  <c r="C164" i="1072"/>
  <c r="A210" i="1072"/>
  <c r="G210" i="1072" s="1"/>
  <c r="J76" i="1075"/>
  <c r="J68" i="1075"/>
  <c r="A194" i="1072"/>
  <c r="G194" i="1072" s="1"/>
  <c r="J60" i="1075"/>
  <c r="J52" i="1075"/>
  <c r="J44" i="1075"/>
  <c r="A170" i="1072"/>
  <c r="G170" i="1072" s="1"/>
  <c r="J36" i="1075"/>
  <c r="J28" i="1075"/>
  <c r="C243" i="1072"/>
  <c r="C227" i="1072"/>
  <c r="C211" i="1072"/>
  <c r="C179" i="1072"/>
  <c r="C155" i="1072"/>
  <c r="J27" i="1075"/>
  <c r="C242" i="1072"/>
  <c r="C210" i="1072"/>
  <c r="C202" i="1072"/>
  <c r="C194" i="1072"/>
  <c r="C178" i="1072"/>
  <c r="C170" i="1072"/>
  <c r="C162" i="1072"/>
  <c r="C154" i="1072"/>
  <c r="J100" i="1075"/>
  <c r="A233" i="1072"/>
  <c r="G233" i="1072" s="1"/>
  <c r="J99" i="1075"/>
  <c r="A185" i="1072"/>
  <c r="G185" i="1072" s="1"/>
  <c r="J51" i="1075"/>
  <c r="J106" i="1075"/>
  <c r="J98" i="1075"/>
  <c r="A224" i="1072"/>
  <c r="G224" i="1072" s="1"/>
  <c r="J90" i="1075"/>
  <c r="J82" i="1075"/>
  <c r="J74" i="1075"/>
  <c r="A200" i="1072"/>
  <c r="G200" i="1072" s="1"/>
  <c r="J66" i="1075"/>
  <c r="J58" i="1075"/>
  <c r="A184" i="1072"/>
  <c r="G184" i="1072" s="1"/>
  <c r="J50" i="1075"/>
  <c r="A176" i="1072"/>
  <c r="G176" i="1072" s="1"/>
  <c r="J42" i="1075"/>
  <c r="A168" i="1072"/>
  <c r="G168" i="1072" s="1"/>
  <c r="J34" i="1075"/>
  <c r="J26" i="1075"/>
  <c r="C233" i="1072"/>
  <c r="C193" i="1072"/>
  <c r="J92" i="1075"/>
  <c r="J83" i="1075"/>
  <c r="J43" i="1075"/>
  <c r="J24" i="1075"/>
  <c r="A247" i="1072"/>
  <c r="G247" i="1072" s="1"/>
  <c r="J113" i="1075"/>
  <c r="A239" i="1072"/>
  <c r="G239" i="1072" s="1"/>
  <c r="J105" i="1075"/>
  <c r="J97" i="1075"/>
  <c r="A223" i="1072"/>
  <c r="G223" i="1072" s="1"/>
  <c r="J89" i="1075"/>
  <c r="A215" i="1072"/>
  <c r="G215" i="1072" s="1"/>
  <c r="J81" i="1075"/>
  <c r="A207" i="1072"/>
  <c r="G207" i="1072" s="1"/>
  <c r="J73" i="1075"/>
  <c r="J65" i="1075"/>
  <c r="A191" i="1072"/>
  <c r="G191" i="1072" s="1"/>
  <c r="J57" i="1075"/>
  <c r="A183" i="1072"/>
  <c r="G183" i="1072" s="1"/>
  <c r="J49" i="1075"/>
  <c r="J41" i="1075"/>
  <c r="A167" i="1072"/>
  <c r="G167" i="1072" s="1"/>
  <c r="J33" i="1075"/>
  <c r="J25" i="1075"/>
  <c r="C160" i="1072"/>
  <c r="C200" i="1072"/>
  <c r="A242" i="1072"/>
  <c r="G242" i="1072" s="1"/>
  <c r="J108" i="1075"/>
  <c r="J107" i="1075"/>
  <c r="J59" i="1075"/>
  <c r="J35" i="1075"/>
  <c r="J23" i="1075"/>
  <c r="J112" i="1075"/>
  <c r="J104" i="1075"/>
  <c r="A230" i="1072"/>
  <c r="G230" i="1072" s="1"/>
  <c r="J96" i="1075"/>
  <c r="A222" i="1072"/>
  <c r="G222" i="1072" s="1"/>
  <c r="J88" i="1075"/>
  <c r="J80" i="1075"/>
  <c r="A206" i="1072"/>
  <c r="G206" i="1072" s="1"/>
  <c r="J72" i="1075"/>
  <c r="J64" i="1075"/>
  <c r="J56" i="1075"/>
  <c r="A182" i="1072"/>
  <c r="G182" i="1072" s="1"/>
  <c r="J48" i="1075"/>
  <c r="J40" i="1075"/>
  <c r="A166" i="1072"/>
  <c r="G166" i="1072" s="1"/>
  <c r="J32" i="1075"/>
  <c r="C239" i="1072"/>
  <c r="C231" i="1072"/>
  <c r="C215" i="1072"/>
  <c r="C199" i="1072"/>
  <c r="C167" i="1072"/>
  <c r="C159" i="1072"/>
  <c r="C241" i="1072"/>
  <c r="C177" i="1072"/>
  <c r="J67" i="1075"/>
  <c r="A237" i="1072"/>
  <c r="G237" i="1072" s="1"/>
  <c r="J103" i="1075"/>
  <c r="J95" i="1075"/>
  <c r="A221" i="1072"/>
  <c r="G221" i="1072" s="1"/>
  <c r="J87" i="1075"/>
  <c r="J79" i="1075"/>
  <c r="J71" i="1075"/>
  <c r="A197" i="1072"/>
  <c r="G197" i="1072" s="1"/>
  <c r="J63" i="1075"/>
  <c r="J55" i="1075"/>
  <c r="J47" i="1075"/>
  <c r="A173" i="1072"/>
  <c r="G173" i="1072" s="1"/>
  <c r="J39" i="1075"/>
  <c r="A165" i="1072"/>
  <c r="G165" i="1072" s="1"/>
  <c r="J31" i="1075"/>
  <c r="C156" i="1072"/>
  <c r="C206" i="1072"/>
  <c r="C190" i="1072"/>
  <c r="C184" i="1072"/>
  <c r="A209" i="1072"/>
  <c r="G209" i="1072" s="1"/>
  <c r="J75" i="1075"/>
  <c r="J111" i="1075"/>
  <c r="H21" i="1075" a="1"/>
  <c r="H21" i="1075" s="1"/>
  <c r="J21" i="1075"/>
  <c r="J110" i="1075"/>
  <c r="A236" i="1072"/>
  <c r="G236" i="1072" s="1"/>
  <c r="J102" i="1075"/>
  <c r="A228" i="1072"/>
  <c r="G228" i="1072" s="1"/>
  <c r="J94" i="1075"/>
  <c r="J86" i="1075"/>
  <c r="A212" i="1072"/>
  <c r="G212" i="1072" s="1"/>
  <c r="J78" i="1075"/>
  <c r="J70" i="1075"/>
  <c r="A196" i="1072"/>
  <c r="G196" i="1072" s="1"/>
  <c r="J62" i="1075"/>
  <c r="A188" i="1072"/>
  <c r="G188" i="1072" s="1"/>
  <c r="J54" i="1075"/>
  <c r="J46" i="1075"/>
  <c r="J38" i="1075"/>
  <c r="J30" i="1075"/>
  <c r="C237" i="1072"/>
  <c r="C221" i="1072"/>
  <c r="C181" i="1072"/>
  <c r="C173" i="1072"/>
  <c r="C157" i="1072"/>
  <c r="C225" i="1072"/>
  <c r="C161" i="1072"/>
  <c r="F9" i="1053"/>
  <c r="F13" i="1053"/>
  <c r="F17" i="1053"/>
  <c r="F21" i="1053"/>
  <c r="F25" i="1053"/>
  <c r="F10" i="1053"/>
  <c r="F14" i="1053"/>
  <c r="F18" i="1053"/>
  <c r="F22" i="1053"/>
  <c r="F26" i="1053"/>
  <c r="F11" i="1053"/>
  <c r="F15" i="1053"/>
  <c r="F19" i="1053"/>
  <c r="F23" i="1053"/>
  <c r="F8" i="1053"/>
  <c r="F12" i="1053"/>
  <c r="F16" i="1053"/>
  <c r="F20" i="1053"/>
  <c r="F24" i="1053"/>
  <c r="J21" i="1041"/>
  <c r="G31" i="1053"/>
  <c r="AA110" i="1072"/>
  <c r="D145" i="1072" s="1"/>
  <c r="F14" i="296"/>
  <c r="H21" i="1041"/>
  <c r="E47" i="1071"/>
  <c r="H42" i="1071" s="1"/>
  <c r="A152" i="1072"/>
  <c r="G152" i="1072" s="1"/>
  <c r="C152" i="1072"/>
  <c r="C151" i="1072"/>
  <c r="A153" i="1072"/>
  <c r="G153" i="1072" s="1"/>
  <c r="J19" i="1075"/>
  <c r="A180" i="1072"/>
  <c r="G180" i="1072" s="1"/>
  <c r="A164" i="1072"/>
  <c r="G164" i="1072" s="1"/>
  <c r="A193" i="1072"/>
  <c r="G193" i="1072" s="1"/>
  <c r="A220" i="1072"/>
  <c r="G220" i="1072" s="1"/>
  <c r="A246" i="1072"/>
  <c r="G246" i="1072" s="1"/>
  <c r="C246" i="1072"/>
  <c r="C230" i="1072"/>
  <c r="C214" i="1072"/>
  <c r="C198" i="1072"/>
  <c r="C182" i="1072"/>
  <c r="C166" i="1072"/>
  <c r="A179" i="1072"/>
  <c r="G179" i="1072" s="1"/>
  <c r="A163" i="1072"/>
  <c r="G163" i="1072" s="1"/>
  <c r="A192" i="1072"/>
  <c r="G192" i="1072" s="1"/>
  <c r="A219" i="1072"/>
  <c r="G219" i="1072" s="1"/>
  <c r="A245" i="1072"/>
  <c r="G245" i="1072" s="1"/>
  <c r="C235" i="1072"/>
  <c r="C219" i="1072"/>
  <c r="C203" i="1072"/>
  <c r="C187" i="1072"/>
  <c r="C171" i="1072"/>
  <c r="A178" i="1072"/>
  <c r="G178" i="1072" s="1"/>
  <c r="A162" i="1072"/>
  <c r="G162" i="1072" s="1"/>
  <c r="A234" i="1072"/>
  <c r="G234" i="1072" s="1"/>
  <c r="A218" i="1072"/>
  <c r="G218" i="1072" s="1"/>
  <c r="A244" i="1072"/>
  <c r="G244" i="1072" s="1"/>
  <c r="C240" i="1072"/>
  <c r="C224" i="1072"/>
  <c r="C208" i="1072"/>
  <c r="C192" i="1072"/>
  <c r="C176" i="1072"/>
  <c r="A177" i="1072"/>
  <c r="G177" i="1072" s="1"/>
  <c r="A161" i="1072"/>
  <c r="G161" i="1072" s="1"/>
  <c r="A217" i="1072"/>
  <c r="G217" i="1072" s="1"/>
  <c r="A243" i="1072"/>
  <c r="G243" i="1072" s="1"/>
  <c r="C245" i="1072"/>
  <c r="C229" i="1072"/>
  <c r="C213" i="1072"/>
  <c r="C197" i="1072"/>
  <c r="C165" i="1072"/>
  <c r="A205" i="1072"/>
  <c r="G205" i="1072" s="1"/>
  <c r="A232" i="1072"/>
  <c r="G232" i="1072" s="1"/>
  <c r="A216" i="1072"/>
  <c r="G216" i="1072" s="1"/>
  <c r="C234" i="1072"/>
  <c r="C218" i="1072"/>
  <c r="C186" i="1072"/>
  <c r="A175" i="1072"/>
  <c r="G175" i="1072" s="1"/>
  <c r="A204" i="1072"/>
  <c r="G204" i="1072" s="1"/>
  <c r="A231" i="1072"/>
  <c r="G231" i="1072" s="1"/>
  <c r="A241" i="1072"/>
  <c r="G241" i="1072" s="1"/>
  <c r="C223" i="1072"/>
  <c r="C207" i="1072"/>
  <c r="C191" i="1072"/>
  <c r="C175" i="1072"/>
  <c r="A190" i="1072"/>
  <c r="G190" i="1072" s="1"/>
  <c r="A174" i="1072"/>
  <c r="G174" i="1072" s="1"/>
  <c r="A214" i="1072"/>
  <c r="G214" i="1072" s="1"/>
  <c r="A240" i="1072"/>
  <c r="G240" i="1072" s="1"/>
  <c r="C244" i="1072"/>
  <c r="C228" i="1072"/>
  <c r="C212" i="1072"/>
  <c r="C180" i="1072"/>
  <c r="A189" i="1072"/>
  <c r="G189" i="1072" s="1"/>
  <c r="A202" i="1072"/>
  <c r="G202" i="1072" s="1"/>
  <c r="A229" i="1072"/>
  <c r="G229" i="1072" s="1"/>
  <c r="A213" i="1072"/>
  <c r="G213" i="1072" s="1"/>
  <c r="C217" i="1072"/>
  <c r="C201" i="1072"/>
  <c r="C185" i="1072"/>
  <c r="C169" i="1072"/>
  <c r="A172" i="1072"/>
  <c r="G172" i="1072" s="1"/>
  <c r="A201" i="1072"/>
  <c r="G201" i="1072" s="1"/>
  <c r="A238" i="1072"/>
  <c r="G238" i="1072" s="1"/>
  <c r="C238" i="1072"/>
  <c r="C222" i="1072"/>
  <c r="C174" i="1072"/>
  <c r="A187" i="1072"/>
  <c r="G187" i="1072" s="1"/>
  <c r="A211" i="1072"/>
  <c r="G211" i="1072" s="1"/>
  <c r="C195" i="1072"/>
  <c r="C163" i="1072"/>
  <c r="A186" i="1072"/>
  <c r="G186" i="1072" s="1"/>
  <c r="A199" i="1072"/>
  <c r="G199" i="1072" s="1"/>
  <c r="A226" i="1072"/>
  <c r="G226" i="1072" s="1"/>
  <c r="A169" i="1072"/>
  <c r="G169" i="1072" s="1"/>
  <c r="A198" i="1072"/>
  <c r="G198" i="1072" s="1"/>
  <c r="C205" i="1072"/>
  <c r="C189" i="1072"/>
  <c r="A208" i="1072"/>
  <c r="G208" i="1072" s="1"/>
  <c r="C226" i="1072"/>
  <c r="C247" i="1072"/>
  <c r="C183" i="1072"/>
  <c r="C220" i="1072"/>
  <c r="C172" i="1072"/>
  <c r="A181" i="1072"/>
  <c r="G181" i="1072" s="1"/>
  <c r="H64" i="1071"/>
  <c r="I79" i="1071"/>
  <c r="J79" i="1071"/>
  <c r="H79" i="1071"/>
  <c r="H14" i="296"/>
  <c r="J64" i="1071"/>
  <c r="I64" i="1071"/>
  <c r="G40" i="1034"/>
  <c r="G42" i="1034"/>
  <c r="E15" i="1078"/>
  <c r="H13" i="1078" s="1"/>
  <c r="E19" i="1078"/>
  <c r="H17" i="1078" s="1"/>
  <c r="E23" i="1078"/>
  <c r="H21" i="1078" s="1"/>
  <c r="E11" i="1078"/>
  <c r="J2" i="1078"/>
  <c r="G28" i="890"/>
  <c r="E28" i="890" s="1"/>
  <c r="E130" i="1024"/>
  <c r="E157" i="1024"/>
  <c r="G143" i="1024"/>
  <c r="E148" i="1024"/>
  <c r="H146" i="1024" s="1"/>
  <c r="E139" i="1024"/>
  <c r="G139" i="1024"/>
  <c r="E121" i="1024"/>
  <c r="E109" i="1024"/>
  <c r="H107" i="1024" s="1"/>
  <c r="E85" i="1024"/>
  <c r="G86" i="1024" s="1"/>
  <c r="E41" i="1024"/>
  <c r="E36" i="1024"/>
  <c r="E23" i="1024"/>
  <c r="G25" i="1024" s="1"/>
  <c r="J19" i="1024"/>
  <c r="J15" i="1024"/>
  <c r="E19" i="1024"/>
  <c r="J11" i="1024"/>
  <c r="E15" i="1024"/>
  <c r="F29" i="296"/>
  <c r="J29" i="296" s="1"/>
  <c r="G29" i="296"/>
  <c r="K29" i="296" s="1"/>
  <c r="H29" i="296"/>
  <c r="L29" i="296" s="1"/>
  <c r="I29" i="296"/>
  <c r="F27" i="296"/>
  <c r="J27" i="296" s="1"/>
  <c r="G27" i="296"/>
  <c r="K27" i="296" s="1"/>
  <c r="H27" i="296"/>
  <c r="L27" i="296" s="1"/>
  <c r="I27" i="296"/>
  <c r="G25" i="1030"/>
  <c r="H25" i="1030"/>
  <c r="I25" i="1030"/>
  <c r="G26" i="1030"/>
  <c r="H26" i="1030"/>
  <c r="I26" i="1030"/>
  <c r="F26" i="1030"/>
  <c r="F25" i="1030"/>
  <c r="E230" i="1023"/>
  <c r="E229" i="1023"/>
  <c r="E228" i="1023"/>
  <c r="E227" i="1023"/>
  <c r="E223" i="1023"/>
  <c r="E221" i="1023"/>
  <c r="E220" i="1023"/>
  <c r="E216" i="1023"/>
  <c r="E215" i="1023"/>
  <c r="E214" i="1023"/>
  <c r="J40" i="1034"/>
  <c r="I40" i="1034"/>
  <c r="H40" i="1034"/>
  <c r="C13" i="1048"/>
  <c r="C11" i="1048"/>
  <c r="C9" i="1048"/>
  <c r="J60" i="1024"/>
  <c r="I88" i="1048"/>
  <c r="I117" i="1048" s="1"/>
  <c r="I89" i="1048"/>
  <c r="I118" i="1048" s="1"/>
  <c r="I90" i="1048"/>
  <c r="I119" i="1048" s="1"/>
  <c r="I91" i="1048"/>
  <c r="I120" i="1048" s="1"/>
  <c r="I92" i="1048"/>
  <c r="I121" i="1048" s="1"/>
  <c r="I93" i="1048"/>
  <c r="I122" i="1048" s="1"/>
  <c r="I94" i="1048"/>
  <c r="I123" i="1048" s="1"/>
  <c r="I95" i="1048"/>
  <c r="I124" i="1048" s="1"/>
  <c r="I96" i="1048"/>
  <c r="I125" i="1048" s="1"/>
  <c r="I97" i="1048"/>
  <c r="I126" i="1048" s="1"/>
  <c r="I98" i="1048"/>
  <c r="I127" i="1048" s="1"/>
  <c r="I99" i="1048"/>
  <c r="I128" i="1048" s="1"/>
  <c r="I100" i="1048"/>
  <c r="I129" i="1048" s="1"/>
  <c r="I101" i="1048"/>
  <c r="I130" i="1048" s="1"/>
  <c r="I102" i="1048"/>
  <c r="I131" i="1048" s="1"/>
  <c r="I103" i="1048"/>
  <c r="I132" i="1048" s="1"/>
  <c r="I104" i="1048"/>
  <c r="I133" i="1048" s="1"/>
  <c r="I105" i="1048"/>
  <c r="I134" i="1048" s="1"/>
  <c r="I106" i="1048"/>
  <c r="I135" i="1048" s="1"/>
  <c r="I107" i="1048"/>
  <c r="I136" i="1048" s="1"/>
  <c r="I108" i="1048"/>
  <c r="I137" i="1048" s="1"/>
  <c r="I109" i="1048"/>
  <c r="I138" i="1048" s="1"/>
  <c r="I111" i="1048"/>
  <c r="I140" i="1048" s="1"/>
  <c r="I87" i="1048"/>
  <c r="I116" i="1048" s="1"/>
  <c r="I59" i="1048"/>
  <c r="I60" i="1048"/>
  <c r="I61" i="1048"/>
  <c r="I62" i="1048"/>
  <c r="I63" i="1048"/>
  <c r="I64" i="1048"/>
  <c r="I65" i="1048"/>
  <c r="I66" i="1048"/>
  <c r="I67" i="1048"/>
  <c r="I68" i="1048"/>
  <c r="I69" i="1048"/>
  <c r="I70" i="1048"/>
  <c r="I71" i="1048"/>
  <c r="I72" i="1048"/>
  <c r="I73" i="1048"/>
  <c r="I74" i="1048"/>
  <c r="I75" i="1048"/>
  <c r="I76" i="1048"/>
  <c r="I77" i="1048"/>
  <c r="I78" i="1048"/>
  <c r="I79" i="1048"/>
  <c r="I80" i="1048"/>
  <c r="I82" i="1048"/>
  <c r="I58" i="1048"/>
  <c r="G163" i="890"/>
  <c r="E163" i="890" s="1"/>
  <c r="G164" i="890" s="1"/>
  <c r="E56" i="1024"/>
  <c r="H58" i="1024" s="1"/>
  <c r="H57" i="1024"/>
  <c r="E57" i="1024" s="1"/>
  <c r="G58" i="1024" s="1"/>
  <c r="AB43" i="1072" a="1"/>
  <c r="AA66" i="1072" a="1"/>
  <c r="AA38" i="1072" a="1"/>
  <c r="AA81" i="1072" a="1"/>
  <c r="AA43" i="1072" a="1"/>
  <c r="AB40" i="1072" a="1"/>
  <c r="AA86" i="1072" a="1"/>
  <c r="AA68" i="1072" a="1"/>
  <c r="AB54" i="1072" a="1"/>
  <c r="AA85" i="1072" a="1"/>
  <c r="AA35" i="1072" a="1"/>
  <c r="AA37" i="1072" a="1"/>
  <c r="AB164" i="1072" a="1"/>
  <c r="AA41" i="1072" a="1"/>
  <c r="AC43" i="1072" a="1"/>
  <c r="AA36" i="1072" a="1"/>
  <c r="AC42" i="1072" a="1"/>
  <c r="AA80" i="1072" a="1"/>
  <c r="AA47" i="1072" a="1"/>
  <c r="AB42" i="1072" a="1"/>
  <c r="AA164" i="1072" a="1"/>
  <c r="AA42" i="1072" a="1"/>
  <c r="AA109" i="1072" a="1"/>
  <c r="AA40" i="1072" a="1"/>
  <c r="AB39" i="1072" a="1"/>
  <c r="AC164" i="1072" a="1"/>
  <c r="I188" i="1072" l="1" a="1"/>
  <c r="I188" i="1072" s="1"/>
  <c r="H188" i="1072" a="1"/>
  <c r="H188" i="1072" s="1"/>
  <c r="I212" i="1072" a="1"/>
  <c r="I212" i="1072" s="1"/>
  <c r="H212" i="1072" a="1"/>
  <c r="H212" i="1072" s="1"/>
  <c r="I236" i="1072" a="1"/>
  <c r="I236" i="1072" s="1"/>
  <c r="H236" i="1072" a="1"/>
  <c r="H236" i="1072" s="1"/>
  <c r="I197" i="1072" a="1"/>
  <c r="I197" i="1072" s="1"/>
  <c r="H197" i="1072" a="1"/>
  <c r="H197" i="1072" s="1"/>
  <c r="I172" i="1072" a="1"/>
  <c r="I172" i="1072" s="1"/>
  <c r="H172" i="1072" a="1"/>
  <c r="H172" i="1072" s="1"/>
  <c r="I189" i="1072" a="1"/>
  <c r="I189" i="1072" s="1"/>
  <c r="H189" i="1072" a="1"/>
  <c r="H189" i="1072" s="1"/>
  <c r="I190" i="1072" a="1"/>
  <c r="I190" i="1072" s="1"/>
  <c r="H190" i="1072" a="1"/>
  <c r="H190" i="1072" s="1"/>
  <c r="I175" i="1072" a="1"/>
  <c r="I175" i="1072" s="1"/>
  <c r="H175" i="1072" a="1"/>
  <c r="H175" i="1072" s="1"/>
  <c r="I162" i="1072" a="1"/>
  <c r="I162" i="1072" s="1"/>
  <c r="H162" i="1072" a="1"/>
  <c r="H162" i="1072" s="1"/>
  <c r="I219" i="1072" a="1"/>
  <c r="I219" i="1072" s="1"/>
  <c r="H219" i="1072" a="1"/>
  <c r="H219" i="1072" s="1"/>
  <c r="I153" i="1072" a="1"/>
  <c r="I153" i="1072" s="1"/>
  <c r="H153" i="1072" a="1"/>
  <c r="H153" i="1072" s="1"/>
  <c r="I173" i="1072" a="1"/>
  <c r="I173" i="1072" s="1"/>
  <c r="H173" i="1072" a="1"/>
  <c r="H173" i="1072" s="1"/>
  <c r="I194" i="1072" a="1"/>
  <c r="I194" i="1072" s="1"/>
  <c r="H194" i="1072" a="1"/>
  <c r="H194" i="1072" s="1"/>
  <c r="I235" i="1072" a="1"/>
  <c r="I235" i="1072" s="1"/>
  <c r="H235" i="1072" a="1"/>
  <c r="H235" i="1072" s="1"/>
  <c r="I233" i="1072" a="1"/>
  <c r="I233" i="1072" s="1"/>
  <c r="H233" i="1072" a="1"/>
  <c r="H233" i="1072" s="1"/>
  <c r="I203" i="1072" a="1"/>
  <c r="I203" i="1072" s="1"/>
  <c r="H203" i="1072" a="1"/>
  <c r="H203" i="1072" s="1"/>
  <c r="I208" i="1072" a="1"/>
  <c r="I208" i="1072" s="1"/>
  <c r="H208" i="1072" a="1"/>
  <c r="H208" i="1072" s="1"/>
  <c r="I201" i="1072" a="1"/>
  <c r="I201" i="1072" s="1"/>
  <c r="H201" i="1072" a="1"/>
  <c r="H201" i="1072" s="1"/>
  <c r="I202" i="1072" a="1"/>
  <c r="I202" i="1072" s="1"/>
  <c r="H202" i="1072" a="1"/>
  <c r="H202" i="1072" s="1"/>
  <c r="I174" i="1072" a="1"/>
  <c r="I174" i="1072" s="1"/>
  <c r="H174" i="1072" a="1"/>
  <c r="H174" i="1072" s="1"/>
  <c r="I204" i="1072" a="1"/>
  <c r="I204" i="1072" s="1"/>
  <c r="H204" i="1072" a="1"/>
  <c r="H204" i="1072" s="1"/>
  <c r="I177" i="1072" a="1"/>
  <c r="I177" i="1072" s="1"/>
  <c r="H177" i="1072" a="1"/>
  <c r="H177" i="1072" s="1"/>
  <c r="I234" i="1072" a="1"/>
  <c r="I234" i="1072" s="1"/>
  <c r="H234" i="1072" a="1"/>
  <c r="H234" i="1072" s="1"/>
  <c r="I245" i="1072" a="1"/>
  <c r="I245" i="1072" s="1"/>
  <c r="H245" i="1072" a="1"/>
  <c r="H245" i="1072" s="1"/>
  <c r="I223" i="1072" a="1"/>
  <c r="I223" i="1072" s="1"/>
  <c r="H223" i="1072" a="1"/>
  <c r="H223" i="1072" s="1"/>
  <c r="I247" i="1072" a="1"/>
  <c r="I247" i="1072" s="1"/>
  <c r="H247" i="1072" a="1"/>
  <c r="H247" i="1072" s="1"/>
  <c r="I168" i="1072" a="1"/>
  <c r="I168" i="1072" s="1"/>
  <c r="H168" i="1072" a="1"/>
  <c r="H168" i="1072" s="1"/>
  <c r="I209" i="1072" a="1"/>
  <c r="I209" i="1072" s="1"/>
  <c r="H209" i="1072" a="1"/>
  <c r="H209" i="1072" s="1"/>
  <c r="I166" i="1072" a="1"/>
  <c r="I166" i="1072" s="1"/>
  <c r="H166" i="1072" a="1"/>
  <c r="H166" i="1072" s="1"/>
  <c r="I183" i="1072" a="1"/>
  <c r="I183" i="1072" s="1"/>
  <c r="H183" i="1072" a="1"/>
  <c r="H183" i="1072" s="1"/>
  <c r="I207" i="1072" a="1"/>
  <c r="I207" i="1072" s="1"/>
  <c r="H207" i="1072" a="1"/>
  <c r="H207" i="1072" s="1"/>
  <c r="I224" i="1072" a="1"/>
  <c r="I224" i="1072" s="1"/>
  <c r="H224" i="1072" a="1"/>
  <c r="H224" i="1072" s="1"/>
  <c r="I170" i="1072" a="1"/>
  <c r="I170" i="1072" s="1"/>
  <c r="H170" i="1072" a="1"/>
  <c r="H170" i="1072" s="1"/>
  <c r="I181" i="1072" a="1"/>
  <c r="I181" i="1072" s="1"/>
  <c r="H181" i="1072" a="1"/>
  <c r="H181" i="1072" s="1"/>
  <c r="I211" i="1072" a="1"/>
  <c r="I211" i="1072" s="1"/>
  <c r="H211" i="1072" a="1"/>
  <c r="H211" i="1072" s="1"/>
  <c r="I178" i="1072" a="1"/>
  <c r="I178" i="1072" s="1"/>
  <c r="H178" i="1072" a="1"/>
  <c r="H178" i="1072" s="1"/>
  <c r="I192" i="1072" a="1"/>
  <c r="I192" i="1072" s="1"/>
  <c r="H192" i="1072" a="1"/>
  <c r="H192" i="1072" s="1"/>
  <c r="I198" i="1072" a="1"/>
  <c r="I198" i="1072" s="1"/>
  <c r="H198" i="1072" a="1"/>
  <c r="H198" i="1072" s="1"/>
  <c r="I187" i="1072" a="1"/>
  <c r="I187" i="1072" s="1"/>
  <c r="H187" i="1072" a="1"/>
  <c r="H187" i="1072" s="1"/>
  <c r="I163" i="1072" a="1"/>
  <c r="I163" i="1072" s="1"/>
  <c r="H163" i="1072" a="1"/>
  <c r="H163" i="1072" s="1"/>
  <c r="I246" i="1072" a="1"/>
  <c r="I246" i="1072" s="1"/>
  <c r="H246" i="1072" a="1"/>
  <c r="H246" i="1072" s="1"/>
  <c r="I222" i="1072" a="1"/>
  <c r="I222" i="1072" s="1"/>
  <c r="H222" i="1072" a="1"/>
  <c r="H222" i="1072" s="1"/>
  <c r="I176" i="1072" a="1"/>
  <c r="I176" i="1072" s="1"/>
  <c r="H176" i="1072" a="1"/>
  <c r="H176" i="1072" s="1"/>
  <c r="I200" i="1072" a="1"/>
  <c r="I200" i="1072" s="1"/>
  <c r="H200" i="1072" a="1"/>
  <c r="H200" i="1072" s="1"/>
  <c r="I237" i="1072" a="1"/>
  <c r="I237" i="1072" s="1"/>
  <c r="H237" i="1072" a="1"/>
  <c r="H237" i="1072" s="1"/>
  <c r="I185" i="1072" a="1"/>
  <c r="I185" i="1072" s="1"/>
  <c r="H185" i="1072" a="1"/>
  <c r="H185" i="1072" s="1"/>
  <c r="I195" i="1072" a="1"/>
  <c r="I195" i="1072" s="1"/>
  <c r="H195" i="1072" a="1"/>
  <c r="H195" i="1072" s="1"/>
  <c r="I221" i="1072" a="1"/>
  <c r="I221" i="1072" s="1"/>
  <c r="H221" i="1072" a="1"/>
  <c r="H221" i="1072" s="1"/>
  <c r="I228" i="1072" a="1"/>
  <c r="I228" i="1072" s="1"/>
  <c r="H228" i="1072" a="1"/>
  <c r="H228" i="1072" s="1"/>
  <c r="I242" i="1072" a="1"/>
  <c r="I242" i="1072" s="1"/>
  <c r="H242" i="1072" a="1"/>
  <c r="H242" i="1072" s="1"/>
  <c r="I167" i="1072" a="1"/>
  <c r="I167" i="1072" s="1"/>
  <c r="H167" i="1072" a="1"/>
  <c r="H167" i="1072" s="1"/>
  <c r="I191" i="1072" a="1"/>
  <c r="I191" i="1072" s="1"/>
  <c r="H191" i="1072" a="1"/>
  <c r="H191" i="1072" s="1"/>
  <c r="I215" i="1072" a="1"/>
  <c r="I215" i="1072" s="1"/>
  <c r="H215" i="1072" a="1"/>
  <c r="H215" i="1072" s="1"/>
  <c r="I239" i="1072" a="1"/>
  <c r="I239" i="1072" s="1"/>
  <c r="H239" i="1072" a="1"/>
  <c r="H239" i="1072" s="1"/>
  <c r="I171" i="1072" a="1"/>
  <c r="I171" i="1072" s="1"/>
  <c r="H171" i="1072" a="1"/>
  <c r="H171" i="1072" s="1"/>
  <c r="I186" i="1072" a="1"/>
  <c r="I186" i="1072" s="1"/>
  <c r="H186" i="1072" a="1"/>
  <c r="H186" i="1072" s="1"/>
  <c r="I238" i="1072" a="1"/>
  <c r="I238" i="1072" s="1"/>
  <c r="H238" i="1072" a="1"/>
  <c r="H238" i="1072" s="1"/>
  <c r="I229" i="1072" a="1"/>
  <c r="I229" i="1072" s="1"/>
  <c r="H229" i="1072" a="1"/>
  <c r="H229" i="1072" s="1"/>
  <c r="I214" i="1072" a="1"/>
  <c r="I214" i="1072" s="1"/>
  <c r="H214" i="1072" a="1"/>
  <c r="H214" i="1072" s="1"/>
  <c r="I231" i="1072" a="1"/>
  <c r="I231" i="1072" s="1"/>
  <c r="H231" i="1072" a="1"/>
  <c r="H231" i="1072" s="1"/>
  <c r="I205" i="1072" a="1"/>
  <c r="I205" i="1072" s="1"/>
  <c r="H205" i="1072" a="1"/>
  <c r="H205" i="1072" s="1"/>
  <c r="I161" i="1072" a="1"/>
  <c r="I161" i="1072" s="1"/>
  <c r="H161" i="1072" a="1"/>
  <c r="H161" i="1072" s="1"/>
  <c r="I218" i="1072" a="1"/>
  <c r="I218" i="1072" s="1"/>
  <c r="H218" i="1072" a="1"/>
  <c r="H218" i="1072" s="1"/>
  <c r="I180" i="1072" a="1"/>
  <c r="I180" i="1072" s="1"/>
  <c r="H180" i="1072" a="1"/>
  <c r="H180" i="1072" s="1"/>
  <c r="I196" i="1072" a="1"/>
  <c r="I196" i="1072" s="1"/>
  <c r="H196" i="1072" a="1"/>
  <c r="H196" i="1072" s="1"/>
  <c r="I169" i="1072" a="1"/>
  <c r="I169" i="1072" s="1"/>
  <c r="H169" i="1072" a="1"/>
  <c r="H169" i="1072" s="1"/>
  <c r="I179" i="1072" a="1"/>
  <c r="I179" i="1072" s="1"/>
  <c r="H179" i="1072" a="1"/>
  <c r="H179" i="1072" s="1"/>
  <c r="I220" i="1072" a="1"/>
  <c r="I220" i="1072" s="1"/>
  <c r="H220" i="1072" a="1"/>
  <c r="H220" i="1072" s="1"/>
  <c r="I152" i="1072" a="1"/>
  <c r="I152" i="1072" s="1"/>
  <c r="H152" i="1072" a="1"/>
  <c r="H152" i="1072" s="1"/>
  <c r="I226" i="1072" a="1"/>
  <c r="I226" i="1072" s="1"/>
  <c r="H226" i="1072" a="1"/>
  <c r="H226" i="1072" s="1"/>
  <c r="I216" i="1072" a="1"/>
  <c r="I216" i="1072" s="1"/>
  <c r="H216" i="1072" a="1"/>
  <c r="H216" i="1072" s="1"/>
  <c r="I243" i="1072" a="1"/>
  <c r="I243" i="1072" s="1"/>
  <c r="H243" i="1072" a="1"/>
  <c r="H243" i="1072" s="1"/>
  <c r="I193" i="1072" a="1"/>
  <c r="I193" i="1072" s="1"/>
  <c r="H193" i="1072" a="1"/>
  <c r="H193" i="1072" s="1"/>
  <c r="I199" i="1072" a="1"/>
  <c r="I199" i="1072" s="1"/>
  <c r="H199" i="1072" a="1"/>
  <c r="H199" i="1072" s="1"/>
  <c r="I213" i="1072" a="1"/>
  <c r="I213" i="1072" s="1"/>
  <c r="H213" i="1072" a="1"/>
  <c r="H213" i="1072" s="1"/>
  <c r="I240" i="1072" a="1"/>
  <c r="I240" i="1072" s="1"/>
  <c r="H240" i="1072" a="1"/>
  <c r="H240" i="1072" s="1"/>
  <c r="I241" i="1072" a="1"/>
  <c r="I241" i="1072" s="1"/>
  <c r="H241" i="1072" a="1"/>
  <c r="H241" i="1072" s="1"/>
  <c r="I232" i="1072" a="1"/>
  <c r="I232" i="1072" s="1"/>
  <c r="H232" i="1072" a="1"/>
  <c r="H232" i="1072" s="1"/>
  <c r="I217" i="1072" a="1"/>
  <c r="I217" i="1072" s="1"/>
  <c r="H217" i="1072" a="1"/>
  <c r="H217" i="1072" s="1"/>
  <c r="I244" i="1072" a="1"/>
  <c r="I244" i="1072" s="1"/>
  <c r="H244" i="1072" a="1"/>
  <c r="H244" i="1072" s="1"/>
  <c r="I164" i="1072" a="1"/>
  <c r="I164" i="1072" s="1"/>
  <c r="H164" i="1072" a="1"/>
  <c r="H164" i="1072" s="1"/>
  <c r="I165" i="1072" a="1"/>
  <c r="I165" i="1072" s="1"/>
  <c r="H165" i="1072" a="1"/>
  <c r="H165" i="1072" s="1"/>
  <c r="I206" i="1072" a="1"/>
  <c r="I206" i="1072" s="1"/>
  <c r="H206" i="1072" a="1"/>
  <c r="H206" i="1072" s="1"/>
  <c r="I230" i="1072" a="1"/>
  <c r="I230" i="1072" s="1"/>
  <c r="H230" i="1072" a="1"/>
  <c r="H230" i="1072" s="1"/>
  <c r="I184" i="1072" a="1"/>
  <c r="I184" i="1072" s="1"/>
  <c r="H184" i="1072" a="1"/>
  <c r="H184" i="1072" s="1"/>
  <c r="I210" i="1072" a="1"/>
  <c r="I210" i="1072" s="1"/>
  <c r="H210" i="1072" a="1"/>
  <c r="H210" i="1072" s="1"/>
  <c r="I227" i="1072" a="1"/>
  <c r="I227" i="1072" s="1"/>
  <c r="H227" i="1072" a="1"/>
  <c r="H227" i="1072" s="1"/>
  <c r="I225" i="1072" a="1"/>
  <c r="I225" i="1072" s="1"/>
  <c r="H225" i="1072" a="1"/>
  <c r="H225" i="1072" s="1"/>
  <c r="I182" i="1072" a="1"/>
  <c r="I182" i="1072" s="1"/>
  <c r="H182" i="1072" a="1"/>
  <c r="H182" i="1072" s="1"/>
  <c r="AA35" i="1072"/>
  <c r="D97" i="1072" s="1"/>
  <c r="AA38" i="1072"/>
  <c r="D100" i="1072" s="1"/>
  <c r="AA109" i="1072"/>
  <c r="D106" i="1072" s="1"/>
  <c r="AA37" i="1072"/>
  <c r="D99" i="1072" s="1"/>
  <c r="AB40" i="1072"/>
  <c r="J93" i="1072" s="1"/>
  <c r="AA36" i="1072"/>
  <c r="D98" i="1072" s="1"/>
  <c r="AA43" i="1072"/>
  <c r="D96" i="1072" s="1"/>
  <c r="AA40" i="1072"/>
  <c r="D93" i="1072" s="1"/>
  <c r="AB54" i="1072"/>
  <c r="K107" i="1072" s="1"/>
  <c r="AB42" i="1072"/>
  <c r="J95" i="1072" s="1"/>
  <c r="AC42" i="1072"/>
  <c r="F95" i="1072" s="1"/>
  <c r="AA41" i="1072"/>
  <c r="D94" i="1072" s="1"/>
  <c r="AB39" i="1072"/>
  <c r="K101" i="1072" s="1"/>
  <c r="AB43" i="1072"/>
  <c r="J96" i="1072" s="1"/>
  <c r="AC43" i="1072"/>
  <c r="F96" i="1072" s="1"/>
  <c r="AA164" i="1072"/>
  <c r="D144" i="1072" s="1"/>
  <c r="AA42" i="1072"/>
  <c r="D95" i="1072" s="1"/>
  <c r="AB164" i="1072"/>
  <c r="AC164" i="1072"/>
  <c r="F144" i="1072" s="1"/>
  <c r="AA81" i="1072"/>
  <c r="D80" i="1072" s="1"/>
  <c r="AA80" i="1072"/>
  <c r="D79" i="1072" s="1"/>
  <c r="AA85" i="1072"/>
  <c r="D22" i="1072" s="1"/>
  <c r="AA86" i="1072"/>
  <c r="AA47" i="1072"/>
  <c r="D112" i="1072" s="1"/>
  <c r="J11" i="1041"/>
  <c r="J9" i="1053" s="1"/>
  <c r="G9" i="1053"/>
  <c r="G13" i="1053"/>
  <c r="G17" i="1053"/>
  <c r="G21" i="1053"/>
  <c r="G25" i="1053"/>
  <c r="G10" i="1053"/>
  <c r="G14" i="1053"/>
  <c r="G18" i="1053"/>
  <c r="G22" i="1053"/>
  <c r="G26" i="1053"/>
  <c r="G8" i="1053"/>
  <c r="G11" i="1053"/>
  <c r="G23" i="1053"/>
  <c r="G20" i="1053"/>
  <c r="G15" i="1053"/>
  <c r="G12" i="1053"/>
  <c r="G16" i="1053"/>
  <c r="G24" i="1053"/>
  <c r="G19" i="1053"/>
  <c r="AA68" i="1072"/>
  <c r="D69" i="1072" s="1"/>
  <c r="AA66" i="1072"/>
  <c r="D60" i="1072" s="1"/>
  <c r="E9" i="1053"/>
  <c r="E17" i="1053"/>
  <c r="E25" i="1053"/>
  <c r="E12" i="1053"/>
  <c r="E22" i="1053"/>
  <c r="E8" i="1053"/>
  <c r="E15" i="1053"/>
  <c r="E19" i="1053"/>
  <c r="E23" i="1053"/>
  <c r="E18" i="1053"/>
  <c r="E26" i="1053"/>
  <c r="E11" i="1053"/>
  <c r="E13" i="1053"/>
  <c r="E21" i="1053"/>
  <c r="E14" i="1053"/>
  <c r="E24" i="1053"/>
  <c r="E10" i="1053"/>
  <c r="E20" i="1053"/>
  <c r="E16" i="1053"/>
  <c r="E31" i="1053"/>
  <c r="H31" i="1053" s="1"/>
  <c r="E236" i="1023"/>
  <c r="AA20" i="1072" a="1"/>
  <c r="K95" i="1072" l="1"/>
  <c r="E95" i="1072"/>
  <c r="K96" i="1072"/>
  <c r="E96" i="1072"/>
  <c r="K93" i="1072"/>
  <c r="E93" i="1072"/>
  <c r="E153" i="1072"/>
  <c r="AA20" i="1072"/>
  <c r="D39" i="1072" s="1"/>
  <c r="D33" i="1053"/>
  <c r="F33" i="1053" s="1"/>
  <c r="J7" i="1053"/>
  <c r="E124" i="1072" s="1"/>
  <c r="J26" i="1053"/>
  <c r="E136" i="1072" s="1"/>
  <c r="J15" i="1053"/>
  <c r="E143" i="1072" s="1"/>
  <c r="J23" i="1053"/>
  <c r="J20" i="1053"/>
  <c r="J19" i="1053"/>
  <c r="E128" i="1072" s="1"/>
  <c r="J22" i="1053"/>
  <c r="E131" i="1072" s="1"/>
  <c r="J18" i="1053"/>
  <c r="E127" i="1072" s="1"/>
  <c r="J16" i="1053"/>
  <c r="E125" i="1072" s="1"/>
  <c r="J14" i="1053"/>
  <c r="E142" i="1072" s="1"/>
  <c r="E137" i="1072"/>
  <c r="J17" i="1053"/>
  <c r="E126" i="1072" s="1"/>
  <c r="J12" i="1053"/>
  <c r="E140" i="1072" s="1"/>
  <c r="J13" i="1053"/>
  <c r="E141" i="1072" s="1"/>
  <c r="J21" i="1053"/>
  <c r="E130" i="1072" s="1"/>
  <c r="J11" i="1053"/>
  <c r="E139" i="1072" s="1"/>
  <c r="J25" i="1053"/>
  <c r="E134" i="1072" s="1"/>
  <c r="J10" i="1053"/>
  <c r="E138" i="1072" s="1"/>
  <c r="J24" i="1053"/>
  <c r="E133" i="1072" s="1"/>
  <c r="J8" i="1053"/>
  <c r="E135" i="1072" s="1"/>
  <c r="E187" i="890"/>
  <c r="G39" i="890"/>
  <c r="E39" i="890" s="1"/>
  <c r="G38" i="890"/>
  <c r="E38" i="890" s="1"/>
  <c r="E186" i="890"/>
  <c r="E140" i="1024"/>
  <c r="G18" i="890"/>
  <c r="G17" i="890"/>
  <c r="H9" i="1078"/>
  <c r="G90" i="1024"/>
  <c r="E231" i="1023"/>
  <c r="E224" i="1023"/>
  <c r="E217" i="1023"/>
  <c r="E58" i="1024"/>
  <c r="G62" i="1024" s="1"/>
  <c r="AB131" i="1072" a="1"/>
  <c r="AB114" i="1072" a="1"/>
  <c r="AB129" i="1072" a="1"/>
  <c r="AB118" i="1072" a="1"/>
  <c r="AB133" i="1072" a="1"/>
  <c r="AB132" i="1072" a="1"/>
  <c r="AB122" i="1072" a="1"/>
  <c r="AB123" i="1072" a="1"/>
  <c r="AA79" i="1072" a="1"/>
  <c r="AB117" i="1072" a="1"/>
  <c r="AB120" i="1072" a="1"/>
  <c r="AB119" i="1072" a="1"/>
  <c r="AB128" i="1072" a="1"/>
  <c r="AB127" i="1072" a="1"/>
  <c r="AB124" i="1072" a="1"/>
  <c r="AB116" i="1072" a="1"/>
  <c r="AB125" i="1072" a="1"/>
  <c r="AB126" i="1072" a="1"/>
  <c r="AB130" i="1072" a="1"/>
  <c r="AB115" i="1072" a="1"/>
  <c r="AB121" i="1072" a="1"/>
  <c r="AA79" i="1072" l="1"/>
  <c r="D78" i="1072" s="1"/>
  <c r="E132" i="1072"/>
  <c r="E129" i="1072"/>
  <c r="AB128" i="1072"/>
  <c r="AB129" i="1072"/>
  <c r="AB119" i="1072"/>
  <c r="AB127" i="1072"/>
  <c r="AB118" i="1072"/>
  <c r="AB125" i="1072"/>
  <c r="AB120" i="1072"/>
  <c r="AB126" i="1072"/>
  <c r="AB115" i="1072"/>
  <c r="AB124" i="1072"/>
  <c r="AB130" i="1072"/>
  <c r="AB131" i="1072"/>
  <c r="AB116" i="1072"/>
  <c r="AB122" i="1072"/>
  <c r="AB117" i="1072"/>
  <c r="AB121" i="1072"/>
  <c r="AB133" i="1072"/>
  <c r="AB132" i="1072"/>
  <c r="AB123" i="1072"/>
  <c r="AB114" i="1072"/>
  <c r="E18" i="890"/>
  <c r="E17" i="890"/>
  <c r="E27" i="890"/>
  <c r="A2" i="1076" l="1"/>
  <c r="A3" i="1076"/>
  <c r="A4" i="1076"/>
  <c r="A5" i="1076"/>
  <c r="A6" i="1076"/>
  <c r="A7" i="1076"/>
  <c r="A8" i="1076"/>
  <c r="A9" i="1076"/>
  <c r="A10" i="1076"/>
  <c r="A11" i="1076"/>
  <c r="A12" i="1076"/>
  <c r="A13" i="1076"/>
  <c r="A14" i="1076"/>
  <c r="A15" i="1076"/>
  <c r="A16" i="1076"/>
  <c r="A17" i="1076"/>
  <c r="A18" i="1076"/>
  <c r="A19" i="1076"/>
  <c r="A20" i="1076"/>
  <c r="A21" i="1076"/>
  <c r="A22" i="1076"/>
  <c r="A23" i="1076"/>
  <c r="A24" i="1076"/>
  <c r="A25" i="1076"/>
  <c r="A26" i="1076"/>
  <c r="A27" i="1076"/>
  <c r="A28" i="1076"/>
  <c r="A29" i="1076"/>
  <c r="A30" i="1076"/>
  <c r="A31" i="1076"/>
  <c r="A32" i="1076"/>
  <c r="A33" i="1076"/>
  <c r="A34" i="1076"/>
  <c r="A35" i="1076"/>
  <c r="A36" i="1076"/>
  <c r="A37" i="1076"/>
  <c r="A38" i="1076"/>
  <c r="A39" i="1076"/>
  <c r="A40" i="1076"/>
  <c r="A41" i="1076"/>
  <c r="A42" i="1076"/>
  <c r="A43" i="1076"/>
  <c r="A44" i="1076"/>
  <c r="A45" i="1076"/>
  <c r="A46" i="1076"/>
  <c r="A47" i="1076"/>
  <c r="A48" i="1076"/>
  <c r="A49" i="1076"/>
  <c r="A50" i="1076"/>
  <c r="A51" i="1076"/>
  <c r="A52" i="1076"/>
  <c r="A53" i="1076"/>
  <c r="A54" i="1076"/>
  <c r="A55" i="1076"/>
  <c r="A56" i="1076"/>
  <c r="A57" i="1076"/>
  <c r="A58" i="1076"/>
  <c r="A59" i="1076"/>
  <c r="A60" i="1076"/>
  <c r="A61" i="1076"/>
  <c r="A62" i="1076"/>
  <c r="A63" i="1076"/>
  <c r="A64" i="1076"/>
  <c r="A65" i="1076"/>
  <c r="A66" i="1076"/>
  <c r="A67" i="1076"/>
  <c r="A68" i="1076"/>
  <c r="A69" i="1076"/>
  <c r="A70" i="1076"/>
  <c r="A71" i="1076"/>
  <c r="A72" i="1076"/>
  <c r="A73" i="1076"/>
  <c r="A74" i="1076"/>
  <c r="A75" i="1076"/>
  <c r="A76" i="1076"/>
  <c r="A77" i="1076"/>
  <c r="A78" i="1076"/>
  <c r="A79" i="1076"/>
  <c r="A80" i="1076"/>
  <c r="A81" i="1076"/>
  <c r="A82" i="1076"/>
  <c r="A83" i="1076"/>
  <c r="A84" i="1076"/>
  <c r="A85" i="1076"/>
  <c r="A86" i="1076"/>
  <c r="A87" i="1076"/>
  <c r="A88" i="1076"/>
  <c r="A89" i="1076"/>
  <c r="A90" i="1076"/>
  <c r="A91" i="1076"/>
  <c r="A92" i="1076"/>
  <c r="A93" i="1076"/>
  <c r="A94" i="1076"/>
  <c r="A95" i="1076"/>
  <c r="A96" i="1076"/>
  <c r="A97" i="1076"/>
  <c r="A98" i="1076"/>
  <c r="A99" i="1076"/>
  <c r="A100" i="1076"/>
  <c r="A101" i="1076"/>
  <c r="A102" i="1076"/>
  <c r="A103" i="1076"/>
  <c r="A104" i="1076"/>
  <c r="A105" i="1076"/>
  <c r="A106" i="1076"/>
  <c r="A107" i="1076"/>
  <c r="A108" i="1076"/>
  <c r="A109" i="1076"/>
  <c r="A110" i="1076"/>
  <c r="A111" i="1076"/>
  <c r="A112" i="1076"/>
  <c r="A113" i="1076"/>
  <c r="A114" i="1076"/>
  <c r="A115" i="1076"/>
  <c r="A116" i="1076"/>
  <c r="A117" i="1076"/>
  <c r="A118" i="1076"/>
  <c r="A119" i="1076"/>
  <c r="A120" i="1076"/>
  <c r="A121" i="1076"/>
  <c r="A122" i="1076"/>
  <c r="A123" i="1076"/>
  <c r="A124" i="1076"/>
  <c r="A125" i="1076"/>
  <c r="A126" i="1076"/>
  <c r="A127" i="1076"/>
  <c r="A128" i="1076"/>
  <c r="A129" i="1076"/>
  <c r="A130" i="1076"/>
  <c r="A131" i="1076"/>
  <c r="A132" i="1076"/>
  <c r="A133" i="1076"/>
  <c r="A134" i="1076"/>
  <c r="A135" i="1076"/>
  <c r="A136" i="1076"/>
  <c r="A137" i="1076"/>
  <c r="A138" i="1076"/>
  <c r="A139" i="1076"/>
  <c r="A140" i="1076"/>
  <c r="A141" i="1076"/>
  <c r="A142" i="1076"/>
  <c r="A143" i="1076"/>
  <c r="A144" i="1076"/>
  <c r="A145" i="1076"/>
  <c r="A146" i="1076"/>
  <c r="A147" i="1076"/>
  <c r="A148" i="1076"/>
  <c r="A149" i="1076"/>
  <c r="A150" i="1076"/>
  <c r="A151" i="1076"/>
  <c r="A152" i="1076"/>
  <c r="A153" i="1076"/>
  <c r="A154" i="1076"/>
  <c r="A155" i="1076"/>
  <c r="A156" i="1076"/>
  <c r="A157" i="1076"/>
  <c r="A158" i="1076"/>
  <c r="A159" i="1076"/>
  <c r="A160" i="1076"/>
  <c r="A161" i="1076"/>
  <c r="A162" i="1076"/>
  <c r="A163" i="1076"/>
  <c r="A164" i="1076"/>
  <c r="A165" i="1076"/>
  <c r="A166" i="1076"/>
  <c r="A167" i="1076"/>
  <c r="A168" i="1076"/>
  <c r="A169" i="1076"/>
  <c r="A170" i="1076"/>
  <c r="A171" i="1076"/>
  <c r="A172" i="1076"/>
  <c r="A173" i="1076"/>
  <c r="A174" i="1076"/>
  <c r="A175" i="1076"/>
  <c r="A176" i="1076"/>
  <c r="A177" i="1076"/>
  <c r="A178" i="1076"/>
  <c r="A179" i="1076"/>
  <c r="A180" i="1076"/>
  <c r="A181" i="1076"/>
  <c r="A182" i="1076"/>
  <c r="A183" i="1076"/>
  <c r="A184" i="1076"/>
  <c r="A185" i="1076"/>
  <c r="A186" i="1076"/>
  <c r="A187" i="1076"/>
  <c r="A188" i="1076"/>
  <c r="A189" i="1076"/>
  <c r="A190" i="1076"/>
  <c r="A191" i="1076"/>
  <c r="A192" i="1076"/>
  <c r="A193" i="1076"/>
  <c r="A194" i="1076"/>
  <c r="A195" i="1076"/>
  <c r="A196" i="1076"/>
  <c r="A197" i="1076"/>
  <c r="A198" i="1076"/>
  <c r="A199" i="1076"/>
  <c r="A200" i="1076"/>
  <c r="A201" i="1076"/>
  <c r="A202" i="1076"/>
  <c r="A203" i="1076"/>
  <c r="A204" i="1076"/>
  <c r="A205" i="1076"/>
  <c r="A206" i="1076"/>
  <c r="A207" i="1076"/>
  <c r="A208" i="1076"/>
  <c r="A209" i="1076"/>
  <c r="A210" i="1076"/>
  <c r="A211" i="1076"/>
  <c r="A212" i="1076"/>
  <c r="A213" i="1076"/>
  <c r="A214" i="1076"/>
  <c r="A215" i="1076"/>
  <c r="A216" i="1076"/>
  <c r="A217" i="1076"/>
  <c r="A218" i="1076"/>
  <c r="A219" i="1076"/>
  <c r="A220" i="1076"/>
  <c r="A221" i="1076"/>
  <c r="A222" i="1076"/>
  <c r="A223" i="1076"/>
  <c r="A224" i="1076"/>
  <c r="A225" i="1076"/>
  <c r="A226" i="1076"/>
  <c r="A227" i="1076"/>
  <c r="A228" i="1076"/>
  <c r="A229" i="1076"/>
  <c r="A230" i="1076"/>
  <c r="A231" i="1076"/>
  <c r="A232" i="1076"/>
  <c r="A233" i="1076"/>
  <c r="A234" i="1076"/>
  <c r="A235" i="1076"/>
  <c r="A236" i="1076"/>
  <c r="A237" i="1076"/>
  <c r="A238" i="1076"/>
  <c r="A239" i="1076"/>
  <c r="A240" i="1076"/>
  <c r="A241" i="1076"/>
  <c r="A242" i="1076"/>
  <c r="A243" i="1076"/>
  <c r="A244" i="1076"/>
  <c r="A245" i="1076"/>
  <c r="A246" i="1076"/>
  <c r="A247" i="1076"/>
  <c r="A248" i="1076"/>
  <c r="A249" i="1076"/>
  <c r="A250" i="1076"/>
  <c r="A251" i="1076"/>
  <c r="A252" i="1076"/>
  <c r="A253" i="1076"/>
  <c r="A254" i="1076"/>
  <c r="A255" i="1076"/>
  <c r="A256" i="1076"/>
  <c r="A257" i="1076"/>
  <c r="A258" i="1076"/>
  <c r="A259" i="1076"/>
  <c r="A260" i="1076"/>
  <c r="A261" i="1076"/>
  <c r="A262" i="1076"/>
  <c r="A263" i="1076"/>
  <c r="A264" i="1076"/>
  <c r="A265" i="1076"/>
  <c r="A266" i="1076"/>
  <c r="A267" i="1076"/>
  <c r="A268" i="1076"/>
  <c r="A269" i="1076"/>
  <c r="A270" i="1076"/>
  <c r="A271" i="1076"/>
  <c r="A272" i="1076"/>
  <c r="A273" i="1076"/>
  <c r="A274" i="1076"/>
  <c r="A275" i="1076"/>
  <c r="A276" i="1076"/>
  <c r="A277" i="1076"/>
  <c r="A278" i="1076"/>
  <c r="A279" i="1076"/>
  <c r="A280" i="1076"/>
  <c r="A281" i="1076"/>
  <c r="A282" i="1076"/>
  <c r="A283" i="1076"/>
  <c r="A284" i="1076"/>
  <c r="A285" i="1076"/>
  <c r="A286" i="1076"/>
  <c r="A287" i="1076"/>
  <c r="A288" i="1076"/>
  <c r="A289" i="1076"/>
  <c r="A290" i="1076"/>
  <c r="A291" i="1076"/>
  <c r="A292" i="1076"/>
  <c r="A293" i="1076"/>
  <c r="A294" i="1076"/>
  <c r="A295" i="1076"/>
  <c r="A296" i="1076"/>
  <c r="A297" i="1076"/>
  <c r="A298" i="1076"/>
  <c r="A299" i="1076"/>
  <c r="A300" i="1076"/>
  <c r="A301" i="1076"/>
  <c r="A302" i="1076"/>
  <c r="A303" i="1076"/>
  <c r="A304" i="1076"/>
  <c r="A305" i="1076"/>
  <c r="A306" i="1076"/>
  <c r="A307" i="1076"/>
  <c r="A308" i="1076"/>
  <c r="A309" i="1076"/>
  <c r="A310" i="1076"/>
  <c r="A311" i="1076"/>
  <c r="A312" i="1076"/>
  <c r="A313" i="1076"/>
  <c r="A314" i="1076"/>
  <c r="A315" i="1076"/>
  <c r="A316" i="1076"/>
  <c r="A317" i="1076"/>
  <c r="A318" i="1076"/>
  <c r="A319" i="1076"/>
  <c r="A320" i="1076"/>
  <c r="A321" i="1076"/>
  <c r="A322" i="1076"/>
  <c r="A323" i="1076"/>
  <c r="A324" i="1076"/>
  <c r="A325" i="1076"/>
  <c r="A326" i="1076"/>
  <c r="A327" i="1076"/>
  <c r="A328" i="1076"/>
  <c r="A329" i="1076"/>
  <c r="A330" i="1076"/>
  <c r="A331" i="1076"/>
  <c r="A332" i="1076"/>
  <c r="A333" i="1076"/>
  <c r="A334" i="1076"/>
  <c r="A335" i="1076"/>
  <c r="A336" i="1076"/>
  <c r="A337" i="1076"/>
  <c r="A338" i="1076"/>
  <c r="A339" i="1076"/>
  <c r="A340" i="1076"/>
  <c r="A341" i="1076"/>
  <c r="A342" i="1076"/>
  <c r="A343" i="1076"/>
  <c r="A344" i="1076"/>
  <c r="A345" i="1076"/>
  <c r="A346" i="1076"/>
  <c r="A347" i="1076"/>
  <c r="A348" i="1076"/>
  <c r="A349" i="1076"/>
  <c r="A350" i="1076"/>
  <c r="A351" i="1076"/>
  <c r="A352" i="1076"/>
  <c r="A353" i="1076"/>
  <c r="A354" i="1076"/>
  <c r="A355" i="1076"/>
  <c r="A356" i="1076"/>
  <c r="A357" i="1076"/>
  <c r="A358" i="1076"/>
  <c r="A359" i="1076"/>
  <c r="A360" i="1076"/>
  <c r="A361" i="1076"/>
  <c r="A362" i="1076"/>
  <c r="A363" i="1076"/>
  <c r="A364" i="1076"/>
  <c r="A365" i="1076"/>
  <c r="A366" i="1076"/>
  <c r="A367" i="1076"/>
  <c r="A368" i="1076"/>
  <c r="A369" i="1076"/>
  <c r="A370" i="1076"/>
  <c r="A371" i="1076"/>
  <c r="A372" i="1076"/>
  <c r="A373" i="1076"/>
  <c r="A374" i="1076"/>
  <c r="A375" i="1076"/>
  <c r="A376" i="1076"/>
  <c r="A377" i="1076"/>
  <c r="A378" i="1076"/>
  <c r="A379" i="1076"/>
  <c r="A380" i="1076"/>
  <c r="A381" i="1076"/>
  <c r="A382" i="1076"/>
  <c r="A383" i="1076"/>
  <c r="A384" i="1076"/>
  <c r="A385" i="1076"/>
  <c r="A386" i="1076"/>
  <c r="A387" i="1076"/>
  <c r="A388" i="1076"/>
  <c r="A389" i="1076"/>
  <c r="A390" i="1076"/>
  <c r="A391" i="1076"/>
  <c r="A392" i="1076"/>
  <c r="A393" i="1076"/>
  <c r="A394" i="1076"/>
  <c r="A395" i="1076"/>
  <c r="A396" i="1076"/>
  <c r="A397" i="1076"/>
  <c r="A398" i="1076"/>
  <c r="A399" i="1076"/>
  <c r="A400" i="1076"/>
  <c r="A401" i="1076"/>
  <c r="A402" i="1076"/>
  <c r="A403" i="1076"/>
  <c r="A404" i="1076"/>
  <c r="A405" i="1076"/>
  <c r="A406" i="1076"/>
  <c r="A407" i="1076"/>
  <c r="A408" i="1076"/>
  <c r="A409" i="1076"/>
  <c r="A410" i="1076"/>
  <c r="A411" i="1076"/>
  <c r="A412" i="1076"/>
  <c r="A413" i="1076"/>
  <c r="A414" i="1076"/>
  <c r="A415" i="1076"/>
  <c r="A416" i="1076"/>
  <c r="A417" i="1076"/>
  <c r="A418" i="1076"/>
  <c r="A419" i="1076"/>
  <c r="A420" i="1076"/>
  <c r="A421" i="1076"/>
  <c r="A422" i="1076"/>
  <c r="A423" i="1076"/>
  <c r="A424" i="1076"/>
  <c r="A425" i="1076"/>
  <c r="A426" i="1076"/>
  <c r="A427" i="1076"/>
  <c r="A428" i="1076"/>
  <c r="A429" i="1076"/>
  <c r="A430" i="1076"/>
  <c r="A431" i="1076"/>
  <c r="A432" i="1076"/>
  <c r="A433" i="1076"/>
  <c r="A434" i="1076"/>
  <c r="A435" i="1076"/>
  <c r="A436" i="1076"/>
  <c r="A437" i="1076"/>
  <c r="A438" i="1076"/>
  <c r="A439" i="1076"/>
  <c r="A440" i="1076"/>
  <c r="A441" i="1076"/>
  <c r="A442" i="1076"/>
  <c r="A443" i="1076"/>
  <c r="A444" i="1076"/>
  <c r="A445" i="1076"/>
  <c r="A446" i="1076"/>
  <c r="A447" i="1076"/>
  <c r="A448" i="1076"/>
  <c r="A449" i="1076"/>
  <c r="A450" i="1076"/>
  <c r="A451" i="1076"/>
  <c r="A452" i="1076"/>
  <c r="A453" i="1076"/>
  <c r="A454" i="1076"/>
  <c r="A455" i="1076"/>
  <c r="A456" i="1076"/>
  <c r="A457" i="1076"/>
  <c r="A458" i="1076"/>
  <c r="A459" i="1076"/>
  <c r="A460" i="1076"/>
  <c r="A461" i="1076"/>
  <c r="A462" i="1076"/>
  <c r="A463" i="1076"/>
  <c r="A464" i="1076"/>
  <c r="A465" i="1076"/>
  <c r="A466" i="1076"/>
  <c r="A467" i="1076"/>
  <c r="A468" i="1076"/>
  <c r="A469" i="1076"/>
  <c r="A470" i="1076"/>
  <c r="A471" i="1076"/>
  <c r="A472" i="1076"/>
  <c r="A473" i="1076"/>
  <c r="A474" i="1076"/>
  <c r="A475" i="1076"/>
  <c r="A476" i="1076"/>
  <c r="A477" i="1076"/>
  <c r="A478" i="1076"/>
  <c r="A479" i="1076"/>
  <c r="A480" i="1076"/>
  <c r="A481" i="1076"/>
  <c r="A482" i="1076"/>
  <c r="A483" i="1076"/>
  <c r="A484" i="1076"/>
  <c r="A485" i="1076"/>
  <c r="A486" i="1076"/>
  <c r="A487" i="1076"/>
  <c r="A488" i="1076"/>
  <c r="A489" i="1076"/>
  <c r="A490" i="1076"/>
  <c r="A491" i="1076"/>
  <c r="A492" i="1076"/>
  <c r="A493" i="1076"/>
  <c r="A494" i="1076"/>
  <c r="A495" i="1076"/>
  <c r="A496" i="1076"/>
  <c r="A497" i="1076"/>
  <c r="A498" i="1076"/>
  <c r="A499" i="1076"/>
  <c r="A500" i="1076"/>
  <c r="A501" i="1076"/>
  <c r="A502" i="1076"/>
  <c r="A503" i="1076"/>
  <c r="A504" i="1076"/>
  <c r="A505" i="1076"/>
  <c r="A506" i="1076"/>
  <c r="A507" i="1076"/>
  <c r="A508" i="1076"/>
  <c r="A509" i="1076"/>
  <c r="A510" i="1076"/>
  <c r="A511" i="1076"/>
  <c r="A512" i="1076"/>
  <c r="A513" i="1076"/>
  <c r="A514" i="1076"/>
  <c r="A515" i="1076"/>
  <c r="A516" i="1076"/>
  <c r="A517" i="1076"/>
  <c r="A518" i="1076"/>
  <c r="A519" i="1076"/>
  <c r="A520" i="1076"/>
  <c r="A521" i="1076"/>
  <c r="A522" i="1076"/>
  <c r="A523" i="1076"/>
  <c r="A524" i="1076"/>
  <c r="A525" i="1076"/>
  <c r="A526" i="1076"/>
  <c r="A527" i="1076"/>
  <c r="A528" i="1076"/>
  <c r="A529" i="1076"/>
  <c r="A530" i="1076"/>
  <c r="A531" i="1076"/>
  <c r="A532" i="1076"/>
  <c r="A533" i="1076"/>
  <c r="A534" i="1076"/>
  <c r="A535" i="1076"/>
  <c r="A536" i="1076"/>
  <c r="A537" i="1076"/>
  <c r="A538" i="1076"/>
  <c r="A539" i="1076"/>
  <c r="A540" i="1076"/>
  <c r="A541" i="1076"/>
  <c r="A542" i="1076"/>
  <c r="A543" i="1076"/>
  <c r="A544" i="1076"/>
  <c r="A545" i="1076"/>
  <c r="A546" i="1076"/>
  <c r="A547" i="1076"/>
  <c r="A548" i="1076"/>
  <c r="A549" i="1076"/>
  <c r="A550" i="1076"/>
  <c r="A551" i="1076"/>
  <c r="A552" i="1076"/>
  <c r="A553" i="1076"/>
  <c r="A554" i="1076"/>
  <c r="A555" i="1076"/>
  <c r="A556" i="1076"/>
  <c r="A557" i="1076"/>
  <c r="A558" i="1076"/>
  <c r="A559" i="1076"/>
  <c r="A560" i="1076"/>
  <c r="A561" i="1076"/>
  <c r="A562" i="1076"/>
  <c r="A563" i="1076"/>
  <c r="A564" i="1076"/>
  <c r="A565" i="1076"/>
  <c r="A566" i="1076"/>
  <c r="A567" i="1076"/>
  <c r="A568" i="1076"/>
  <c r="A569" i="1076"/>
  <c r="A570" i="1076"/>
  <c r="A571" i="1076"/>
  <c r="A572" i="1076"/>
  <c r="A573" i="1076"/>
  <c r="A574" i="1076"/>
  <c r="A575" i="1076"/>
  <c r="A576" i="1076"/>
  <c r="A577" i="1076"/>
  <c r="A578" i="1076"/>
  <c r="A579" i="1076"/>
  <c r="A580" i="1076"/>
  <c r="A581" i="1076"/>
  <c r="A582" i="1076"/>
  <c r="A583" i="1076"/>
  <c r="A584" i="1076"/>
  <c r="A585" i="1076"/>
  <c r="A586" i="1076"/>
  <c r="A587" i="1076"/>
  <c r="A588" i="1076"/>
  <c r="A589" i="1076"/>
  <c r="A590" i="1076"/>
  <c r="A591" i="1076"/>
  <c r="A592" i="1076"/>
  <c r="A593" i="1076"/>
  <c r="A594" i="1076"/>
  <c r="A595" i="1076"/>
  <c r="A596" i="1076"/>
  <c r="A597" i="1076"/>
  <c r="A598" i="1076"/>
  <c r="A599" i="1076"/>
  <c r="A600" i="1076"/>
  <c r="A601" i="1076"/>
  <c r="A602" i="1076"/>
  <c r="A603" i="1076"/>
  <c r="A604" i="1076"/>
  <c r="A605" i="1076"/>
  <c r="A606" i="1076"/>
  <c r="A607" i="1076"/>
  <c r="A608" i="1076"/>
  <c r="A609" i="1076"/>
  <c r="A610" i="1076"/>
  <c r="A611" i="1076"/>
  <c r="A612" i="1076"/>
  <c r="A613" i="1076"/>
  <c r="A614" i="1076"/>
  <c r="A615" i="1076"/>
  <c r="A616" i="1076"/>
  <c r="A617" i="1076"/>
  <c r="A618" i="1076"/>
  <c r="A619" i="1076"/>
  <c r="A620" i="1076"/>
  <c r="A621" i="1076"/>
  <c r="A622" i="1076"/>
  <c r="A623" i="1076"/>
  <c r="A624" i="1076"/>
  <c r="A625" i="1076"/>
  <c r="A626" i="1076"/>
  <c r="A627" i="1076"/>
  <c r="A628" i="1076"/>
  <c r="A629" i="1076"/>
  <c r="A630" i="1076"/>
  <c r="A631" i="1076"/>
  <c r="A632" i="1076"/>
  <c r="A633" i="1076"/>
  <c r="A634" i="1076"/>
  <c r="A635" i="1076"/>
  <c r="A636" i="1076"/>
  <c r="A637" i="1076"/>
  <c r="A638" i="1076"/>
  <c r="A639" i="1076"/>
  <c r="A640" i="1076"/>
  <c r="A641" i="1076"/>
  <c r="A642" i="1076"/>
  <c r="A643" i="1076"/>
  <c r="A644" i="1076"/>
  <c r="A645" i="1076"/>
  <c r="A646" i="1076"/>
  <c r="A647" i="1076"/>
  <c r="A648" i="1076"/>
  <c r="A649" i="1076"/>
  <c r="A650" i="1076"/>
  <c r="A651" i="1076"/>
  <c r="A652" i="1076"/>
  <c r="A653" i="1076"/>
  <c r="A654" i="1076"/>
  <c r="A655" i="1076"/>
  <c r="A656" i="1076"/>
  <c r="A657" i="1076"/>
  <c r="A658" i="1076"/>
  <c r="A659" i="1076"/>
  <c r="A660" i="1076"/>
  <c r="A661" i="1076"/>
  <c r="A662" i="1076"/>
  <c r="A663" i="1076"/>
  <c r="A664" i="1076"/>
  <c r="A665" i="1076"/>
  <c r="A666" i="1076"/>
  <c r="A667" i="1076"/>
  <c r="A668" i="1076"/>
  <c r="A669" i="1076"/>
  <c r="A670" i="1076"/>
  <c r="A671" i="1076"/>
  <c r="A672" i="1076"/>
  <c r="A673" i="1076"/>
  <c r="A674" i="1076"/>
  <c r="A675" i="1076"/>
  <c r="A676" i="1076"/>
  <c r="A677" i="1076"/>
  <c r="A678" i="1076"/>
  <c r="A679" i="1076"/>
  <c r="A680" i="1076"/>
  <c r="A681" i="1076"/>
  <c r="A682" i="1076"/>
  <c r="A683" i="1076"/>
  <c r="A684" i="1076"/>
  <c r="A685" i="1076"/>
  <c r="A686" i="1076"/>
  <c r="A687" i="1076"/>
  <c r="A688" i="1076"/>
  <c r="A689" i="1076"/>
  <c r="A690" i="1076"/>
  <c r="A691" i="1076"/>
  <c r="A692" i="1076"/>
  <c r="A693" i="1076"/>
  <c r="A694" i="1076"/>
  <c r="A695" i="1076"/>
  <c r="A696" i="1076"/>
  <c r="A697" i="1076"/>
  <c r="A698" i="1076"/>
  <c r="A699" i="1076"/>
  <c r="A700" i="1076"/>
  <c r="A701" i="1076"/>
  <c r="A702" i="1076"/>
  <c r="A703" i="1076"/>
  <c r="A704" i="1076"/>
  <c r="A705" i="1076"/>
  <c r="A706" i="1076"/>
  <c r="A707" i="1076"/>
  <c r="A708" i="1076"/>
  <c r="A709" i="1076"/>
  <c r="A710" i="1076"/>
  <c r="A711" i="1076"/>
  <c r="A712" i="1076"/>
  <c r="A713" i="1076"/>
  <c r="A714" i="1076"/>
  <c r="A715" i="1076"/>
  <c r="A716" i="1076"/>
  <c r="A717" i="1076"/>
  <c r="A718" i="1076"/>
  <c r="A719" i="1076"/>
  <c r="A720" i="1076"/>
  <c r="A721" i="1076"/>
  <c r="A722" i="1076"/>
  <c r="A723" i="1076"/>
  <c r="A724" i="1076"/>
  <c r="A725" i="1076"/>
  <c r="A726" i="1076"/>
  <c r="A727" i="1076"/>
  <c r="A728" i="1076"/>
  <c r="A729" i="1076"/>
  <c r="A730" i="1076"/>
  <c r="A731" i="1076"/>
  <c r="A732" i="1076"/>
  <c r="A733" i="1076"/>
  <c r="A734" i="1076"/>
  <c r="A735" i="1076"/>
  <c r="A736" i="1076"/>
  <c r="A737" i="1076"/>
  <c r="A738" i="1076"/>
  <c r="A739" i="1076"/>
  <c r="A740" i="1076"/>
  <c r="A741" i="1076"/>
  <c r="A742" i="1076"/>
  <c r="A743" i="1076"/>
  <c r="A744" i="1076"/>
  <c r="A745" i="1076"/>
  <c r="A746" i="1076"/>
  <c r="A747" i="1076"/>
  <c r="A748" i="1076"/>
  <c r="A749" i="1076"/>
  <c r="A750" i="1076"/>
  <c r="A751" i="1076"/>
  <c r="A752" i="1076"/>
  <c r="A753" i="1076"/>
  <c r="A754" i="1076"/>
  <c r="A755" i="1076"/>
  <c r="A756" i="1076"/>
  <c r="A757" i="1076"/>
  <c r="A758" i="1076"/>
  <c r="A759" i="1076"/>
  <c r="A760" i="1076"/>
  <c r="A761" i="1076"/>
  <c r="A762" i="1076"/>
  <c r="A763" i="1076"/>
  <c r="A764" i="1076"/>
  <c r="A765" i="1076"/>
  <c r="A766" i="1076"/>
  <c r="A767" i="1076"/>
  <c r="A768" i="1076"/>
  <c r="A769" i="1076"/>
  <c r="A770" i="1076"/>
  <c r="A771" i="1076"/>
  <c r="A772" i="1076"/>
  <c r="A773" i="1076"/>
  <c r="A774" i="1076"/>
  <c r="A775" i="1076"/>
  <c r="A776" i="1076"/>
  <c r="A777" i="1076"/>
  <c r="A778" i="1076"/>
  <c r="A779" i="1076"/>
  <c r="A780" i="1076"/>
  <c r="A781" i="1076"/>
  <c r="A782" i="1076"/>
  <c r="A783" i="1076"/>
  <c r="A784" i="1076"/>
  <c r="A785" i="1076"/>
  <c r="A786" i="1076"/>
  <c r="A787" i="1076"/>
  <c r="A788" i="1076"/>
  <c r="A789" i="1076"/>
  <c r="A790" i="1076"/>
  <c r="A791" i="1076"/>
  <c r="A792" i="1076"/>
  <c r="A793" i="1076"/>
  <c r="A794" i="1076"/>
  <c r="A795" i="1076"/>
  <c r="A796" i="1076"/>
  <c r="A797" i="1076"/>
  <c r="A798" i="1076"/>
  <c r="A799" i="1076"/>
  <c r="A800" i="1076"/>
  <c r="A801" i="1076"/>
  <c r="A802" i="1076"/>
  <c r="A803" i="1076"/>
  <c r="A804" i="1076"/>
  <c r="A805" i="1076"/>
  <c r="A806" i="1076"/>
  <c r="A807" i="1076"/>
  <c r="A808" i="1076"/>
  <c r="A809" i="1076"/>
  <c r="A810" i="1076"/>
  <c r="A811" i="1076"/>
  <c r="A812" i="1076"/>
  <c r="A813" i="1076"/>
  <c r="A814" i="1076"/>
  <c r="A815" i="1076"/>
  <c r="A816" i="1076"/>
  <c r="A817" i="1076"/>
  <c r="A818" i="1076"/>
  <c r="A819" i="1076"/>
  <c r="A820" i="1076"/>
  <c r="A821" i="1076"/>
  <c r="A822" i="1076"/>
  <c r="A823" i="1076"/>
  <c r="A824" i="1076"/>
  <c r="A825" i="1076"/>
  <c r="A826" i="1076"/>
  <c r="A827" i="1076"/>
  <c r="A828" i="1076"/>
  <c r="A829" i="1076"/>
  <c r="A830" i="1076"/>
  <c r="A831" i="1076"/>
  <c r="A832" i="1076"/>
  <c r="A833" i="1076"/>
  <c r="A834" i="1076"/>
  <c r="A835" i="1076"/>
  <c r="A836" i="1076"/>
  <c r="A837" i="1076"/>
  <c r="A838" i="1076"/>
  <c r="A839" i="1076"/>
  <c r="A840" i="1076"/>
  <c r="A841" i="1076"/>
  <c r="A842" i="1076"/>
  <c r="A843" i="1076"/>
  <c r="A844" i="1076"/>
  <c r="A845" i="1076"/>
  <c r="A846" i="1076"/>
  <c r="A847" i="1076"/>
  <c r="A848" i="1076"/>
  <c r="A849" i="1076"/>
  <c r="A850" i="1076"/>
  <c r="A851" i="1076"/>
  <c r="A852" i="1076"/>
  <c r="A853" i="1076"/>
  <c r="A854" i="1076"/>
  <c r="A855" i="1076"/>
  <c r="A856" i="1076"/>
  <c r="A857" i="1076"/>
  <c r="A858" i="1076"/>
  <c r="A859" i="1076"/>
  <c r="A860" i="1076"/>
  <c r="A861" i="1076"/>
  <c r="A862" i="1076"/>
  <c r="A863" i="1076"/>
  <c r="A864" i="1076"/>
  <c r="A865" i="1076"/>
  <c r="A866" i="1076"/>
  <c r="A867" i="1076"/>
  <c r="A868" i="1076"/>
  <c r="A869" i="1076"/>
  <c r="A870" i="1076"/>
  <c r="A871" i="1076"/>
  <c r="A872" i="1076"/>
  <c r="A873" i="1076"/>
  <c r="A874" i="1076"/>
  <c r="A875" i="1076"/>
  <c r="A876" i="1076"/>
  <c r="A877" i="1076"/>
  <c r="A878" i="1076"/>
  <c r="A879" i="1076"/>
  <c r="A880" i="1076"/>
  <c r="A881" i="1076"/>
  <c r="A882" i="1076"/>
  <c r="A883" i="1076"/>
  <c r="A884" i="1076"/>
  <c r="A885" i="1076"/>
  <c r="A886" i="1076"/>
  <c r="A887" i="1076"/>
  <c r="A888" i="1076"/>
  <c r="A889" i="1076"/>
  <c r="A890" i="1076"/>
  <c r="A891" i="1076"/>
  <c r="A892" i="1076"/>
  <c r="A893" i="1076"/>
  <c r="A894" i="1076"/>
  <c r="A895" i="1076"/>
  <c r="A896" i="1076"/>
  <c r="A897" i="1076"/>
  <c r="A898" i="1076"/>
  <c r="A899" i="1076"/>
  <c r="A900" i="1076"/>
  <c r="A901" i="1076"/>
  <c r="A902" i="1076"/>
  <c r="A903" i="1076"/>
  <c r="A904" i="1076"/>
  <c r="A905" i="1076"/>
  <c r="A906" i="1076"/>
  <c r="A907" i="1076"/>
  <c r="A908" i="1076"/>
  <c r="A909" i="1076"/>
  <c r="A910" i="1076"/>
  <c r="A911" i="1076"/>
  <c r="A912" i="1076"/>
  <c r="A913" i="1076"/>
  <c r="A914" i="1076"/>
  <c r="A915" i="1076"/>
  <c r="A916" i="1076"/>
  <c r="A917" i="1076"/>
  <c r="A918" i="1076"/>
  <c r="A919" i="1076"/>
  <c r="A920" i="1076"/>
  <c r="A921" i="1076"/>
  <c r="A922" i="1076"/>
  <c r="A923" i="1076"/>
  <c r="A924" i="1076"/>
  <c r="A925" i="1076"/>
  <c r="A926" i="1076"/>
  <c r="A927" i="1076"/>
  <c r="A928" i="1076"/>
  <c r="A929" i="1076"/>
  <c r="A930" i="1076"/>
  <c r="A931" i="1076"/>
  <c r="A932" i="1076"/>
  <c r="A933" i="1076"/>
  <c r="A934" i="1076"/>
  <c r="A935" i="1076"/>
  <c r="A936" i="1076"/>
  <c r="A937" i="1076"/>
  <c r="A938" i="1076"/>
  <c r="A939" i="1076"/>
  <c r="A940" i="1076"/>
  <c r="A941" i="1076"/>
  <c r="A942" i="1076"/>
  <c r="A943" i="1076"/>
  <c r="A944" i="1076"/>
  <c r="A945" i="1076"/>
  <c r="A946" i="1076"/>
  <c r="A947" i="1076"/>
  <c r="A948" i="1076"/>
  <c r="A949" i="1076"/>
  <c r="A950" i="1076"/>
  <c r="A951" i="1076"/>
  <c r="A952" i="1076"/>
  <c r="A953" i="1076"/>
  <c r="A954" i="1076"/>
  <c r="A955" i="1076"/>
  <c r="A956" i="1076"/>
  <c r="A957" i="1076"/>
  <c r="A958" i="1076"/>
  <c r="A959" i="1076"/>
  <c r="A960" i="1076"/>
  <c r="A961" i="1076"/>
  <c r="A962" i="1076"/>
  <c r="A963" i="1076"/>
  <c r="A964" i="1076"/>
  <c r="A965" i="1076"/>
  <c r="A966" i="1076"/>
  <c r="A967" i="1076"/>
  <c r="A968" i="1076"/>
  <c r="A969" i="1076"/>
  <c r="A970" i="1076"/>
  <c r="A971" i="1076"/>
  <c r="A972" i="1076"/>
  <c r="A973" i="1076"/>
  <c r="A974" i="1076"/>
  <c r="A975" i="1076"/>
  <c r="A976" i="1076"/>
  <c r="A977" i="1076"/>
  <c r="A978" i="1076"/>
  <c r="A979" i="1076"/>
  <c r="A980" i="1076"/>
  <c r="A981" i="1076"/>
  <c r="A982" i="1076"/>
  <c r="A983" i="1076"/>
  <c r="A984" i="1076"/>
  <c r="A985" i="1076"/>
  <c r="A986" i="1076"/>
  <c r="A987" i="1076"/>
  <c r="A988" i="1076"/>
  <c r="A989" i="1076"/>
  <c r="A990" i="1076"/>
  <c r="A991" i="1076"/>
  <c r="A992" i="1076"/>
  <c r="A993" i="1076"/>
  <c r="A994" i="1076"/>
  <c r="A995" i="1076"/>
  <c r="A996" i="1076"/>
  <c r="A997" i="1076"/>
  <c r="A998" i="1076"/>
  <c r="A999" i="1076"/>
  <c r="A1000" i="1076"/>
  <c r="A1001" i="1076"/>
  <c r="A1002" i="1076"/>
  <c r="A1003" i="1076"/>
  <c r="A1004" i="1076"/>
  <c r="A1005" i="1076"/>
  <c r="A1006" i="1076"/>
  <c r="A1007" i="1076"/>
  <c r="A1008" i="1076"/>
  <c r="A1009" i="1076"/>
  <c r="A1010" i="1076"/>
  <c r="A1011" i="1076"/>
  <c r="A1012" i="1076"/>
  <c r="A1013" i="1076"/>
  <c r="A1014" i="1076"/>
  <c r="A1015" i="1076"/>
  <c r="A1016" i="1076"/>
  <c r="A1017" i="1076"/>
  <c r="A1018" i="1076"/>
  <c r="A1019" i="1076"/>
  <c r="A1020" i="1076"/>
  <c r="A1021" i="1076"/>
  <c r="A1022" i="1076"/>
  <c r="A1023" i="1076"/>
  <c r="A1024" i="1076"/>
  <c r="A1025" i="1076"/>
  <c r="A1026" i="1076"/>
  <c r="A1027" i="1076"/>
  <c r="A1028" i="1076"/>
  <c r="A1029" i="1076"/>
  <c r="A1030" i="1076"/>
  <c r="A1031" i="1076"/>
  <c r="A1032" i="1076"/>
  <c r="A1033" i="1076"/>
  <c r="A1034" i="1076"/>
  <c r="A1035" i="1076"/>
  <c r="A1036" i="1076"/>
  <c r="A1037" i="1076"/>
  <c r="A1038" i="1076"/>
  <c r="A1039" i="1076"/>
  <c r="A1040" i="1076"/>
  <c r="A1041" i="1076"/>
  <c r="A1042" i="1076"/>
  <c r="A1043" i="1076"/>
  <c r="A1044" i="1076"/>
  <c r="A1045" i="1076"/>
  <c r="A1046" i="1076"/>
  <c r="A1047" i="1076"/>
  <c r="A1048" i="1076"/>
  <c r="A1049" i="1076"/>
  <c r="A1050" i="1076"/>
  <c r="A1051" i="1076"/>
  <c r="A1052" i="1076"/>
  <c r="A1053" i="1076"/>
  <c r="A1054" i="1076"/>
  <c r="A1055" i="1076"/>
  <c r="A1056" i="1076"/>
  <c r="A1057" i="1076"/>
  <c r="A1058" i="1076"/>
  <c r="A1059" i="1076"/>
  <c r="A1060" i="1076"/>
  <c r="A1061" i="1076"/>
  <c r="A1062" i="1076"/>
  <c r="A1063" i="1076"/>
  <c r="A1064" i="1076"/>
  <c r="A1065" i="1076"/>
  <c r="A1066" i="1076"/>
  <c r="A1067" i="1076"/>
  <c r="A1068" i="1076"/>
  <c r="A1069" i="1076"/>
  <c r="A1070" i="1076"/>
  <c r="A1071" i="1076"/>
  <c r="A1072" i="1076"/>
  <c r="A1073" i="1076"/>
  <c r="A1074" i="1076"/>
  <c r="A1075" i="1076"/>
  <c r="A1076" i="1076"/>
  <c r="A1077" i="1076"/>
  <c r="A1078" i="1076"/>
  <c r="A1079" i="1076"/>
  <c r="A1080" i="1076"/>
  <c r="A1081" i="1076"/>
  <c r="A1082" i="1076"/>
  <c r="A1083" i="1076"/>
  <c r="A1084" i="1076"/>
  <c r="A1085" i="1076"/>
  <c r="A1086" i="1076"/>
  <c r="A1087" i="1076"/>
  <c r="A1088" i="1076"/>
  <c r="A1089" i="1076"/>
  <c r="A1090" i="1076"/>
  <c r="A1091" i="1076"/>
  <c r="A1092" i="1076"/>
  <c r="A1093" i="1076"/>
  <c r="A1094" i="1076"/>
  <c r="A1095" i="1076"/>
  <c r="A1096" i="1076"/>
  <c r="A1097" i="1076"/>
  <c r="A1098" i="1076"/>
  <c r="A1099" i="1076"/>
  <c r="A1100" i="1076"/>
  <c r="A1101" i="1076"/>
  <c r="A1102" i="1076"/>
  <c r="A1103" i="1076"/>
  <c r="A1104" i="1076"/>
  <c r="A1105" i="1076"/>
  <c r="A1106" i="1076"/>
  <c r="A1107" i="1076"/>
  <c r="A1108" i="1076"/>
  <c r="A1109" i="1076"/>
  <c r="A1110" i="1076"/>
  <c r="A1111" i="1076"/>
  <c r="A1112" i="1076"/>
  <c r="A1113" i="1076"/>
  <c r="A1114" i="1076"/>
  <c r="A1115" i="1076"/>
  <c r="A1116" i="1076"/>
  <c r="A1117" i="1076"/>
  <c r="A1118" i="1076"/>
  <c r="A1119" i="1076"/>
  <c r="A1120" i="1076"/>
  <c r="A1121" i="1076"/>
  <c r="A1122" i="1076"/>
  <c r="A1123" i="1076"/>
  <c r="A1124" i="1076"/>
  <c r="A1125" i="1076"/>
  <c r="A1126" i="1076"/>
  <c r="A1127" i="1076"/>
  <c r="A1128" i="1076"/>
  <c r="A1129" i="1076"/>
  <c r="A1130" i="1076"/>
  <c r="A1131" i="1076"/>
  <c r="A1132" i="1076"/>
  <c r="A1133" i="1076"/>
  <c r="A1134" i="1076"/>
  <c r="A1135" i="1076"/>
  <c r="A1136" i="1076"/>
  <c r="A1137" i="1076"/>
  <c r="A1138" i="1076"/>
  <c r="A1139" i="1076"/>
  <c r="A1140" i="1076"/>
  <c r="A1141" i="1076"/>
  <c r="A1142" i="1076"/>
  <c r="A1143" i="1076"/>
  <c r="A1144" i="1076"/>
  <c r="A1145" i="1076"/>
  <c r="A1146" i="1076"/>
  <c r="A1147" i="1076"/>
  <c r="A1148" i="1076"/>
  <c r="A1149" i="1076"/>
  <c r="A1150" i="1076"/>
  <c r="A1151" i="1076"/>
  <c r="A1152" i="1076"/>
  <c r="A1153" i="1076"/>
  <c r="A1154" i="1076"/>
  <c r="A1155" i="1076"/>
  <c r="A1156" i="1076"/>
  <c r="A1157" i="1076"/>
  <c r="A1158" i="1076"/>
  <c r="A1159" i="1076"/>
  <c r="A1160" i="1076"/>
  <c r="A1161" i="1076"/>
  <c r="A1162" i="1076"/>
  <c r="A1163" i="1076"/>
  <c r="A1164" i="1076"/>
  <c r="A1165" i="1076"/>
  <c r="A1166" i="1076"/>
  <c r="A1167" i="1076"/>
  <c r="A1168" i="1076"/>
  <c r="A1169" i="1076"/>
  <c r="A1170" i="1076"/>
  <c r="A1171" i="1076"/>
  <c r="A1172" i="1076"/>
  <c r="A1173" i="1076"/>
  <c r="A1174" i="1076"/>
  <c r="A1175" i="1076"/>
  <c r="A1176" i="1076"/>
  <c r="A1177" i="1076"/>
  <c r="A1178" i="1076"/>
  <c r="A1179" i="1076"/>
  <c r="A1180" i="1076"/>
  <c r="A1181" i="1076"/>
  <c r="A1182" i="1076"/>
  <c r="A1183" i="1076"/>
  <c r="A1184" i="1076"/>
  <c r="A1185" i="1076"/>
  <c r="A1186" i="1076"/>
  <c r="A1187" i="1076"/>
  <c r="A1188" i="1076"/>
  <c r="A1189" i="1076"/>
  <c r="A1190" i="1076"/>
  <c r="A1191" i="1076"/>
  <c r="A1192" i="1076"/>
  <c r="A1193" i="1076"/>
  <c r="A1194" i="1076"/>
  <c r="A1195" i="1076"/>
  <c r="A1196" i="1076"/>
  <c r="A1197" i="1076"/>
  <c r="A1198" i="1076"/>
  <c r="A1199" i="1076"/>
  <c r="A1200" i="1076"/>
  <c r="A1201" i="1076"/>
  <c r="A1202" i="1076"/>
  <c r="A1203" i="1076"/>
  <c r="A1204" i="1076"/>
  <c r="A1205" i="1076"/>
  <c r="A1206" i="1076"/>
  <c r="A1207" i="1076"/>
  <c r="A1208" i="1076"/>
  <c r="A1209" i="1076"/>
  <c r="A1210" i="1076"/>
  <c r="A1211" i="1076"/>
  <c r="A1212" i="1076"/>
  <c r="A1213" i="1076"/>
  <c r="A1214" i="1076"/>
  <c r="A1215" i="1076"/>
  <c r="A1216" i="1076"/>
  <c r="A1217" i="1076"/>
  <c r="A1218" i="1076"/>
  <c r="A1219" i="1076"/>
  <c r="A1220" i="1076"/>
  <c r="A1221" i="1076"/>
  <c r="A1222" i="1076"/>
  <c r="A1223" i="1076"/>
  <c r="A1224" i="1076"/>
  <c r="A1225" i="1076"/>
  <c r="A1226" i="1076"/>
  <c r="A1227" i="1076"/>
  <c r="A1228" i="1076"/>
  <c r="A1229" i="1076"/>
  <c r="A1230" i="1076"/>
  <c r="A1231" i="1076"/>
  <c r="A1232" i="1076"/>
  <c r="A1233" i="1076"/>
  <c r="A1234" i="1076"/>
  <c r="A1235" i="1076"/>
  <c r="A1236" i="1076"/>
  <c r="A1237" i="1076"/>
  <c r="A1238" i="1076"/>
  <c r="A1239" i="1076"/>
  <c r="A1240" i="1076"/>
  <c r="A1241" i="1076"/>
  <c r="A1242" i="1076"/>
  <c r="A1243" i="1076"/>
  <c r="A1244" i="1076"/>
  <c r="A1245" i="1076"/>
  <c r="A1246" i="1076"/>
  <c r="A1247" i="1076"/>
  <c r="A1248" i="1076"/>
  <c r="A1249" i="1076"/>
  <c r="A1250" i="1076"/>
  <c r="A1251" i="1076"/>
  <c r="A1252" i="1076"/>
  <c r="A1253" i="1076"/>
  <c r="A1254" i="1076"/>
  <c r="A1255" i="1076"/>
  <c r="A1256" i="1076"/>
  <c r="A1257" i="1076"/>
  <c r="A1258" i="1076"/>
  <c r="A1259" i="1076"/>
  <c r="A1260" i="1076"/>
  <c r="A1261" i="1076"/>
  <c r="A1262" i="1076"/>
  <c r="A1263" i="1076"/>
  <c r="A1264" i="1076"/>
  <c r="A1265" i="1076"/>
  <c r="A1266" i="1076"/>
  <c r="A1267" i="1076"/>
  <c r="A1268" i="1076"/>
  <c r="A1269" i="1076"/>
  <c r="A1270" i="1076"/>
  <c r="A1271" i="1076"/>
  <c r="A1272" i="1076"/>
  <c r="A1273" i="1076"/>
  <c r="A1274" i="1076"/>
  <c r="A1275" i="1076"/>
  <c r="A1276" i="1076"/>
  <c r="A1277" i="1076"/>
  <c r="A1278" i="1076"/>
  <c r="A1279" i="1076"/>
  <c r="A1280" i="1076"/>
  <c r="A1281" i="1076"/>
  <c r="A1282" i="1076"/>
  <c r="A1283" i="1076"/>
  <c r="A1284" i="1076"/>
  <c r="A1285" i="1076"/>
  <c r="A1286" i="1076"/>
  <c r="A1287" i="1076"/>
  <c r="A1288" i="1076"/>
  <c r="A1289" i="1076"/>
  <c r="A1290" i="1076"/>
  <c r="A1291" i="1076"/>
  <c r="A1292" i="1076"/>
  <c r="A1293" i="1076"/>
  <c r="A1294" i="1076"/>
  <c r="A1295" i="1076"/>
  <c r="A1296" i="1076"/>
  <c r="A1297" i="1076"/>
  <c r="A1298" i="1076"/>
  <c r="A1299" i="1076"/>
  <c r="A1300" i="1076"/>
  <c r="A1301" i="1076"/>
  <c r="A1302" i="1076"/>
  <c r="A1303" i="1076"/>
  <c r="A1304" i="1076"/>
  <c r="A1305" i="1076"/>
  <c r="A1306" i="1076"/>
  <c r="A1307" i="1076"/>
  <c r="A1308" i="1076"/>
  <c r="A1309" i="1076"/>
  <c r="A1310" i="1076"/>
  <c r="A1311" i="1076"/>
  <c r="A1312" i="1076"/>
  <c r="A1313" i="1076"/>
  <c r="A1314" i="1076"/>
  <c r="A1315" i="1076"/>
  <c r="A1316" i="1076"/>
  <c r="A1317" i="1076"/>
  <c r="A1318" i="1076"/>
  <c r="A1319" i="1076"/>
  <c r="A1320" i="1076"/>
  <c r="A1321" i="1076"/>
  <c r="A1322" i="1076"/>
  <c r="A1323" i="1076"/>
  <c r="A1324" i="1076"/>
  <c r="A1325" i="1076"/>
  <c r="A1326" i="1076"/>
  <c r="A1327" i="1076"/>
  <c r="A1328" i="1076"/>
  <c r="A147" i="1072" s="1"/>
  <c r="G147" i="1072" s="1"/>
  <c r="A1329" i="1076"/>
  <c r="A148" i="1072" s="1"/>
  <c r="G148" i="1072" s="1"/>
  <c r="A1330" i="1076"/>
  <c r="A1331" i="1076"/>
  <c r="A1332" i="1076"/>
  <c r="A1333" i="1076"/>
  <c r="A1334" i="1076"/>
  <c r="A1335" i="1076"/>
  <c r="A1336" i="1076"/>
  <c r="A1337" i="1076"/>
  <c r="A1338" i="1076"/>
  <c r="A1339" i="1076"/>
  <c r="A1340" i="1076"/>
  <c r="A1341" i="1076"/>
  <c r="A1342" i="1076"/>
  <c r="A1343" i="1076"/>
  <c r="A1344" i="1076"/>
  <c r="A1345" i="1076"/>
  <c r="A1346" i="1076"/>
  <c r="A1347" i="1076"/>
  <c r="A1348" i="1076"/>
  <c r="A1349" i="1076"/>
  <c r="A1350" i="1076"/>
  <c r="A1351" i="1076"/>
  <c r="A1352" i="1076"/>
  <c r="A1353" i="1076"/>
  <c r="A1354" i="1076"/>
  <c r="A1355" i="1076"/>
  <c r="A1356" i="1076"/>
  <c r="A1357" i="1076"/>
  <c r="A1358" i="1076"/>
  <c r="A1359" i="1076"/>
  <c r="A1360" i="1076"/>
  <c r="A1361" i="1076"/>
  <c r="A1362" i="1076"/>
  <c r="A1363" i="1076"/>
  <c r="A1364" i="1076"/>
  <c r="A1365" i="1076"/>
  <c r="A1366" i="1076"/>
  <c r="A1367" i="1076"/>
  <c r="A1368" i="1076"/>
  <c r="A1369" i="1076"/>
  <c r="A1370" i="1076"/>
  <c r="A1371" i="1076"/>
  <c r="A1372" i="1076"/>
  <c r="A1373" i="1076"/>
  <c r="A1374" i="1076"/>
  <c r="A1375" i="1076"/>
  <c r="A1376" i="1076"/>
  <c r="A1377" i="1076"/>
  <c r="A1378" i="1076"/>
  <c r="A1379" i="1076"/>
  <c r="A1380" i="1076"/>
  <c r="A1381" i="1076"/>
  <c r="A1382" i="1076"/>
  <c r="A1383" i="1076"/>
  <c r="A1384" i="1076"/>
  <c r="A1385" i="1076"/>
  <c r="A1386" i="1076"/>
  <c r="A1387" i="1076"/>
  <c r="A1388" i="1076"/>
  <c r="A1389" i="1076"/>
  <c r="A1390" i="1076"/>
  <c r="A1391" i="1076"/>
  <c r="A1392" i="1076"/>
  <c r="A1393" i="1076"/>
  <c r="A1394" i="1076"/>
  <c r="A1395" i="1076"/>
  <c r="A1396" i="1076"/>
  <c r="A1397" i="1076"/>
  <c r="A1398" i="1076"/>
  <c r="A1399" i="1076"/>
  <c r="A1400" i="1076"/>
  <c r="A1401" i="1076"/>
  <c r="A1402" i="1076"/>
  <c r="A1403" i="1076"/>
  <c r="A1404" i="1076"/>
  <c r="A1405" i="1076"/>
  <c r="A1406" i="1076"/>
  <c r="A1407" i="1076"/>
  <c r="A1408" i="1076"/>
  <c r="A1409" i="1076"/>
  <c r="A1410" i="1076"/>
  <c r="A1411" i="1076"/>
  <c r="A1412" i="1076"/>
  <c r="A1413" i="1076"/>
  <c r="A1414" i="1076"/>
  <c r="A1415" i="1076"/>
  <c r="A1416" i="1076"/>
  <c r="A1417" i="1076"/>
  <c r="A1418" i="1076"/>
  <c r="A1419" i="1076"/>
  <c r="A1420" i="1076"/>
  <c r="A1421" i="1076"/>
  <c r="A1422" i="1076"/>
  <c r="A1423" i="1076"/>
  <c r="A1424" i="1076"/>
  <c r="A1425" i="1076"/>
  <c r="A1426" i="1076"/>
  <c r="A1427" i="1076"/>
  <c r="A1428" i="1076"/>
  <c r="A1429" i="1076"/>
  <c r="A1430" i="1076"/>
  <c r="A1431" i="1076"/>
  <c r="A1432" i="1076"/>
  <c r="A1433" i="1076"/>
  <c r="A1434" i="1076"/>
  <c r="A1435" i="1076"/>
  <c r="A1436" i="1076"/>
  <c r="A1437" i="1076"/>
  <c r="A1438" i="1076"/>
  <c r="A1439" i="1076"/>
  <c r="A1440" i="1076"/>
  <c r="A1441" i="1076"/>
  <c r="A1442" i="1076"/>
  <c r="A1443" i="1076"/>
  <c r="A1444" i="1076"/>
  <c r="A1445" i="1076"/>
  <c r="A1446" i="1076"/>
  <c r="A1447" i="1076"/>
  <c r="A1448" i="1076"/>
  <c r="A1449" i="1076"/>
  <c r="A1450" i="1076"/>
  <c r="A1451" i="1076"/>
  <c r="A1452" i="1076"/>
  <c r="A1453" i="1076"/>
  <c r="A1454" i="1076"/>
  <c r="A1455" i="1076"/>
  <c r="A1456" i="1076"/>
  <c r="A1457" i="1076"/>
  <c r="A1458" i="1076"/>
  <c r="A1459" i="1076"/>
  <c r="A1460" i="1076"/>
  <c r="A1461" i="1076"/>
  <c r="A1462" i="1076"/>
  <c r="A1463" i="1076"/>
  <c r="A1464" i="1076"/>
  <c r="A1465" i="1076"/>
  <c r="A1466" i="1076"/>
  <c r="A1467" i="1076"/>
  <c r="A1468" i="1076"/>
  <c r="A1469" i="1076"/>
  <c r="A1470" i="1076"/>
  <c r="A1471" i="1076"/>
  <c r="A1472" i="1076"/>
  <c r="A1473" i="1076"/>
  <c r="A1474" i="1076"/>
  <c r="A1475" i="1076"/>
  <c r="A1476" i="1076"/>
  <c r="A1477" i="1076"/>
  <c r="A1478" i="1076"/>
  <c r="A1479" i="1076"/>
  <c r="A1480" i="1076"/>
  <c r="A1481" i="1076"/>
  <c r="A1482" i="1076"/>
  <c r="A1483" i="1076"/>
  <c r="A1484" i="1076"/>
  <c r="A1485" i="1076"/>
  <c r="A1486" i="1076"/>
  <c r="A1487" i="1076"/>
  <c r="A1488" i="1076"/>
  <c r="A1489" i="1076"/>
  <c r="A1490" i="1076"/>
  <c r="A1491" i="1076"/>
  <c r="A1492" i="1076"/>
  <c r="A1493" i="1076"/>
  <c r="A1494" i="1076"/>
  <c r="A1495" i="1076"/>
  <c r="A1496" i="1076"/>
  <c r="A1497" i="1076"/>
  <c r="A1498" i="1076"/>
  <c r="A1499" i="1076"/>
  <c r="A1500" i="1076"/>
  <c r="A1501" i="1076"/>
  <c r="A1502" i="1076"/>
  <c r="A1503" i="1076"/>
  <c r="A1504" i="1076"/>
  <c r="A1505" i="1076"/>
  <c r="A1506" i="1076"/>
  <c r="A1507" i="1076"/>
  <c r="A1508" i="1076"/>
  <c r="A1509" i="1076"/>
  <c r="A1510" i="1076"/>
  <c r="A1511" i="1076"/>
  <c r="A1512" i="1076"/>
  <c r="A1513" i="1076"/>
  <c r="A1514" i="1076"/>
  <c r="A1515" i="1076"/>
  <c r="A1516" i="1076"/>
  <c r="A1517" i="1076"/>
  <c r="A1518" i="1076"/>
  <c r="A1519" i="1076"/>
  <c r="A1520" i="1076"/>
  <c r="A1521" i="1076"/>
  <c r="A1522" i="1076"/>
  <c r="A1523" i="1076"/>
  <c r="A1524" i="1076"/>
  <c r="A1525" i="1076"/>
  <c r="A1526" i="1076"/>
  <c r="A1527" i="1076"/>
  <c r="A1528" i="1076"/>
  <c r="A1529" i="1076"/>
  <c r="A1530" i="1076"/>
  <c r="A1531" i="1076"/>
  <c r="A1532" i="1076"/>
  <c r="A1533" i="1076"/>
  <c r="A1534" i="1076"/>
  <c r="A1535" i="1076"/>
  <c r="A1536" i="1076"/>
  <c r="A1537" i="1076"/>
  <c r="A1538" i="1076"/>
  <c r="A1539" i="1076"/>
  <c r="A1540" i="1076"/>
  <c r="A1541" i="1076"/>
  <c r="A1542" i="1076"/>
  <c r="A1543" i="1076"/>
  <c r="A1544" i="1076"/>
  <c r="A1545" i="1076"/>
  <c r="A1546" i="1076"/>
  <c r="A1547" i="1076"/>
  <c r="A1548" i="1076"/>
  <c r="A1549" i="1076"/>
  <c r="A1550" i="1076"/>
  <c r="A1551" i="1076"/>
  <c r="A1552" i="1076"/>
  <c r="A1553" i="1076"/>
  <c r="A1554" i="1076"/>
  <c r="A1555" i="1076"/>
  <c r="A1556" i="1076"/>
  <c r="A1557" i="1076"/>
  <c r="A1558" i="1076"/>
  <c r="A1559" i="1076"/>
  <c r="A1560" i="1076"/>
  <c r="A1561" i="1076"/>
  <c r="A1562" i="1076"/>
  <c r="A1563" i="1076"/>
  <c r="A1564" i="1076"/>
  <c r="A1565" i="1076"/>
  <c r="A1566" i="1076"/>
  <c r="A1567" i="1076"/>
  <c r="A1568" i="1076"/>
  <c r="A1569" i="1076"/>
  <c r="A1570" i="1076"/>
  <c r="A1571" i="1076"/>
  <c r="A1572" i="1076"/>
  <c r="A1573" i="1076"/>
  <c r="A1574" i="1076"/>
  <c r="A1575" i="1076"/>
  <c r="A1576" i="1076"/>
  <c r="A1577" i="1076"/>
  <c r="A1578" i="1076"/>
  <c r="A1579" i="1076"/>
  <c r="A1580" i="1076"/>
  <c r="A1581" i="1076"/>
  <c r="A1582" i="1076"/>
  <c r="A1583" i="1076"/>
  <c r="A1584" i="1076"/>
  <c r="A1585" i="1076"/>
  <c r="A1586" i="1076"/>
  <c r="A1587" i="1076"/>
  <c r="A1588" i="1076"/>
  <c r="A1589" i="1076"/>
  <c r="A1590" i="1076"/>
  <c r="A1591" i="1076"/>
  <c r="A1592" i="1076"/>
  <c r="A1593" i="1076"/>
  <c r="A1594" i="1076"/>
  <c r="A1595" i="1076"/>
  <c r="A1596" i="1076"/>
  <c r="A1597" i="1076"/>
  <c r="A1598" i="1076"/>
  <c r="A1599" i="1076"/>
  <c r="A1600" i="1076"/>
  <c r="A1601" i="1076"/>
  <c r="A1602" i="1076"/>
  <c r="A1603" i="1076"/>
  <c r="A1604" i="1076"/>
  <c r="A1605" i="1076"/>
  <c r="A1606" i="1076"/>
  <c r="A1607" i="1076"/>
  <c r="A1608" i="1076"/>
  <c r="A1609" i="1076"/>
  <c r="A1610" i="1076"/>
  <c r="A1611" i="1076"/>
  <c r="A1612" i="1076"/>
  <c r="A1613" i="1076"/>
  <c r="A1614" i="1076"/>
  <c r="A1615" i="1076"/>
  <c r="A1616" i="1076"/>
  <c r="A1617" i="1076"/>
  <c r="A1618" i="1076"/>
  <c r="A1619" i="1076"/>
  <c r="A1620" i="1076"/>
  <c r="A1621" i="1076"/>
  <c r="A1622" i="1076"/>
  <c r="A1623" i="1076"/>
  <c r="A1624" i="1076"/>
  <c r="A1625" i="1076"/>
  <c r="A1626" i="1076"/>
  <c r="A1627" i="1076"/>
  <c r="A1628" i="1076"/>
  <c r="A1629" i="1076"/>
  <c r="A1630" i="1076"/>
  <c r="A1631" i="1076"/>
  <c r="A1632" i="1076"/>
  <c r="A1633" i="1076"/>
  <c r="A1634" i="1076"/>
  <c r="A1635" i="1076"/>
  <c r="A1636" i="1076"/>
  <c r="A1637" i="1076"/>
  <c r="A1638" i="1076"/>
  <c r="A1639" i="1076"/>
  <c r="A1640" i="1076"/>
  <c r="A1641" i="1076"/>
  <c r="A1642" i="1076"/>
  <c r="A1643" i="1076"/>
  <c r="A1644" i="1076"/>
  <c r="A1645" i="1076"/>
  <c r="A1646" i="1076"/>
  <c r="A1647" i="1076"/>
  <c r="A1648" i="1076"/>
  <c r="A1649" i="1076"/>
  <c r="A1650" i="1076"/>
  <c r="A1651" i="1076"/>
  <c r="A1652" i="1076"/>
  <c r="A1653" i="1076"/>
  <c r="A1654" i="1076"/>
  <c r="A1655" i="1076"/>
  <c r="A1656" i="1076"/>
  <c r="A1657" i="1076"/>
  <c r="A1658" i="1076"/>
  <c r="A1659" i="1076"/>
  <c r="A1660" i="1076"/>
  <c r="A1661" i="1076"/>
  <c r="A1662" i="1076"/>
  <c r="A1663" i="1076"/>
  <c r="A1664" i="1076"/>
  <c r="A1665" i="1076"/>
  <c r="A1666" i="1076"/>
  <c r="A1667" i="1076"/>
  <c r="A1668" i="1076"/>
  <c r="A1669" i="1076"/>
  <c r="A1670" i="1076"/>
  <c r="A1671" i="1076"/>
  <c r="A1672" i="1076"/>
  <c r="A1673" i="1076"/>
  <c r="A1674" i="1076"/>
  <c r="A1675" i="1076"/>
  <c r="A1676" i="1076"/>
  <c r="A1677" i="1076"/>
  <c r="A1678" i="1076"/>
  <c r="A1679" i="1076"/>
  <c r="A1680" i="1076"/>
  <c r="A1681" i="1076"/>
  <c r="A1682" i="1076"/>
  <c r="A1683" i="1076"/>
  <c r="A1684" i="1076"/>
  <c r="A1685" i="1076"/>
  <c r="A1686" i="1076"/>
  <c r="A1687" i="1076"/>
  <c r="A1688" i="1076"/>
  <c r="A1689" i="1076"/>
  <c r="A1690" i="1076"/>
  <c r="A1691" i="1076"/>
  <c r="A1692" i="1076"/>
  <c r="A1693" i="1076"/>
  <c r="A1694" i="1076"/>
  <c r="A1695" i="1076"/>
  <c r="A1696" i="1076"/>
  <c r="A1697" i="1076"/>
  <c r="A1698" i="1076"/>
  <c r="A1699" i="1076"/>
  <c r="A1700" i="1076"/>
  <c r="A1701" i="1076"/>
  <c r="A1702" i="1076"/>
  <c r="A1703" i="1076"/>
  <c r="A1704" i="1076"/>
  <c r="A1705" i="1076"/>
  <c r="A1706" i="1076"/>
  <c r="A1707" i="1076"/>
  <c r="A1708" i="1076"/>
  <c r="A1709" i="1076"/>
  <c r="A1710" i="1076"/>
  <c r="A1711" i="1076"/>
  <c r="A1712" i="1076"/>
  <c r="A1713" i="1076"/>
  <c r="A1714" i="1076"/>
  <c r="A1715" i="1076"/>
  <c r="A1716" i="1076"/>
  <c r="A1717" i="1076"/>
  <c r="A1718" i="1076"/>
  <c r="A1719" i="1076"/>
  <c r="A1720" i="1076"/>
  <c r="A1721" i="1076"/>
  <c r="A1722" i="1076"/>
  <c r="A1723" i="1076"/>
  <c r="A1724" i="1076"/>
  <c r="A1725" i="1076"/>
  <c r="A1726" i="1076"/>
  <c r="A1727" i="1076"/>
  <c r="A1728" i="1076"/>
  <c r="A1729" i="1076"/>
  <c r="A1730" i="1076"/>
  <c r="A1731" i="1076"/>
  <c r="A1732" i="1076"/>
  <c r="A1733" i="1076"/>
  <c r="A1734" i="1076"/>
  <c r="A1735" i="1076"/>
  <c r="A1736" i="1076"/>
  <c r="A1737" i="1076"/>
  <c r="A1738" i="1076"/>
  <c r="A1739" i="1076"/>
  <c r="A1740" i="1076"/>
  <c r="A1741" i="1076"/>
  <c r="A1742" i="1076"/>
  <c r="A1743" i="1076"/>
  <c r="A1744" i="1076"/>
  <c r="A1745" i="1076"/>
  <c r="A1746" i="1076"/>
  <c r="A1747" i="1076"/>
  <c r="A1748" i="1076"/>
  <c r="A1749" i="1076"/>
  <c r="A1750" i="1076"/>
  <c r="A1751" i="1076"/>
  <c r="A1752" i="1076"/>
  <c r="A1753" i="1076"/>
  <c r="A1754" i="1076"/>
  <c r="A1755" i="1076"/>
  <c r="A1756" i="1076"/>
  <c r="A1757" i="1076"/>
  <c r="A1758" i="1076"/>
  <c r="A1759" i="1076"/>
  <c r="A1760" i="1076"/>
  <c r="A1761" i="1076"/>
  <c r="A1762" i="1076"/>
  <c r="A1763" i="1076"/>
  <c r="A1764" i="1076"/>
  <c r="A1765" i="1076"/>
  <c r="A1766" i="1076"/>
  <c r="A1767" i="1076"/>
  <c r="A1768" i="1076"/>
  <c r="A1769" i="1076"/>
  <c r="A1770" i="1076"/>
  <c r="A1771" i="1076"/>
  <c r="A1772" i="1076"/>
  <c r="A1773" i="1076"/>
  <c r="A1774" i="1076"/>
  <c r="A1775" i="1076"/>
  <c r="A1776" i="1076"/>
  <c r="A1777" i="1076"/>
  <c r="A1778" i="1076"/>
  <c r="A1779" i="1076"/>
  <c r="A1780" i="1076"/>
  <c r="A1781" i="1076"/>
  <c r="A1782" i="1076"/>
  <c r="A1783" i="1076"/>
  <c r="A1784" i="1076"/>
  <c r="A1785" i="1076"/>
  <c r="A1786" i="1076"/>
  <c r="A1787" i="1076"/>
  <c r="A1788" i="1076"/>
  <c r="A1789" i="1076"/>
  <c r="A1790" i="1076"/>
  <c r="A1791" i="1076"/>
  <c r="A1792" i="1076"/>
  <c r="A1793" i="1076"/>
  <c r="A1794" i="1076"/>
  <c r="A1795" i="1076"/>
  <c r="A1796" i="1076"/>
  <c r="A1797" i="1076"/>
  <c r="A1798" i="1076"/>
  <c r="A1799" i="1076"/>
  <c r="A1800" i="1076"/>
  <c r="A1801" i="1076"/>
  <c r="A1802" i="1076"/>
  <c r="A1803" i="1076"/>
  <c r="A1804" i="1076"/>
  <c r="A1805" i="1076"/>
  <c r="A1806" i="1076"/>
  <c r="A1807" i="1076"/>
  <c r="A1808" i="1076"/>
  <c r="A1809" i="1076"/>
  <c r="A1810" i="1076"/>
  <c r="A1811" i="1076"/>
  <c r="A1812" i="1076"/>
  <c r="A1813" i="1076"/>
  <c r="A1814" i="1076"/>
  <c r="A1815" i="1076"/>
  <c r="A1816" i="1076"/>
  <c r="A1817" i="1076"/>
  <c r="A1818" i="1076"/>
  <c r="A1819" i="1076"/>
  <c r="A1820" i="1076"/>
  <c r="A1821" i="1076"/>
  <c r="A1822" i="1076"/>
  <c r="A1823" i="1076"/>
  <c r="A1824" i="1076"/>
  <c r="A1825" i="1076"/>
  <c r="A1826" i="1076"/>
  <c r="A1827" i="1076"/>
  <c r="A1828" i="1076"/>
  <c r="A1829" i="1076"/>
  <c r="A1830" i="1076"/>
  <c r="A1831" i="1076"/>
  <c r="A1832" i="1076"/>
  <c r="A1833" i="1076"/>
  <c r="A1834" i="1076"/>
  <c r="A1835" i="1076"/>
  <c r="A1836" i="1076"/>
  <c r="A1837" i="1076"/>
  <c r="A1838" i="1076"/>
  <c r="A1839" i="1076"/>
  <c r="A1840" i="1076"/>
  <c r="A1841" i="1076"/>
  <c r="A1842" i="1076"/>
  <c r="A1843" i="1076"/>
  <c r="A1844" i="1076"/>
  <c r="A1845" i="1076"/>
  <c r="A1846" i="1076"/>
  <c r="A1847" i="1076"/>
  <c r="A1848" i="1076"/>
  <c r="A1849" i="1076"/>
  <c r="A1850" i="1076"/>
  <c r="A1851" i="1076"/>
  <c r="A1852" i="1076"/>
  <c r="A1853" i="1076"/>
  <c r="A1854" i="1076"/>
  <c r="A1855" i="1076"/>
  <c r="A1856" i="1076"/>
  <c r="A1857" i="1076"/>
  <c r="A1858" i="1076"/>
  <c r="A1859" i="1076"/>
  <c r="A1860" i="1076"/>
  <c r="A1861" i="1076"/>
  <c r="A1862" i="1076"/>
  <c r="A1863" i="1076"/>
  <c r="A1864" i="1076"/>
  <c r="A1865" i="1076"/>
  <c r="A1866" i="1076"/>
  <c r="A1867" i="1076"/>
  <c r="A1868" i="1076"/>
  <c r="A1869" i="1076"/>
  <c r="A1870" i="1076"/>
  <c r="A1871" i="1076"/>
  <c r="A1872" i="1076"/>
  <c r="A1873" i="1076"/>
  <c r="A1874" i="1076"/>
  <c r="A1875" i="1076"/>
  <c r="A1876" i="1076"/>
  <c r="A1877" i="1076"/>
  <c r="A1878" i="1076"/>
  <c r="A1879" i="1076"/>
  <c r="A1880" i="1076"/>
  <c r="A1881" i="1076"/>
  <c r="A1882" i="1076"/>
  <c r="A1883" i="1076"/>
  <c r="A1884" i="1076"/>
  <c r="A1885" i="1076"/>
  <c r="A1886" i="1076"/>
  <c r="A1887" i="1076"/>
  <c r="A1888" i="1076"/>
  <c r="A1889" i="1076"/>
  <c r="A1890" i="1076"/>
  <c r="A1891" i="1076"/>
  <c r="A1892" i="1076"/>
  <c r="A1893" i="1076"/>
  <c r="A1894" i="1076"/>
  <c r="A1895" i="1076"/>
  <c r="A1896" i="1076"/>
  <c r="A1897" i="1076"/>
  <c r="A1898" i="1076"/>
  <c r="A1899" i="1076"/>
  <c r="A1900" i="1076"/>
  <c r="A1901" i="1076"/>
  <c r="A1902" i="1076"/>
  <c r="A1903" i="1076"/>
  <c r="A1904" i="1076"/>
  <c r="A1905" i="1076"/>
  <c r="A1906" i="1076"/>
  <c r="A1907" i="1076"/>
  <c r="A1908" i="1076"/>
  <c r="A1909" i="1076"/>
  <c r="A1910" i="1076"/>
  <c r="A1911" i="1076"/>
  <c r="A1912" i="1076"/>
  <c r="A1913" i="1076"/>
  <c r="A1914" i="1076"/>
  <c r="A1915" i="1076"/>
  <c r="A1916" i="1076"/>
  <c r="A1917" i="1076"/>
  <c r="A1918" i="1076"/>
  <c r="A1919" i="1076"/>
  <c r="A1920" i="1076"/>
  <c r="A1921" i="1076"/>
  <c r="A1922" i="1076"/>
  <c r="A1923" i="1076"/>
  <c r="A1924" i="1076"/>
  <c r="A1925" i="1076"/>
  <c r="A1926" i="1076"/>
  <c r="A1927" i="1076"/>
  <c r="A1928" i="1076"/>
  <c r="A1929" i="1076"/>
  <c r="A1930" i="1076"/>
  <c r="A1931" i="1076"/>
  <c r="A1932" i="1076"/>
  <c r="A1933" i="1076"/>
  <c r="A1934" i="1076"/>
  <c r="A1935" i="1076"/>
  <c r="A1936" i="1076"/>
  <c r="A1937" i="1076"/>
  <c r="A1938" i="1076"/>
  <c r="A1939" i="1076"/>
  <c r="A1940" i="1076"/>
  <c r="A1941" i="1076"/>
  <c r="A1942" i="1076"/>
  <c r="A1943" i="1076"/>
  <c r="A1944" i="1076"/>
  <c r="A1945" i="1076"/>
  <c r="A1946" i="1076"/>
  <c r="A1947" i="1076"/>
  <c r="A1948" i="1076"/>
  <c r="A1949" i="1076"/>
  <c r="A1950" i="1076"/>
  <c r="A1951" i="1076"/>
  <c r="A1952" i="1076"/>
  <c r="A1953" i="1076"/>
  <c r="A1954" i="1076"/>
  <c r="A1955" i="1076"/>
  <c r="A1956" i="1076"/>
  <c r="A1957" i="1076"/>
  <c r="A1958" i="1076"/>
  <c r="A1959" i="1076"/>
  <c r="A1960" i="1076"/>
  <c r="A1961" i="1076"/>
  <c r="A1962" i="1076"/>
  <c r="A1963" i="1076"/>
  <c r="A1964" i="1076"/>
  <c r="A1965" i="1076"/>
  <c r="A1966" i="1076"/>
  <c r="A1967" i="1076"/>
  <c r="A1968" i="1076"/>
  <c r="A1969" i="1076"/>
  <c r="A1970" i="1076"/>
  <c r="A1971" i="1076"/>
  <c r="A1972" i="1076"/>
  <c r="A1973" i="1076"/>
  <c r="A1974" i="1076"/>
  <c r="A1975" i="1076"/>
  <c r="A1976" i="1076"/>
  <c r="A1977" i="1076"/>
  <c r="A1978" i="1076"/>
  <c r="A1979" i="1076"/>
  <c r="A1980" i="1076"/>
  <c r="A1981" i="1076"/>
  <c r="A1982" i="1076"/>
  <c r="A1983" i="1076"/>
  <c r="A1984" i="1076"/>
  <c r="A1985" i="1076"/>
  <c r="A1986" i="1076"/>
  <c r="A1987" i="1076"/>
  <c r="A1988" i="1076"/>
  <c r="A1989" i="1076"/>
  <c r="A1990" i="1076"/>
  <c r="A1991" i="1076"/>
  <c r="A1992" i="1076"/>
  <c r="A1993" i="1076"/>
  <c r="A1994" i="1076"/>
  <c r="A1995" i="1076"/>
  <c r="A1996" i="1076"/>
  <c r="A1997" i="1076"/>
  <c r="A1998" i="1076"/>
  <c r="A1999" i="1076"/>
  <c r="A2000" i="1076"/>
  <c r="A2001" i="1076"/>
  <c r="A2002" i="1076"/>
  <c r="A2003" i="1076"/>
  <c r="A2004" i="1076"/>
  <c r="A2005" i="1076"/>
  <c r="A2006" i="1076"/>
  <c r="A2007" i="1076"/>
  <c r="A2008" i="1076"/>
  <c r="A2009" i="1076"/>
  <c r="A2010" i="1076"/>
  <c r="A2011" i="1076"/>
  <c r="A2012" i="1076"/>
  <c r="A2013" i="1076"/>
  <c r="A2014" i="1076"/>
  <c r="A2015" i="1076"/>
  <c r="A2016" i="1076"/>
  <c r="A2017" i="1076"/>
  <c r="A2018" i="1076"/>
  <c r="A2019" i="1076"/>
  <c r="A2020" i="1076"/>
  <c r="A2021" i="1076"/>
  <c r="A2022" i="1076"/>
  <c r="A2023" i="1076"/>
  <c r="A2024" i="1076"/>
  <c r="A2025" i="1076"/>
  <c r="A2026" i="1076"/>
  <c r="A2027" i="1076"/>
  <c r="A2028" i="1076"/>
  <c r="A2029" i="1076"/>
  <c r="A2030" i="1076"/>
  <c r="A2031" i="1076"/>
  <c r="A2032" i="1076"/>
  <c r="A2033" i="1076"/>
  <c r="A2034" i="1076"/>
  <c r="A2035" i="1076"/>
  <c r="A2036" i="1076"/>
  <c r="A2037" i="1076"/>
  <c r="A2038" i="1076"/>
  <c r="A2039" i="1076"/>
  <c r="A2040" i="1076"/>
  <c r="A2041" i="1076"/>
  <c r="A2042" i="1076"/>
  <c r="A2043" i="1076"/>
  <c r="A2044" i="1076"/>
  <c r="A2045" i="1076"/>
  <c r="A2046" i="1076"/>
  <c r="A2047" i="1076"/>
  <c r="A2048" i="1076"/>
  <c r="A2049" i="1076"/>
  <c r="A2050" i="1076"/>
  <c r="A2051" i="1076"/>
  <c r="A2052" i="1076"/>
  <c r="A2053" i="1076"/>
  <c r="A2054" i="1076"/>
  <c r="A2055" i="1076"/>
  <c r="A2056" i="1076"/>
  <c r="A2057" i="1076"/>
  <c r="A2058" i="1076"/>
  <c r="A2059" i="1076"/>
  <c r="A2060" i="1076"/>
  <c r="A2061" i="1076"/>
  <c r="A2062" i="1076"/>
  <c r="A2063" i="1076"/>
  <c r="A2064" i="1076"/>
  <c r="A2065" i="1076"/>
  <c r="A2066" i="1076"/>
  <c r="A2067" i="1076"/>
  <c r="A2068" i="1076"/>
  <c r="A2069" i="1076"/>
  <c r="A2070" i="1076"/>
  <c r="A2071" i="1076"/>
  <c r="A2072" i="1076"/>
  <c r="A2073" i="1076"/>
  <c r="A2074" i="1076"/>
  <c r="A2075" i="1076"/>
  <c r="A2076" i="1076"/>
  <c r="A2077" i="1076"/>
  <c r="A2078" i="1076"/>
  <c r="A2079" i="1076"/>
  <c r="A2080" i="1076"/>
  <c r="A2081" i="1076"/>
  <c r="A2082" i="1076"/>
  <c r="A2083" i="1076"/>
  <c r="A2084" i="1076"/>
  <c r="A2085" i="1076"/>
  <c r="A2086" i="1076"/>
  <c r="A2087" i="1076"/>
  <c r="A2088" i="1076"/>
  <c r="A2089" i="1076"/>
  <c r="A2090" i="1076"/>
  <c r="A2091" i="1076"/>
  <c r="A2092" i="1076"/>
  <c r="A2093" i="1076"/>
  <c r="A2094" i="1076"/>
  <c r="A2095" i="1076"/>
  <c r="A2096" i="1076"/>
  <c r="A2097" i="1076"/>
  <c r="A2098" i="1076"/>
  <c r="A2099" i="1076"/>
  <c r="A2100" i="1076"/>
  <c r="A2101" i="1076"/>
  <c r="A2102" i="1076"/>
  <c r="A2103" i="1076"/>
  <c r="A2104" i="1076"/>
  <c r="A2105" i="1076"/>
  <c r="A2106" i="1076"/>
  <c r="A2107" i="1076"/>
  <c r="A2108" i="1076"/>
  <c r="A2109" i="1076"/>
  <c r="A2110" i="1076"/>
  <c r="A2111" i="1076"/>
  <c r="A2112" i="1076"/>
  <c r="A2113" i="1076"/>
  <c r="A2114" i="1076"/>
  <c r="A2115" i="1076"/>
  <c r="A2116" i="1076"/>
  <c r="A2117" i="1076"/>
  <c r="A2118" i="1076"/>
  <c r="A2119" i="1076"/>
  <c r="A2120" i="1076"/>
  <c r="A2121" i="1076"/>
  <c r="A2122" i="1076"/>
  <c r="A2123" i="1076"/>
  <c r="A2124" i="1076"/>
  <c r="A2125" i="1076"/>
  <c r="A2126" i="1076"/>
  <c r="A2127" i="1076"/>
  <c r="A2128" i="1076"/>
  <c r="A2129" i="1076"/>
  <c r="A2130" i="1076"/>
  <c r="A2131" i="1076"/>
  <c r="A2132" i="1076"/>
  <c r="A2133" i="1076"/>
  <c r="A2134" i="1076"/>
  <c r="A2135" i="1076"/>
  <c r="A2136" i="1076"/>
  <c r="A2137" i="1076"/>
  <c r="A2138" i="1076"/>
  <c r="A2139" i="1076"/>
  <c r="A2140" i="1076"/>
  <c r="A2141" i="1076"/>
  <c r="A2142" i="1076"/>
  <c r="A2143" i="1076"/>
  <c r="A2144" i="1076"/>
  <c r="A2145" i="1076"/>
  <c r="A2146" i="1076"/>
  <c r="A2147" i="1076"/>
  <c r="A2148" i="1076"/>
  <c r="A2149" i="1076"/>
  <c r="A2150" i="1076"/>
  <c r="A2151" i="1076"/>
  <c r="A2152" i="1076"/>
  <c r="A2153" i="1076"/>
  <c r="A2154" i="1076"/>
  <c r="A2155" i="1076"/>
  <c r="A2156" i="1076"/>
  <c r="A2157" i="1076"/>
  <c r="A2158" i="1076"/>
  <c r="A2159" i="1076"/>
  <c r="A2160" i="1076"/>
  <c r="A2161" i="1076"/>
  <c r="A2162" i="1076"/>
  <c r="A2163" i="1076"/>
  <c r="A2164" i="1076"/>
  <c r="A2165" i="1076"/>
  <c r="A2166" i="1076"/>
  <c r="A2167" i="1076"/>
  <c r="A2168" i="1076"/>
  <c r="A2169" i="1076"/>
  <c r="A2170" i="1076"/>
  <c r="A2171" i="1076"/>
  <c r="A2172" i="1076"/>
  <c r="A2173" i="1076"/>
  <c r="A2174" i="1076"/>
  <c r="A2175" i="1076"/>
  <c r="A2176" i="1076"/>
  <c r="A2177" i="1076"/>
  <c r="A2178" i="1076"/>
  <c r="A2179" i="1076"/>
  <c r="A2180" i="1076"/>
  <c r="A2181" i="1076"/>
  <c r="A2182" i="1076"/>
  <c r="A2183" i="1076"/>
  <c r="A2184" i="1076"/>
  <c r="A2185" i="1076"/>
  <c r="A2186" i="1076"/>
  <c r="A2187" i="1076"/>
  <c r="A2188" i="1076"/>
  <c r="A2189" i="1076"/>
  <c r="A2190" i="1076"/>
  <c r="A2191" i="1076"/>
  <c r="A2192" i="1076"/>
  <c r="A2193" i="1076"/>
  <c r="A2194" i="1076"/>
  <c r="A2195" i="1076"/>
  <c r="A2196" i="1076"/>
  <c r="A2197" i="1076"/>
  <c r="A2198" i="1076"/>
  <c r="A2199" i="1076"/>
  <c r="A2200" i="1076"/>
  <c r="A2201" i="1076"/>
  <c r="A2202" i="1076"/>
  <c r="A2203" i="1076"/>
  <c r="A2204" i="1076"/>
  <c r="A2205" i="1076"/>
  <c r="A2206" i="1076"/>
  <c r="A2207" i="1076"/>
  <c r="A2208" i="1076"/>
  <c r="A2209" i="1076"/>
  <c r="A2210" i="1076"/>
  <c r="A2211" i="1076"/>
  <c r="A2212" i="1076"/>
  <c r="A2213" i="1076"/>
  <c r="A2214" i="1076"/>
  <c r="A2215" i="1076"/>
  <c r="A2216" i="1076"/>
  <c r="A2217" i="1076"/>
  <c r="A2218" i="1076"/>
  <c r="A2219" i="1076"/>
  <c r="A2220" i="1076"/>
  <c r="A2221" i="1076"/>
  <c r="A2222" i="1076"/>
  <c r="A2223" i="1076"/>
  <c r="A2224" i="1076"/>
  <c r="A2225" i="1076"/>
  <c r="A2226" i="1076"/>
  <c r="A2227" i="1076"/>
  <c r="A2228" i="1076"/>
  <c r="A2229" i="1076"/>
  <c r="A2230" i="1076"/>
  <c r="A2231" i="1076"/>
  <c r="A2232" i="1076"/>
  <c r="A2233" i="1076"/>
  <c r="A2234" i="1076"/>
  <c r="A2235" i="1076"/>
  <c r="A2236" i="1076"/>
  <c r="A2237" i="1076"/>
  <c r="A2238" i="1076"/>
  <c r="A2239" i="1076"/>
  <c r="A2240" i="1076"/>
  <c r="A2241" i="1076"/>
  <c r="A2242" i="1076"/>
  <c r="A2243" i="1076"/>
  <c r="A2244" i="1076"/>
  <c r="A2245" i="1076"/>
  <c r="A2246" i="1076"/>
  <c r="A2247" i="1076"/>
  <c r="A2248" i="1076"/>
  <c r="A2249" i="1076"/>
  <c r="A2250" i="1076"/>
  <c r="A2251" i="1076"/>
  <c r="A2252" i="1076"/>
  <c r="A2253" i="1076"/>
  <c r="A2254" i="1076"/>
  <c r="A2255" i="1076"/>
  <c r="A2256" i="1076"/>
  <c r="A2257" i="1076"/>
  <c r="A2258" i="1076"/>
  <c r="A2259" i="1076"/>
  <c r="A2260" i="1076"/>
  <c r="A2261" i="1076"/>
  <c r="A2262" i="1076"/>
  <c r="A2263" i="1076"/>
  <c r="A2264" i="1076"/>
  <c r="A2265" i="1076"/>
  <c r="A2266" i="1076"/>
  <c r="A2267" i="1076"/>
  <c r="A2268" i="1076"/>
  <c r="A2269" i="1076"/>
  <c r="A2270" i="1076"/>
  <c r="A2271" i="1076"/>
  <c r="A2272" i="1076"/>
  <c r="A2273" i="1076"/>
  <c r="A2274" i="1076"/>
  <c r="A2275" i="1076"/>
  <c r="A2276" i="1076"/>
  <c r="A2277" i="1076"/>
  <c r="A2278" i="1076"/>
  <c r="A2279" i="1076"/>
  <c r="A2280" i="1076"/>
  <c r="A2281" i="1076"/>
  <c r="A2282" i="1076"/>
  <c r="A2283" i="1076"/>
  <c r="A2284" i="1076"/>
  <c r="A2285" i="1076"/>
  <c r="A2286" i="1076"/>
  <c r="A2287" i="1076"/>
  <c r="A2288" i="1076"/>
  <c r="A2289" i="1076"/>
  <c r="A2290" i="1076"/>
  <c r="A2291" i="1076"/>
  <c r="A2292" i="1076"/>
  <c r="A2293" i="1076"/>
  <c r="A2294" i="1076"/>
  <c r="A2295" i="1076"/>
  <c r="A2296" i="1076"/>
  <c r="A2297" i="1076"/>
  <c r="A2298" i="1076"/>
  <c r="A2299" i="1076"/>
  <c r="A2300" i="1076"/>
  <c r="A2301" i="1076"/>
  <c r="A2302" i="1076"/>
  <c r="A2303" i="1076"/>
  <c r="A2304" i="1076"/>
  <c r="A2305" i="1076"/>
  <c r="A2306" i="1076"/>
  <c r="A2307" i="1076"/>
  <c r="A2308" i="1076"/>
  <c r="A2309" i="1076"/>
  <c r="A2310" i="1076"/>
  <c r="A2311" i="1076"/>
  <c r="A2312" i="1076"/>
  <c r="A2313" i="1076"/>
  <c r="A2314" i="1076"/>
  <c r="A2315" i="1076"/>
  <c r="A2316" i="1076"/>
  <c r="A2317" i="1076"/>
  <c r="A2318" i="1076"/>
  <c r="A2319" i="1076"/>
  <c r="A2320" i="1076"/>
  <c r="A2321" i="1076"/>
  <c r="A2322" i="1076"/>
  <c r="A2323" i="1076"/>
  <c r="A2324" i="1076"/>
  <c r="A2325" i="1076"/>
  <c r="A2326" i="1076"/>
  <c r="A2327" i="1076"/>
  <c r="A2328" i="1076"/>
  <c r="A2329" i="1076"/>
  <c r="A2330" i="1076"/>
  <c r="A2331" i="1076"/>
  <c r="A2332" i="1076"/>
  <c r="A2333" i="1076"/>
  <c r="A2334" i="1076"/>
  <c r="A2335" i="1076"/>
  <c r="A2336" i="1076"/>
  <c r="A2337" i="1076"/>
  <c r="A2338" i="1076"/>
  <c r="A2339" i="1076"/>
  <c r="A2340" i="1076"/>
  <c r="A2341" i="1076"/>
  <c r="A2342" i="1076"/>
  <c r="A2343" i="1076"/>
  <c r="A2344" i="1076"/>
  <c r="A2345" i="1076"/>
  <c r="A2346" i="1076"/>
  <c r="A2347" i="1076"/>
  <c r="A2348" i="1076"/>
  <c r="A2349" i="1076"/>
  <c r="A2350" i="1076"/>
  <c r="A2351" i="1076"/>
  <c r="A2352" i="1076"/>
  <c r="A2353" i="1076"/>
  <c r="A2354" i="1076"/>
  <c r="A2355" i="1076"/>
  <c r="A2356" i="1076"/>
  <c r="A2357" i="1076"/>
  <c r="A2358" i="1076"/>
  <c r="A2359" i="1076"/>
  <c r="A2360" i="1076"/>
  <c r="A2361" i="1076"/>
  <c r="A2362" i="1076"/>
  <c r="A2363" i="1076"/>
  <c r="A2364" i="1076"/>
  <c r="A2365" i="1076"/>
  <c r="A2366" i="1076"/>
  <c r="A2367" i="1076"/>
  <c r="A2368" i="1076"/>
  <c r="A2369" i="1076"/>
  <c r="A2370" i="1076"/>
  <c r="A2371" i="1076"/>
  <c r="A2372" i="1076"/>
  <c r="A2373" i="1076"/>
  <c r="A2374" i="1076"/>
  <c r="A2375" i="1076"/>
  <c r="A2376" i="1076"/>
  <c r="A2377" i="1076"/>
  <c r="A2378" i="1076"/>
  <c r="A2379" i="1076"/>
  <c r="A2380" i="1076"/>
  <c r="A2381" i="1076"/>
  <c r="A2382" i="1076"/>
  <c r="A2383" i="1076"/>
  <c r="A2384" i="1076"/>
  <c r="A2385" i="1076"/>
  <c r="A2386" i="1076"/>
  <c r="A2387" i="1076"/>
  <c r="A2388" i="1076"/>
  <c r="A2389" i="1076"/>
  <c r="A2390" i="1076"/>
  <c r="A2391" i="1076"/>
  <c r="A2392" i="1076"/>
  <c r="A2393" i="1076"/>
  <c r="A2394" i="1076"/>
  <c r="A2395" i="1076"/>
  <c r="A2396" i="1076"/>
  <c r="A2397" i="1076"/>
  <c r="A2398" i="1076"/>
  <c r="A2399" i="1076"/>
  <c r="A2400" i="1076"/>
  <c r="A2401" i="1076"/>
  <c r="A2402" i="1076"/>
  <c r="A2403" i="1076"/>
  <c r="A2404" i="1076"/>
  <c r="A2405" i="1076"/>
  <c r="A2406" i="1076"/>
  <c r="A2407" i="1076"/>
  <c r="A2408" i="1076"/>
  <c r="A2409" i="1076"/>
  <c r="A2410" i="1076"/>
  <c r="A2411" i="1076"/>
  <c r="A2412" i="1076"/>
  <c r="A2413" i="1076"/>
  <c r="A2414" i="1076"/>
  <c r="A2415" i="1076"/>
  <c r="A2416" i="1076"/>
  <c r="A2417" i="1076"/>
  <c r="A2418" i="1076"/>
  <c r="A2419" i="1076"/>
  <c r="A2420" i="1076"/>
  <c r="A2421" i="1076"/>
  <c r="A2422" i="1076"/>
  <c r="A2423" i="1076"/>
  <c r="A2424" i="1076"/>
  <c r="A2425" i="1076"/>
  <c r="A2426" i="1076"/>
  <c r="A2427" i="1076"/>
  <c r="A2428" i="1076"/>
  <c r="A2429" i="1076"/>
  <c r="A2430" i="1076"/>
  <c r="A2431" i="1076"/>
  <c r="A2432" i="1076"/>
  <c r="A2433" i="1076"/>
  <c r="A2434" i="1076"/>
  <c r="A2435" i="1076"/>
  <c r="A2436" i="1076"/>
  <c r="A2437" i="1076"/>
  <c r="A2438" i="1076"/>
  <c r="A2439" i="1076"/>
  <c r="A2440" i="1076"/>
  <c r="A2441" i="1076"/>
  <c r="A2442" i="1076"/>
  <c r="A2443" i="1076"/>
  <c r="A2444" i="1076"/>
  <c r="A2445" i="1076"/>
  <c r="A2446" i="1076"/>
  <c r="A2447" i="1076"/>
  <c r="A2448" i="1076"/>
  <c r="A2449" i="1076"/>
  <c r="A2450" i="1076"/>
  <c r="A2451" i="1076"/>
  <c r="A2452" i="1076"/>
  <c r="A2453" i="1076"/>
  <c r="A2454" i="1076"/>
  <c r="A2455" i="1076"/>
  <c r="A2456" i="1076"/>
  <c r="A2457" i="1076"/>
  <c r="A2458" i="1076"/>
  <c r="A2459" i="1076"/>
  <c r="A2460" i="1076"/>
  <c r="A2461" i="1076"/>
  <c r="A2462" i="1076"/>
  <c r="A2463" i="1076"/>
  <c r="A2464" i="1076"/>
  <c r="A2465" i="1076"/>
  <c r="A2466" i="1076"/>
  <c r="A2467" i="1076"/>
  <c r="A2468" i="1076"/>
  <c r="A2469" i="1076"/>
  <c r="A2470" i="1076"/>
  <c r="A2471" i="1076"/>
  <c r="A2472" i="1076"/>
  <c r="A2473" i="1076"/>
  <c r="A2474" i="1076"/>
  <c r="A2475" i="1076"/>
  <c r="A2476" i="1076"/>
  <c r="A2477" i="1076"/>
  <c r="A2478" i="1076"/>
  <c r="A2479" i="1076"/>
  <c r="A2480" i="1076"/>
  <c r="A2481" i="1076"/>
  <c r="A2482" i="1076"/>
  <c r="A2483" i="1076"/>
  <c r="A2484" i="1076"/>
  <c r="A2485" i="1076"/>
  <c r="A2486" i="1076"/>
  <c r="A2487" i="1076"/>
  <c r="A2488" i="1076"/>
  <c r="A2489" i="1076"/>
  <c r="A2490" i="1076"/>
  <c r="A2491" i="1076"/>
  <c r="A2492" i="1076"/>
  <c r="A2493" i="1076"/>
  <c r="A2494" i="1076"/>
  <c r="A2495" i="1076"/>
  <c r="A2496" i="1076"/>
  <c r="A2497" i="1076"/>
  <c r="A2498" i="1076"/>
  <c r="A2499" i="1076"/>
  <c r="A2500" i="1076"/>
  <c r="A2501" i="1076"/>
  <c r="A2502" i="1076"/>
  <c r="A2503" i="1076"/>
  <c r="A2504" i="1076"/>
  <c r="A2505" i="1076"/>
  <c r="A2506" i="1076"/>
  <c r="A2507" i="1076"/>
  <c r="A2508" i="1076"/>
  <c r="A2509" i="1076"/>
  <c r="A2510" i="1076"/>
  <c r="A2511" i="1076"/>
  <c r="A2512" i="1076"/>
  <c r="A2513" i="1076"/>
  <c r="A2514" i="1076"/>
  <c r="A2515" i="1076"/>
  <c r="A2516" i="1076"/>
  <c r="A2517" i="1076"/>
  <c r="A2518" i="1076"/>
  <c r="A2519" i="1076"/>
  <c r="A2520" i="1076"/>
  <c r="A2521" i="1076"/>
  <c r="A2522" i="1076"/>
  <c r="A2523" i="1076"/>
  <c r="A2524" i="1076"/>
  <c r="A2525" i="1076"/>
  <c r="A2526" i="1076"/>
  <c r="A2527" i="1076"/>
  <c r="A2528" i="1076"/>
  <c r="A2529" i="1076"/>
  <c r="A2530" i="1076"/>
  <c r="A2531" i="1076"/>
  <c r="A2532" i="1076"/>
  <c r="A2533" i="1076"/>
  <c r="A2534" i="1076"/>
  <c r="A2535" i="1076"/>
  <c r="A2536" i="1076"/>
  <c r="A2537" i="1076"/>
  <c r="A2538" i="1076"/>
  <c r="A2539" i="1076"/>
  <c r="A2540" i="1076"/>
  <c r="A2541" i="1076"/>
  <c r="A2542" i="1076"/>
  <c r="A2543" i="1076"/>
  <c r="A2544" i="1076"/>
  <c r="A2545" i="1076"/>
  <c r="A2546" i="1076"/>
  <c r="A2547" i="1076"/>
  <c r="A2548" i="1076"/>
  <c r="A2549" i="1076"/>
  <c r="A2550" i="1076"/>
  <c r="A2551" i="1076"/>
  <c r="A2552" i="1076"/>
  <c r="A2553" i="1076"/>
  <c r="A2554" i="1076"/>
  <c r="A2555" i="1076"/>
  <c r="A2556" i="1076"/>
  <c r="A2557" i="1076"/>
  <c r="A2558" i="1076"/>
  <c r="A2559" i="1076"/>
  <c r="A2560" i="1076"/>
  <c r="A2561" i="1076"/>
  <c r="A2562" i="1076"/>
  <c r="A2563" i="1076"/>
  <c r="A2564" i="1076"/>
  <c r="A2565" i="1076"/>
  <c r="A2566" i="1076"/>
  <c r="A2567" i="1076"/>
  <c r="A2568" i="1076"/>
  <c r="A2569" i="1076"/>
  <c r="A2570" i="1076"/>
  <c r="A2571" i="1076"/>
  <c r="A2572" i="1076"/>
  <c r="A2573" i="1076"/>
  <c r="A2574" i="1076"/>
  <c r="A2575" i="1076"/>
  <c r="A2576" i="1076"/>
  <c r="A2577" i="1076"/>
  <c r="A2578" i="1076"/>
  <c r="A2579" i="1076"/>
  <c r="A2580" i="1076"/>
  <c r="A2581" i="1076"/>
  <c r="A2582" i="1076"/>
  <c r="A2583" i="1076"/>
  <c r="A2584" i="1076"/>
  <c r="A2585" i="1076"/>
  <c r="A2586" i="1076"/>
  <c r="A2587" i="1076"/>
  <c r="A2588" i="1076"/>
  <c r="A2589" i="1076"/>
  <c r="A2590" i="1076"/>
  <c r="A2591" i="1076"/>
  <c r="A2592" i="1076"/>
  <c r="A2593" i="1076"/>
  <c r="A2594" i="1076"/>
  <c r="A2595" i="1076"/>
  <c r="A2596" i="1076"/>
  <c r="A2597" i="1076"/>
  <c r="A2598" i="1076"/>
  <c r="A2599" i="1076"/>
  <c r="A2600" i="1076"/>
  <c r="A2601" i="1076"/>
  <c r="A2602" i="1076"/>
  <c r="A2603" i="1076"/>
  <c r="A2604" i="1076"/>
  <c r="A2605" i="1076"/>
  <c r="A2606" i="1076"/>
  <c r="A2607" i="1076"/>
  <c r="A2608" i="1076"/>
  <c r="A2609" i="1076"/>
  <c r="A2610" i="1076"/>
  <c r="A2611" i="1076"/>
  <c r="A2612" i="1076"/>
  <c r="A2613" i="1076"/>
  <c r="A2614" i="1076"/>
  <c r="A2615" i="1076"/>
  <c r="A2616" i="1076"/>
  <c r="A2617" i="1076"/>
  <c r="A2618" i="1076"/>
  <c r="A2619" i="1076"/>
  <c r="A2620" i="1076"/>
  <c r="A2621" i="1076"/>
  <c r="A2622" i="1076"/>
  <c r="A2623" i="1076"/>
  <c r="A2624" i="1076"/>
  <c r="A2625" i="1076"/>
  <c r="A2626" i="1076"/>
  <c r="A2627" i="1076"/>
  <c r="A2628" i="1076"/>
  <c r="A2629" i="1076"/>
  <c r="A2630" i="1076"/>
  <c r="A2631" i="1076"/>
  <c r="A2632" i="1076"/>
  <c r="A2633" i="1076"/>
  <c r="A2634" i="1076"/>
  <c r="A2635" i="1076"/>
  <c r="A2636" i="1076"/>
  <c r="A2637" i="1076"/>
  <c r="A2638" i="1076"/>
  <c r="A2639" i="1076"/>
  <c r="A2640" i="1076"/>
  <c r="A2641" i="1076"/>
  <c r="A2642" i="1076"/>
  <c r="A2643" i="1076"/>
  <c r="A2644" i="1076"/>
  <c r="A2645" i="1076"/>
  <c r="A2646" i="1076"/>
  <c r="A2647" i="1076"/>
  <c r="A2648" i="1076"/>
  <c r="A2649" i="1076"/>
  <c r="A2650" i="1076"/>
  <c r="A2651" i="1076"/>
  <c r="A2652" i="1076"/>
  <c r="A2653" i="1076"/>
  <c r="A2654" i="1076"/>
  <c r="A2655" i="1076"/>
  <c r="D65" i="296"/>
  <c r="D66" i="296"/>
  <c r="D6" i="1046"/>
  <c r="I148" i="1072" l="1" a="1"/>
  <c r="I148" i="1072" s="1"/>
  <c r="H148" i="1072" a="1"/>
  <c r="H148" i="1072" s="1"/>
  <c r="I147" i="1072" a="1"/>
  <c r="I147" i="1072" s="1"/>
  <c r="H147" i="1072" a="1"/>
  <c r="H147" i="1072" s="1"/>
  <c r="E66" i="296"/>
  <c r="G66" i="296"/>
  <c r="F66" i="296"/>
  <c r="H66" i="296"/>
  <c r="G65" i="296"/>
  <c r="H65" i="296"/>
  <c r="E65" i="296"/>
  <c r="F65" i="296"/>
  <c r="A150" i="1072"/>
  <c r="G150" i="1072" s="1"/>
  <c r="A149" i="1072"/>
  <c r="G149" i="1072" s="1"/>
  <c r="H108" i="1075" a="1"/>
  <c r="H108" i="1075" s="1"/>
  <c r="H100" i="1075" a="1"/>
  <c r="H100" i="1075" s="1"/>
  <c r="H92" i="1075" a="1"/>
  <c r="H92" i="1075" s="1"/>
  <c r="H84" i="1075" a="1"/>
  <c r="H84" i="1075" s="1"/>
  <c r="H76" i="1075" a="1"/>
  <c r="H76" i="1075" s="1"/>
  <c r="H68" i="1075" a="1"/>
  <c r="H68" i="1075" s="1"/>
  <c r="H60" i="1075" a="1"/>
  <c r="H60" i="1075" s="1"/>
  <c r="H52" i="1075" a="1"/>
  <c r="H52" i="1075" s="1"/>
  <c r="H44" i="1075" a="1"/>
  <c r="H44" i="1075" s="1"/>
  <c r="H36" i="1075" a="1"/>
  <c r="H36" i="1075" s="1"/>
  <c r="H28" i="1075" a="1"/>
  <c r="H28" i="1075" s="1"/>
  <c r="C150" i="1072"/>
  <c r="H107" i="1075" a="1"/>
  <c r="H107" i="1075" s="1"/>
  <c r="H99" i="1075" a="1"/>
  <c r="H99" i="1075" s="1"/>
  <c r="H91" i="1075" a="1"/>
  <c r="H91" i="1075" s="1"/>
  <c r="H83" i="1075" a="1"/>
  <c r="H83" i="1075" s="1"/>
  <c r="H75" i="1075" a="1"/>
  <c r="H75" i="1075" s="1"/>
  <c r="H67" i="1075" a="1"/>
  <c r="H67" i="1075" s="1"/>
  <c r="H59" i="1075" a="1"/>
  <c r="H59" i="1075" s="1"/>
  <c r="H43" i="1075" a="1"/>
  <c r="H43" i="1075" s="1"/>
  <c r="H35" i="1075" a="1"/>
  <c r="H35" i="1075" s="1"/>
  <c r="H27" i="1075" a="1"/>
  <c r="H27" i="1075" s="1"/>
  <c r="C149" i="1072"/>
  <c r="H106" i="1075" a="1"/>
  <c r="H106" i="1075" s="1"/>
  <c r="H98" i="1075" a="1"/>
  <c r="H98" i="1075" s="1"/>
  <c r="H90" i="1075" a="1"/>
  <c r="H90" i="1075" s="1"/>
  <c r="H82" i="1075" a="1"/>
  <c r="H82" i="1075" s="1"/>
  <c r="H74" i="1075" a="1"/>
  <c r="H74" i="1075" s="1"/>
  <c r="H66" i="1075" a="1"/>
  <c r="H66" i="1075" s="1"/>
  <c r="H58" i="1075" a="1"/>
  <c r="H58" i="1075" s="1"/>
  <c r="H50" i="1075" a="1"/>
  <c r="H50" i="1075" s="1"/>
  <c r="H42" i="1075" a="1"/>
  <c r="H42" i="1075" s="1"/>
  <c r="H34" i="1075" a="1"/>
  <c r="H34" i="1075" s="1"/>
  <c r="C148" i="1072"/>
  <c r="H113" i="1075" a="1"/>
  <c r="H113" i="1075" s="1"/>
  <c r="H105" i="1075" a="1"/>
  <c r="H105" i="1075" s="1"/>
  <c r="H97" i="1075" a="1"/>
  <c r="H97" i="1075" s="1"/>
  <c r="H89" i="1075" a="1"/>
  <c r="H89" i="1075" s="1"/>
  <c r="H81" i="1075" a="1"/>
  <c r="H81" i="1075" s="1"/>
  <c r="H73" i="1075" a="1"/>
  <c r="H73" i="1075" s="1"/>
  <c r="H65" i="1075" a="1"/>
  <c r="H65" i="1075" s="1"/>
  <c r="H57" i="1075" a="1"/>
  <c r="H57" i="1075" s="1"/>
  <c r="H49" i="1075" a="1"/>
  <c r="H49" i="1075" s="1"/>
  <c r="H41" i="1075" a="1"/>
  <c r="H41" i="1075" s="1"/>
  <c r="H33" i="1075" a="1"/>
  <c r="H33" i="1075" s="1"/>
  <c r="H112" i="1075" a="1"/>
  <c r="H112" i="1075" s="1"/>
  <c r="H104" i="1075" a="1"/>
  <c r="H104" i="1075" s="1"/>
  <c r="H96" i="1075" a="1"/>
  <c r="H96" i="1075" s="1"/>
  <c r="H88" i="1075" a="1"/>
  <c r="H88" i="1075" s="1"/>
  <c r="H80" i="1075" a="1"/>
  <c r="H80" i="1075" s="1"/>
  <c r="H72" i="1075" a="1"/>
  <c r="H72" i="1075" s="1"/>
  <c r="H56" i="1075" a="1"/>
  <c r="H56" i="1075" s="1"/>
  <c r="H48" i="1075" a="1"/>
  <c r="H48" i="1075" s="1"/>
  <c r="H40" i="1075" a="1"/>
  <c r="H40" i="1075" s="1"/>
  <c r="H110" i="1075" a="1"/>
  <c r="H110" i="1075" s="1"/>
  <c r="H102" i="1075" a="1"/>
  <c r="H102" i="1075" s="1"/>
  <c r="H94" i="1075" a="1"/>
  <c r="H94" i="1075" s="1"/>
  <c r="H86" i="1075" a="1"/>
  <c r="H86" i="1075" s="1"/>
  <c r="H78" i="1075" a="1"/>
  <c r="H78" i="1075" s="1"/>
  <c r="H70" i="1075" a="1"/>
  <c r="H70" i="1075" s="1"/>
  <c r="H62" i="1075" a="1"/>
  <c r="H62" i="1075" s="1"/>
  <c r="H54" i="1075" a="1"/>
  <c r="H54" i="1075" s="1"/>
  <c r="H46" i="1075" a="1"/>
  <c r="H46" i="1075" s="1"/>
  <c r="H38" i="1075" a="1"/>
  <c r="H38" i="1075" s="1"/>
  <c r="H30" i="1075" a="1"/>
  <c r="H30" i="1075" s="1"/>
  <c r="C147" i="1072"/>
  <c r="H109" i="1075" a="1"/>
  <c r="H109" i="1075" s="1"/>
  <c r="H101" i="1075" a="1"/>
  <c r="H101" i="1075" s="1"/>
  <c r="H93" i="1075" a="1"/>
  <c r="H93" i="1075" s="1"/>
  <c r="H85" i="1075" a="1"/>
  <c r="H85" i="1075" s="1"/>
  <c r="H69" i="1075" a="1"/>
  <c r="H69" i="1075" s="1"/>
  <c r="H61" i="1075" a="1"/>
  <c r="H61" i="1075" s="1"/>
  <c r="H53" i="1075" a="1"/>
  <c r="H53" i="1075" s="1"/>
  <c r="H45" i="1075" a="1"/>
  <c r="H45" i="1075" s="1"/>
  <c r="H37" i="1075" a="1"/>
  <c r="H37" i="1075" s="1"/>
  <c r="H29" i="1075" a="1"/>
  <c r="H29" i="1075" s="1"/>
  <c r="H51" i="1075" a="1"/>
  <c r="H51" i="1075" s="1"/>
  <c r="H32" i="1075" a="1"/>
  <c r="H32" i="1075" s="1"/>
  <c r="F11" i="1040"/>
  <c r="E143" i="1024"/>
  <c r="E144" i="1024" s="1"/>
  <c r="G112" i="1024"/>
  <c r="E112" i="1024"/>
  <c r="E176" i="1023"/>
  <c r="E175" i="1023"/>
  <c r="E174" i="1023"/>
  <c r="E173" i="1023"/>
  <c r="G93" i="1024"/>
  <c r="E93" i="1024"/>
  <c r="E11" i="1024"/>
  <c r="H9" i="1024" s="1"/>
  <c r="H103" i="1024"/>
  <c r="F17" i="296"/>
  <c r="G17" i="296"/>
  <c r="H17" i="296"/>
  <c r="E17" i="296"/>
  <c r="AA145" i="1072" a="1"/>
  <c r="AA135" i="1072" a="1"/>
  <c r="I149" i="1072" l="1" a="1"/>
  <c r="I149" i="1072" s="1"/>
  <c r="H149" i="1072" a="1"/>
  <c r="H149" i="1072" s="1"/>
  <c r="I150" i="1072" a="1"/>
  <c r="I150" i="1072" s="1"/>
  <c r="H150" i="1072" a="1"/>
  <c r="H150" i="1072" s="1"/>
  <c r="AA145" i="1072"/>
  <c r="D57" i="1072" s="1"/>
  <c r="AA135" i="1072"/>
  <c r="D61" i="1072" s="1"/>
  <c r="G176" i="1023"/>
  <c r="G173" i="1023"/>
  <c r="G174" i="1023"/>
  <c r="G175" i="1023"/>
  <c r="E199" i="1072"/>
  <c r="F199" i="1072" s="1"/>
  <c r="E180" i="1072"/>
  <c r="F180" i="1072" s="1"/>
  <c r="E222" i="1072"/>
  <c r="F222" i="1072" s="1"/>
  <c r="E168" i="1072"/>
  <c r="F168" i="1072" s="1"/>
  <c r="E201" i="1072"/>
  <c r="F201" i="1072" s="1"/>
  <c r="E234" i="1072"/>
  <c r="F234" i="1072" s="1"/>
  <c r="E242" i="1072"/>
  <c r="F242" i="1072" s="1"/>
  <c r="E163" i="1072"/>
  <c r="F163" i="1072" s="1"/>
  <c r="E196" i="1072"/>
  <c r="F196" i="1072" s="1"/>
  <c r="E238" i="1072"/>
  <c r="F238" i="1072" s="1"/>
  <c r="E184" i="1072"/>
  <c r="F184" i="1072" s="1"/>
  <c r="E217" i="1072"/>
  <c r="F217" i="1072" s="1"/>
  <c r="E188" i="1072"/>
  <c r="F188" i="1072" s="1"/>
  <c r="E171" i="1072"/>
  <c r="F171" i="1072" s="1"/>
  <c r="E204" i="1072"/>
  <c r="F204" i="1072" s="1"/>
  <c r="E246" i="1072"/>
  <c r="F246" i="1072" s="1"/>
  <c r="E192" i="1072"/>
  <c r="F192" i="1072" s="1"/>
  <c r="E225" i="1072"/>
  <c r="F225" i="1072" s="1"/>
  <c r="E176" i="1072"/>
  <c r="F176" i="1072" s="1"/>
  <c r="E179" i="1072"/>
  <c r="F179" i="1072" s="1"/>
  <c r="E212" i="1072"/>
  <c r="F212" i="1072" s="1"/>
  <c r="E167" i="1072"/>
  <c r="F167" i="1072" s="1"/>
  <c r="E200" i="1072"/>
  <c r="F200" i="1072" s="1"/>
  <c r="E233" i="1072"/>
  <c r="F233" i="1072" s="1"/>
  <c r="E187" i="1072"/>
  <c r="F187" i="1072" s="1"/>
  <c r="E220" i="1072"/>
  <c r="F220" i="1072" s="1"/>
  <c r="E175" i="1072"/>
  <c r="F175" i="1072" s="1"/>
  <c r="E208" i="1072"/>
  <c r="F208" i="1072" s="1"/>
  <c r="E241" i="1072"/>
  <c r="F241" i="1072" s="1"/>
  <c r="E230" i="1072"/>
  <c r="F230" i="1072" s="1"/>
  <c r="E195" i="1072"/>
  <c r="F195" i="1072" s="1"/>
  <c r="E228" i="1072"/>
  <c r="F228" i="1072" s="1"/>
  <c r="E183" i="1072"/>
  <c r="F183" i="1072" s="1"/>
  <c r="E216" i="1072"/>
  <c r="F216" i="1072" s="1"/>
  <c r="E209" i="1072"/>
  <c r="F209" i="1072" s="1"/>
  <c r="E203" i="1072"/>
  <c r="F203" i="1072" s="1"/>
  <c r="E236" i="1072"/>
  <c r="F236" i="1072" s="1"/>
  <c r="E191" i="1072"/>
  <c r="F191" i="1072" s="1"/>
  <c r="E224" i="1072"/>
  <c r="F224" i="1072" s="1"/>
  <c r="E162" i="1072"/>
  <c r="F162" i="1072" s="1"/>
  <c r="E170" i="1072"/>
  <c r="F170" i="1072" s="1"/>
  <c r="E240" i="1072"/>
  <c r="F240" i="1072" s="1"/>
  <c r="E174" i="1072"/>
  <c r="F174" i="1072" s="1"/>
  <c r="E186" i="1072"/>
  <c r="F186" i="1072" s="1"/>
  <c r="E185" i="1072"/>
  <c r="F185" i="1072" s="1"/>
  <c r="E235" i="1072"/>
  <c r="F235" i="1072" s="1"/>
  <c r="E182" i="1072"/>
  <c r="F182" i="1072" s="1"/>
  <c r="E223" i="1072"/>
  <c r="F223" i="1072" s="1"/>
  <c r="E161" i="1072"/>
  <c r="F161" i="1072" s="1"/>
  <c r="E194" i="1072"/>
  <c r="F194" i="1072" s="1"/>
  <c r="E243" i="1072"/>
  <c r="F243" i="1072" s="1"/>
  <c r="E190" i="1072"/>
  <c r="F190" i="1072" s="1"/>
  <c r="E231" i="1072"/>
  <c r="F231" i="1072" s="1"/>
  <c r="E169" i="1072"/>
  <c r="F169" i="1072" s="1"/>
  <c r="E202" i="1072"/>
  <c r="F202" i="1072" s="1"/>
  <c r="E232" i="1072"/>
  <c r="F232" i="1072" s="1"/>
  <c r="E178" i="1072"/>
  <c r="F178" i="1072" s="1"/>
  <c r="E239" i="1072"/>
  <c r="F239" i="1072" s="1"/>
  <c r="E177" i="1072"/>
  <c r="F177" i="1072" s="1"/>
  <c r="E210" i="1072"/>
  <c r="F210" i="1072" s="1"/>
  <c r="E244" i="1072"/>
  <c r="F244" i="1072" s="1"/>
  <c r="E219" i="1072"/>
  <c r="F219" i="1072" s="1"/>
  <c r="E215" i="1072"/>
  <c r="F215" i="1072" s="1"/>
  <c r="E166" i="1072"/>
  <c r="F166" i="1072" s="1"/>
  <c r="E164" i="1072"/>
  <c r="F164" i="1072" s="1"/>
  <c r="E206" i="1072"/>
  <c r="F206" i="1072" s="1"/>
  <c r="E247" i="1072"/>
  <c r="F247" i="1072" s="1"/>
  <c r="E218" i="1072"/>
  <c r="F218" i="1072" s="1"/>
  <c r="E207" i="1072"/>
  <c r="F207" i="1072" s="1"/>
  <c r="E227" i="1072"/>
  <c r="F227" i="1072" s="1"/>
  <c r="E172" i="1072"/>
  <c r="F172" i="1072" s="1"/>
  <c r="E214" i="1072"/>
  <c r="F214" i="1072" s="1"/>
  <c r="E193" i="1072"/>
  <c r="F193" i="1072" s="1"/>
  <c r="E226" i="1072"/>
  <c r="F226" i="1072" s="1"/>
  <c r="H77" i="1075" a="1"/>
  <c r="H77" i="1075" s="1"/>
  <c r="H64" i="1075" a="1"/>
  <c r="H64" i="1075" s="1"/>
  <c r="H55" i="1075" a="1"/>
  <c r="H55" i="1075" s="1"/>
  <c r="H63" i="1075" a="1"/>
  <c r="H63" i="1075" s="1"/>
  <c r="H71" i="1075" a="1"/>
  <c r="H71" i="1075" s="1"/>
  <c r="A155" i="1072"/>
  <c r="G155" i="1072" s="1"/>
  <c r="H79" i="1075" a="1"/>
  <c r="H79" i="1075" s="1"/>
  <c r="A160" i="1072"/>
  <c r="G160" i="1072" s="1"/>
  <c r="H26" i="1075" a="1"/>
  <c r="H26" i="1075" s="1"/>
  <c r="A156" i="1072"/>
  <c r="G156" i="1072" s="1"/>
  <c r="H22" i="1075" a="1"/>
  <c r="H22" i="1075" s="1"/>
  <c r="A157" i="1072"/>
  <c r="G157" i="1072" s="1"/>
  <c r="H23" i="1075" a="1"/>
  <c r="H23" i="1075" s="1"/>
  <c r="H87" i="1075" a="1"/>
  <c r="H87" i="1075" s="1"/>
  <c r="A158" i="1072"/>
  <c r="G158" i="1072" s="1"/>
  <c r="A151" i="1072"/>
  <c r="G151" i="1072" s="1"/>
  <c r="A154" i="1072"/>
  <c r="G154" i="1072" s="1"/>
  <c r="H31" i="1075" a="1"/>
  <c r="H31" i="1075" s="1"/>
  <c r="H95" i="1075" a="1"/>
  <c r="H95" i="1075" s="1"/>
  <c r="A159" i="1072"/>
  <c r="G159" i="1072" s="1"/>
  <c r="H25" i="1075" a="1"/>
  <c r="H25" i="1075" s="1"/>
  <c r="H39" i="1075" a="1"/>
  <c r="H39" i="1075" s="1"/>
  <c r="H103" i="1075" a="1"/>
  <c r="H103" i="1075" s="1"/>
  <c r="H47" i="1075" a="1"/>
  <c r="H47" i="1075" s="1"/>
  <c r="H111" i="1075" a="1"/>
  <c r="H111" i="1075" s="1"/>
  <c r="H137" i="1024"/>
  <c r="E94" i="1024"/>
  <c r="H92" i="1024" s="1"/>
  <c r="E98" i="1024"/>
  <c r="H66" i="1024"/>
  <c r="E60" i="1024"/>
  <c r="H62" i="1024" s="1"/>
  <c r="E62" i="1024" s="1"/>
  <c r="H54" i="1024" s="1"/>
  <c r="E237" i="1023"/>
  <c r="E239" i="1023"/>
  <c r="E238" i="1023"/>
  <c r="E177" i="1023"/>
  <c r="H171" i="1023" s="1"/>
  <c r="E196" i="1023"/>
  <c r="E169" i="1023"/>
  <c r="H162" i="1023" s="1"/>
  <c r="H39" i="1024"/>
  <c r="E160" i="1023"/>
  <c r="H153" i="1023" s="1"/>
  <c r="E113" i="1024"/>
  <c r="H111" i="1024" s="1"/>
  <c r="E117" i="1024"/>
  <c r="H115" i="1024" s="1"/>
  <c r="E151" i="1023"/>
  <c r="H144" i="1023" s="1"/>
  <c r="H17" i="1024"/>
  <c r="H13" i="1024"/>
  <c r="D45" i="1040"/>
  <c r="D40" i="1040"/>
  <c r="G28" i="1030"/>
  <c r="H28" i="1030"/>
  <c r="I28" i="1030"/>
  <c r="F28" i="1030"/>
  <c r="G27" i="1030"/>
  <c r="H27" i="1030"/>
  <c r="I27" i="1030"/>
  <c r="F27" i="1030"/>
  <c r="I24" i="1030"/>
  <c r="H24" i="1030"/>
  <c r="G24" i="1030"/>
  <c r="F24" i="1030"/>
  <c r="F23" i="1030"/>
  <c r="G23" i="1030"/>
  <c r="H23" i="1030"/>
  <c r="I23" i="1030"/>
  <c r="F32" i="1040"/>
  <c r="G88" i="1043"/>
  <c r="E89" i="1043"/>
  <c r="D88" i="1043"/>
  <c r="H144" i="890"/>
  <c r="I144" i="890"/>
  <c r="J144" i="890"/>
  <c r="G144" i="890"/>
  <c r="G154" i="890"/>
  <c r="AA141" i="1072" a="1"/>
  <c r="AA83" i="1072" a="1"/>
  <c r="AA144" i="1072" a="1"/>
  <c r="AA139" i="1072" a="1"/>
  <c r="AA142" i="1072" a="1"/>
  <c r="AA150" i="1072" a="1"/>
  <c r="AA140" i="1072" a="1"/>
  <c r="AA149" i="1072" a="1"/>
  <c r="AA147" i="1072" a="1"/>
  <c r="AA148" i="1072" a="1"/>
  <c r="AA138" i="1072" a="1"/>
  <c r="AA142" i="1072" l="1"/>
  <c r="D59" i="1072" s="1"/>
  <c r="I154" i="1072" a="1"/>
  <c r="I154" i="1072" s="1"/>
  <c r="H154" i="1072" a="1"/>
  <c r="H154" i="1072" s="1"/>
  <c r="I156" i="1072" a="1"/>
  <c r="I156" i="1072" s="1"/>
  <c r="H156" i="1072" a="1"/>
  <c r="H156" i="1072" s="1"/>
  <c r="I151" i="1072" a="1"/>
  <c r="I151" i="1072" s="1"/>
  <c r="H151" i="1072" a="1"/>
  <c r="H151" i="1072" s="1"/>
  <c r="I160" i="1072" a="1"/>
  <c r="I160" i="1072" s="1"/>
  <c r="H160" i="1072" a="1"/>
  <c r="H160" i="1072" s="1"/>
  <c r="I158" i="1072" a="1"/>
  <c r="I158" i="1072" s="1"/>
  <c r="H158" i="1072" a="1"/>
  <c r="H158" i="1072" s="1"/>
  <c r="I157" i="1072" a="1"/>
  <c r="I157" i="1072" s="1"/>
  <c r="H157" i="1072" a="1"/>
  <c r="H157" i="1072" s="1"/>
  <c r="I155" i="1072" a="1"/>
  <c r="I155" i="1072" s="1"/>
  <c r="H155" i="1072" a="1"/>
  <c r="H155" i="1072" s="1"/>
  <c r="I159" i="1072" a="1"/>
  <c r="I159" i="1072" s="1"/>
  <c r="H159" i="1072" a="1"/>
  <c r="H159" i="1072" s="1"/>
  <c r="AA138" i="1072"/>
  <c r="D64" i="1072" s="1"/>
  <c r="AA139" i="1072"/>
  <c r="D65" i="1072" s="1"/>
  <c r="AA144" i="1072"/>
  <c r="D67" i="1072" s="1"/>
  <c r="AA141" i="1072"/>
  <c r="D63" i="1072" s="1"/>
  <c r="AA140" i="1072"/>
  <c r="D62" i="1072" s="1"/>
  <c r="AA147" i="1072"/>
  <c r="D27" i="1072" s="1"/>
  <c r="AA148" i="1072"/>
  <c r="D28" i="1072" s="1"/>
  <c r="AA149" i="1072"/>
  <c r="D29" i="1072" s="1"/>
  <c r="AA150" i="1072"/>
  <c r="D30" i="1072" s="1"/>
  <c r="E32" i="1023"/>
  <c r="I20" i="1023"/>
  <c r="E20" i="1023" s="1"/>
  <c r="AA83" i="1072"/>
  <c r="D49" i="1072" s="1"/>
  <c r="I19" i="1023"/>
  <c r="E19" i="1023" s="1"/>
  <c r="E33" i="1023"/>
  <c r="I18" i="1023"/>
  <c r="E18" i="1023" s="1"/>
  <c r="H189" i="1023"/>
  <c r="E38" i="1030"/>
  <c r="E197" i="1072"/>
  <c r="F197" i="1072" s="1"/>
  <c r="E189" i="1072"/>
  <c r="F189" i="1072" s="1"/>
  <c r="E198" i="1072"/>
  <c r="F198" i="1072" s="1"/>
  <c r="E229" i="1072"/>
  <c r="F229" i="1072" s="1"/>
  <c r="E165" i="1072"/>
  <c r="F165" i="1072" s="1"/>
  <c r="E245" i="1072"/>
  <c r="F245" i="1072" s="1"/>
  <c r="E211" i="1072"/>
  <c r="F211" i="1072" s="1"/>
  <c r="E181" i="1072"/>
  <c r="F181" i="1072" s="1"/>
  <c r="E213" i="1072"/>
  <c r="F213" i="1072" s="1"/>
  <c r="E173" i="1072"/>
  <c r="F173" i="1072" s="1"/>
  <c r="E221" i="1072"/>
  <c r="F221" i="1072" s="1"/>
  <c r="E205" i="1072"/>
  <c r="F205" i="1072" s="1"/>
  <c r="E237" i="1072"/>
  <c r="F237" i="1072" s="1"/>
  <c r="F29" i="1030"/>
  <c r="F30" i="1030" s="1"/>
  <c r="G29" i="1030"/>
  <c r="G30" i="1030" s="1"/>
  <c r="E37" i="1030"/>
  <c r="E34" i="1023"/>
  <c r="I29" i="1030"/>
  <c r="I30" i="1030" s="1"/>
  <c r="H29" i="1030"/>
  <c r="H30" i="1030" s="1"/>
  <c r="H96" i="1024"/>
  <c r="E240" i="1023"/>
  <c r="H233" i="1023" s="1"/>
  <c r="H11" i="1023"/>
  <c r="H12" i="1023"/>
  <c r="H13" i="1023"/>
  <c r="H10" i="1023"/>
  <c r="G15" i="296"/>
  <c r="H15" i="296"/>
  <c r="H6" i="1040"/>
  <c r="I6" i="1040"/>
  <c r="J6" i="1040"/>
  <c r="G6" i="1040"/>
  <c r="E28" i="1018"/>
  <c r="E30" i="1018" s="1"/>
  <c r="G56" i="1071"/>
  <c r="E56" i="1071" s="1"/>
  <c r="G55" i="1071"/>
  <c r="E55" i="1071" s="1"/>
  <c r="G54" i="1071"/>
  <c r="E54" i="1071" s="1"/>
  <c r="G53" i="1071"/>
  <c r="E53" i="1071" s="1"/>
  <c r="AA156" i="1072" a="1"/>
  <c r="AA155" i="1072" a="1"/>
  <c r="AB154" i="1072" a="1"/>
  <c r="AB153" i="1072" a="1"/>
  <c r="AA143" i="1072" a="1"/>
  <c r="E159" i="1072" l="1"/>
  <c r="F159" i="1072" s="1"/>
  <c r="E160" i="1072"/>
  <c r="F160" i="1072" s="1"/>
  <c r="E155" i="1072"/>
  <c r="F155" i="1072" s="1"/>
  <c r="E157" i="1072"/>
  <c r="F157" i="1072" s="1"/>
  <c r="E156" i="1072"/>
  <c r="F156" i="1072" s="1"/>
  <c r="E158" i="1072"/>
  <c r="F158" i="1072" s="1"/>
  <c r="E154" i="1072"/>
  <c r="F154" i="1072" s="1"/>
  <c r="AA143" i="1072"/>
  <c r="D58" i="1072" s="1"/>
  <c r="AA156" i="1072"/>
  <c r="D121" i="1072" s="1"/>
  <c r="AA155" i="1072"/>
  <c r="D120" i="1072" s="1"/>
  <c r="AB153" i="1072"/>
  <c r="AB154" i="1072"/>
  <c r="E47" i="1023"/>
  <c r="K22" i="1018"/>
  <c r="K24" i="1018"/>
  <c r="D32" i="1046"/>
  <c r="E14" i="296"/>
  <c r="G21" i="1041"/>
  <c r="E15" i="296"/>
  <c r="G79" i="1071"/>
  <c r="E79" i="1071" s="1"/>
  <c r="H74" i="1071" s="1"/>
  <c r="G64" i="1071"/>
  <c r="E64" i="1071" s="1"/>
  <c r="G77" i="1071"/>
  <c r="G62" i="1071"/>
  <c r="J77" i="1071"/>
  <c r="J62" i="1071"/>
  <c r="I77" i="1071"/>
  <c r="I62" i="1071"/>
  <c r="H77" i="1071"/>
  <c r="H62" i="1071"/>
  <c r="F15" i="296"/>
  <c r="F31" i="1030"/>
  <c r="H43" i="1018"/>
  <c r="H18" i="1071"/>
  <c r="AC153" i="1072" a="1"/>
  <c r="AA51" i="1072" a="1"/>
  <c r="AC154" i="1072" a="1"/>
  <c r="AA108" i="1072" a="1"/>
  <c r="AA108" i="1072" l="1"/>
  <c r="D87" i="1072" s="1"/>
  <c r="D9" i="1053"/>
  <c r="D12" i="1053"/>
  <c r="D20" i="1053"/>
  <c r="D10" i="1053"/>
  <c r="D18" i="1053"/>
  <c r="D15" i="1053"/>
  <c r="D23" i="1053"/>
  <c r="D26" i="1053"/>
  <c r="D19" i="1053"/>
  <c r="D14" i="1053"/>
  <c r="D13" i="1053"/>
  <c r="D21" i="1053"/>
  <c r="D16" i="1053"/>
  <c r="D24" i="1053"/>
  <c r="D11" i="1053"/>
  <c r="D22" i="1053"/>
  <c r="D17" i="1053"/>
  <c r="D25" i="1053"/>
  <c r="D8" i="1053"/>
  <c r="AA51" i="1072"/>
  <c r="D116" i="1072" s="1"/>
  <c r="AC154" i="1072"/>
  <c r="F105" i="1072" s="1"/>
  <c r="AC153" i="1072"/>
  <c r="F104" i="1072" s="1"/>
  <c r="H53" i="1018"/>
  <c r="H57" i="1018" s="1"/>
  <c r="H60" i="1018"/>
  <c r="E48" i="1018"/>
  <c r="H51" i="1018"/>
  <c r="K51" i="1018" s="1"/>
  <c r="H36" i="1018"/>
  <c r="H34" i="1018"/>
  <c r="H37" i="1018" l="1"/>
  <c r="H42" i="1018" s="1"/>
  <c r="K34" i="1018"/>
  <c r="H13" i="1018"/>
  <c r="H52" i="1018"/>
  <c r="H55" i="1018"/>
  <c r="H54" i="1018"/>
  <c r="H59" i="1018" s="1"/>
  <c r="H11" i="1018"/>
  <c r="H40" i="1018"/>
  <c r="H38" i="1018"/>
  <c r="H35" i="1018"/>
  <c r="J39" i="1034"/>
  <c r="I39" i="1034"/>
  <c r="H39" i="1034"/>
  <c r="G39" i="1034"/>
  <c r="AA90" i="1072" a="1"/>
  <c r="AA97" i="1072" a="1"/>
  <c r="AA100" i="1072" a="1"/>
  <c r="AA107" i="1072" a="1"/>
  <c r="J43" i="1048" l="1"/>
  <c r="J48" i="1048"/>
  <c r="AA97" i="1072"/>
  <c r="D102" i="1072" s="1"/>
  <c r="AA107" i="1072"/>
  <c r="AA90" i="1072"/>
  <c r="AA100" i="1072"/>
  <c r="K11" i="1018"/>
  <c r="H15" i="1018"/>
  <c r="H39" i="1018"/>
  <c r="H41" i="1018"/>
  <c r="H14" i="1018"/>
  <c r="H12" i="1018"/>
  <c r="H58" i="1018"/>
  <c r="H56" i="1018"/>
  <c r="AA92" i="1072" a="1"/>
  <c r="AA101" i="1072" a="1"/>
  <c r="AA102" i="1072" a="1"/>
  <c r="AC107" i="1072" a="1"/>
  <c r="AA99" i="1072" a="1"/>
  <c r="AC97" i="1072" a="1"/>
  <c r="J45" i="1048" l="1"/>
  <c r="K45" i="1048" s="1"/>
  <c r="K48" i="1048"/>
  <c r="J44" i="1048"/>
  <c r="K44" i="1048" s="1"/>
  <c r="K43" i="1048"/>
  <c r="AA99" i="1072"/>
  <c r="D84" i="1072" s="1"/>
  <c r="AA92" i="1072"/>
  <c r="D88" i="1072" s="1"/>
  <c r="AA102" i="1072"/>
  <c r="AC97" i="1072"/>
  <c r="F102" i="1072" s="1"/>
  <c r="AC107" i="1072"/>
  <c r="AA101" i="1072"/>
  <c r="G36" i="1030"/>
  <c r="E50" i="1071"/>
  <c r="G38" i="1030" l="1"/>
  <c r="J35" i="1030" s="1"/>
  <c r="G51" i="1071"/>
  <c r="E51" i="1071" s="1"/>
  <c r="G52" i="1071" s="1"/>
  <c r="E52" i="1071" s="1"/>
  <c r="H49" i="1071" s="1"/>
  <c r="D64" i="1043"/>
  <c r="D65" i="1043"/>
  <c r="D66" i="1043"/>
  <c r="D67" i="1043"/>
  <c r="D68" i="1043"/>
  <c r="D69" i="1043"/>
  <c r="D70" i="1043"/>
  <c r="D71" i="1043"/>
  <c r="D72" i="1043"/>
  <c r="D73" i="1043"/>
  <c r="D74" i="1043"/>
  <c r="D75" i="1043"/>
  <c r="D76" i="1043"/>
  <c r="D77" i="1043"/>
  <c r="D78" i="1043"/>
  <c r="D79" i="1043"/>
  <c r="D80" i="1043"/>
  <c r="D81" i="1043"/>
  <c r="D63" i="1043"/>
  <c r="M20" i="1053"/>
  <c r="M21" i="1053"/>
  <c r="M22" i="1053"/>
  <c r="M23" i="1053"/>
  <c r="M24" i="1053"/>
  <c r="M25" i="1053"/>
  <c r="M26" i="1053"/>
  <c r="M19" i="1053"/>
  <c r="M14" i="1053"/>
  <c r="M16" i="1053"/>
  <c r="M17" i="1053"/>
  <c r="E30" i="1071"/>
  <c r="E35" i="1071"/>
  <c r="G36" i="1071" s="1"/>
  <c r="E36" i="1071" s="1"/>
  <c r="AA48" i="1072" a="1"/>
  <c r="AA48" i="1072" l="1"/>
  <c r="D113" i="1072" s="1"/>
  <c r="J32" i="1041"/>
  <c r="G31" i="1041"/>
  <c r="G34" i="1041"/>
  <c r="D7" i="1053" s="1"/>
  <c r="G32" i="1041"/>
  <c r="J34" i="1041"/>
  <c r="G7" i="1053" s="1"/>
  <c r="I34" i="1041"/>
  <c r="F7" i="1053" s="1"/>
  <c r="I32" i="1041"/>
  <c r="I33" i="1041"/>
  <c r="I31" i="1041"/>
  <c r="J31" i="1041" l="1"/>
  <c r="J33" i="1041"/>
  <c r="H34" i="1041"/>
  <c r="E7" i="1053" s="1"/>
  <c r="K7" i="1053" s="1"/>
  <c r="H32" i="1041"/>
  <c r="K19" i="1053"/>
  <c r="K13" i="1053"/>
  <c r="H16" i="1053"/>
  <c r="H33" i="1041"/>
  <c r="H23" i="1053"/>
  <c r="K17" i="1053"/>
  <c r="H31" i="1041"/>
  <c r="H14" i="1053"/>
  <c r="H12" i="1053"/>
  <c r="K26" i="1053"/>
  <c r="H20" i="1018"/>
  <c r="H17" i="1018"/>
  <c r="E11" i="1071"/>
  <c r="H93" i="1071" s="1"/>
  <c r="H84" i="1071"/>
  <c r="H81" i="1071" s="1"/>
  <c r="AC126" i="1072" a="1"/>
  <c r="AA111" i="1072" a="1"/>
  <c r="AA104" i="1072" a="1"/>
  <c r="AA123" i="1072" a="1"/>
  <c r="AC120" i="1072" a="1"/>
  <c r="AA94" i="1072" a="1"/>
  <c r="AA130" i="1072" a="1"/>
  <c r="AA121" i="1072" a="1"/>
  <c r="AC114" i="1072" a="1"/>
  <c r="AA119" i="1072" a="1"/>
  <c r="AC124" i="1072" a="1"/>
  <c r="AA98" i="1072" a="1"/>
  <c r="AC133" i="1072" a="1"/>
  <c r="AA94" i="1072" l="1"/>
  <c r="D90" i="1072" s="1"/>
  <c r="AA104" i="1072"/>
  <c r="AA119" i="1072"/>
  <c r="D140" i="1072" s="1"/>
  <c r="AA121" i="1072"/>
  <c r="D142" i="1072" s="1"/>
  <c r="AA111" i="1072"/>
  <c r="D117" i="1072" s="1"/>
  <c r="AA130" i="1072"/>
  <c r="D132" i="1072" s="1"/>
  <c r="AA98" i="1072"/>
  <c r="D103" i="1072" s="1"/>
  <c r="AA123" i="1072"/>
  <c r="D125" i="1072" s="1"/>
  <c r="AC114" i="1072"/>
  <c r="F124" i="1072" s="1"/>
  <c r="AC133" i="1072"/>
  <c r="F136" i="1072" s="1"/>
  <c r="AC120" i="1072"/>
  <c r="F141" i="1072" s="1"/>
  <c r="AC126" i="1072"/>
  <c r="F128" i="1072" s="1"/>
  <c r="AC124" i="1072"/>
  <c r="F126" i="1072" s="1"/>
  <c r="K11" i="1053"/>
  <c r="H18" i="1053"/>
  <c r="H20" i="1053"/>
  <c r="K22" i="1053"/>
  <c r="H9" i="1053"/>
  <c r="K9" i="1053"/>
  <c r="H15" i="1053"/>
  <c r="K25" i="1053"/>
  <c r="K10" i="1053"/>
  <c r="K21" i="1053"/>
  <c r="K8" i="1053"/>
  <c r="K15" i="1053"/>
  <c r="K24" i="1053"/>
  <c r="K12" i="1053"/>
  <c r="H21" i="1053"/>
  <c r="H13" i="1053"/>
  <c r="H26" i="1053"/>
  <c r="H8" i="1053"/>
  <c r="H7" i="1053"/>
  <c r="H19" i="1053"/>
  <c r="H10" i="1053"/>
  <c r="H11" i="1053"/>
  <c r="K23" i="1053"/>
  <c r="H24" i="1053"/>
  <c r="H25" i="1053"/>
  <c r="H17" i="1053"/>
  <c r="K18" i="1053"/>
  <c r="K14" i="1053"/>
  <c r="K16" i="1053"/>
  <c r="K20" i="1053"/>
  <c r="H22" i="1053"/>
  <c r="H19" i="1018"/>
  <c r="E16" i="1071"/>
  <c r="H16" i="1018"/>
  <c r="H18" i="1018"/>
  <c r="AC128" i="1072" a="1"/>
  <c r="AA114" i="1072" a="1"/>
  <c r="AC117" i="1072" a="1"/>
  <c r="AA129" i="1072" a="1"/>
  <c r="AA115" i="1072" a="1"/>
  <c r="AC123" i="1072" a="1"/>
  <c r="AA125" i="1072" a="1"/>
  <c r="AC115" i="1072" a="1"/>
  <c r="AA96" i="1072" a="1"/>
  <c r="AA132" i="1072" a="1"/>
  <c r="AA126" i="1072" a="1"/>
  <c r="AC127" i="1072" a="1"/>
  <c r="AC129" i="1072" a="1"/>
  <c r="AA103" i="1072" a="1"/>
  <c r="AC125" i="1072" a="1"/>
  <c r="AC121" i="1072" a="1"/>
  <c r="AA122" i="1072" a="1"/>
  <c r="AA120" i="1072" a="1"/>
  <c r="AC130" i="1072" a="1"/>
  <c r="AC132" i="1072" a="1"/>
  <c r="AA106" i="1072" a="1"/>
  <c r="AA128" i="1072" a="1"/>
  <c r="AA118" i="1072" a="1"/>
  <c r="AA133" i="1072" a="1"/>
  <c r="AA93" i="1072" a="1"/>
  <c r="AA116" i="1072" a="1"/>
  <c r="AA127" i="1072" a="1"/>
  <c r="AA95" i="1072" a="1"/>
  <c r="AC122" i="1072" a="1"/>
  <c r="AC131" i="1072" a="1"/>
  <c r="AA124" i="1072" a="1"/>
  <c r="AC119" i="1072" a="1"/>
  <c r="AA131" i="1072" a="1"/>
  <c r="AA105" i="1072" a="1"/>
  <c r="AC118" i="1072" a="1"/>
  <c r="AA117" i="1072" a="1"/>
  <c r="AC116" i="1072" a="1"/>
  <c r="AA114" i="1072" l="1"/>
  <c r="D124" i="1072" s="1"/>
  <c r="AA93" i="1072"/>
  <c r="D89" i="1072" s="1"/>
  <c r="AA103" i="1072"/>
  <c r="AA127" i="1072"/>
  <c r="D129" i="1072" s="1"/>
  <c r="AA115" i="1072"/>
  <c r="D135" i="1072" s="1"/>
  <c r="AA129" i="1072"/>
  <c r="D131" i="1072" s="1"/>
  <c r="AA122" i="1072"/>
  <c r="D143" i="1072" s="1"/>
  <c r="AA131" i="1072"/>
  <c r="D133" i="1072" s="1"/>
  <c r="AA133" i="1072"/>
  <c r="D136" i="1072" s="1"/>
  <c r="AA120" i="1072"/>
  <c r="D141" i="1072" s="1"/>
  <c r="AA118" i="1072"/>
  <c r="D139" i="1072" s="1"/>
  <c r="AA117" i="1072"/>
  <c r="D138" i="1072" s="1"/>
  <c r="AA116" i="1072"/>
  <c r="D137" i="1072" s="1"/>
  <c r="AA95" i="1072"/>
  <c r="D91" i="1072" s="1"/>
  <c r="AA105" i="1072"/>
  <c r="AA124" i="1072"/>
  <c r="D126" i="1072" s="1"/>
  <c r="AA125" i="1072"/>
  <c r="D127" i="1072" s="1"/>
  <c r="AA132" i="1072"/>
  <c r="D134" i="1072" s="1"/>
  <c r="AA96" i="1072"/>
  <c r="D92" i="1072" s="1"/>
  <c r="AA106" i="1072"/>
  <c r="AA128" i="1072"/>
  <c r="D130" i="1072" s="1"/>
  <c r="AA126" i="1072"/>
  <c r="D128" i="1072" s="1"/>
  <c r="AC115" i="1072"/>
  <c r="F135" i="1072" s="1"/>
  <c r="AC132" i="1072"/>
  <c r="F134" i="1072" s="1"/>
  <c r="AC130" i="1072"/>
  <c r="F132" i="1072" s="1"/>
  <c r="AC117" i="1072"/>
  <c r="F138" i="1072" s="1"/>
  <c r="AC116" i="1072"/>
  <c r="F137" i="1072" s="1"/>
  <c r="AC125" i="1072"/>
  <c r="F127" i="1072" s="1"/>
  <c r="AC128" i="1072"/>
  <c r="F130" i="1072" s="1"/>
  <c r="AC118" i="1072"/>
  <c r="F139" i="1072" s="1"/>
  <c r="AC127" i="1072"/>
  <c r="F129" i="1072" s="1"/>
  <c r="AC119" i="1072"/>
  <c r="F140" i="1072" s="1"/>
  <c r="AC123" i="1072"/>
  <c r="F125" i="1072" s="1"/>
  <c r="AC131" i="1072"/>
  <c r="F133" i="1072" s="1"/>
  <c r="AC121" i="1072"/>
  <c r="F142" i="1072" s="1"/>
  <c r="AC122" i="1072"/>
  <c r="F143" i="1072" s="1"/>
  <c r="AC129" i="1072"/>
  <c r="F131" i="1072" s="1"/>
  <c r="H28" i="1053"/>
  <c r="K28" i="1053"/>
  <c r="H13" i="1071"/>
  <c r="H94" i="1071"/>
  <c r="H21" i="1048"/>
  <c r="H17" i="1048"/>
  <c r="AA54" i="1072" a="1"/>
  <c r="AA91" i="1072" a="1"/>
  <c r="AA39" i="1072" a="1"/>
  <c r="AA54" i="1072" l="1"/>
  <c r="D107" i="1072" s="1"/>
  <c r="K21" i="1048"/>
  <c r="AA39" i="1072"/>
  <c r="D101" i="1072" s="1"/>
  <c r="K17" i="1048"/>
  <c r="AA91" i="1072"/>
  <c r="G173" i="1024"/>
  <c r="E173" i="1024" s="1"/>
  <c r="H174" i="1024" s="1"/>
  <c r="AC39" i="1072" a="1"/>
  <c r="AC54" i="1072" a="1"/>
  <c r="AA32" i="1072" l="1"/>
  <c r="D86" i="1072" s="1"/>
  <c r="AC54" i="1072"/>
  <c r="F107" i="1072" s="1"/>
  <c r="AC39" i="1072"/>
  <c r="F101" i="1072" s="1"/>
  <c r="E66" i="1023"/>
  <c r="D67" i="296" l="1"/>
  <c r="H90" i="1024"/>
  <c r="J86" i="1024"/>
  <c r="H33" i="1071"/>
  <c r="D32" i="296"/>
  <c r="D33" i="296"/>
  <c r="D34" i="296"/>
  <c r="E34" i="296" s="1"/>
  <c r="D36" i="296"/>
  <c r="D37" i="296"/>
  <c r="D38" i="296"/>
  <c r="G31" i="1071"/>
  <c r="E31" i="1071" s="1"/>
  <c r="H28" i="1071" s="1"/>
  <c r="E162" i="890"/>
  <c r="I164" i="890" s="1"/>
  <c r="E164" i="890" s="1"/>
  <c r="G49" i="890" s="1"/>
  <c r="E131" i="1024"/>
  <c r="H134" i="1024" s="1"/>
  <c r="E122" i="1024"/>
  <c r="G124" i="1024" s="1"/>
  <c r="I125" i="1024" s="1"/>
  <c r="H126" i="1024"/>
  <c r="E158" i="1024"/>
  <c r="H162" i="1024"/>
  <c r="H145" i="890"/>
  <c r="I145" i="890"/>
  <c r="J145" i="890"/>
  <c r="G145" i="890"/>
  <c r="H143" i="890"/>
  <c r="I143" i="890"/>
  <c r="J143" i="890"/>
  <c r="G143" i="890"/>
  <c r="J14" i="296"/>
  <c r="K14" i="296"/>
  <c r="L14" i="296"/>
  <c r="I14" i="296"/>
  <c r="D14" i="296"/>
  <c r="J15" i="296"/>
  <c r="K15" i="296"/>
  <c r="L15" i="296"/>
  <c r="I15" i="296"/>
  <c r="H170" i="890"/>
  <c r="I170" i="890"/>
  <c r="H171" i="890"/>
  <c r="I171" i="890"/>
  <c r="J171" i="890"/>
  <c r="G170" i="890"/>
  <c r="G171" i="890"/>
  <c r="H169" i="890"/>
  <c r="I169" i="890"/>
  <c r="J169" i="890"/>
  <c r="G169" i="890"/>
  <c r="H56" i="890"/>
  <c r="E172" i="1024"/>
  <c r="G174" i="1024" s="1"/>
  <c r="E174" i="1024" s="1"/>
  <c r="H170" i="1024" s="1"/>
  <c r="I11" i="1023"/>
  <c r="I12" i="1023"/>
  <c r="I13" i="1023"/>
  <c r="I10" i="1023"/>
  <c r="K58" i="296"/>
  <c r="L58" i="296"/>
  <c r="E212" i="890"/>
  <c r="G213" i="890" s="1"/>
  <c r="E213" i="890" s="1"/>
  <c r="E214" i="890" s="1"/>
  <c r="E193" i="890"/>
  <c r="G194" i="890" s="1"/>
  <c r="E194" i="890" s="1"/>
  <c r="E195" i="890" s="1"/>
  <c r="H46" i="890"/>
  <c r="D43" i="296"/>
  <c r="D23" i="296"/>
  <c r="D24" i="296"/>
  <c r="H24" i="296" s="1"/>
  <c r="L24" i="296" s="1"/>
  <c r="D25" i="296"/>
  <c r="G25" i="296" s="1"/>
  <c r="K25" i="296" s="1"/>
  <c r="D22" i="296"/>
  <c r="E22" i="296" s="1"/>
  <c r="D52" i="296"/>
  <c r="D53" i="296"/>
  <c r="D54" i="296"/>
  <c r="D51" i="296"/>
  <c r="D49" i="296"/>
  <c r="D48" i="296"/>
  <c r="D47" i="296"/>
  <c r="D46" i="296"/>
  <c r="D44" i="296"/>
  <c r="D42" i="296"/>
  <c r="E42" i="296" s="1"/>
  <c r="D41" i="296"/>
  <c r="K10" i="1023"/>
  <c r="K11" i="1023"/>
  <c r="K12" i="1023"/>
  <c r="K13" i="1023"/>
  <c r="J11" i="1023"/>
  <c r="J12" i="1023"/>
  <c r="J13" i="1023"/>
  <c r="E89" i="1023"/>
  <c r="J2" i="1023"/>
  <c r="J2" i="1024"/>
  <c r="K3" i="1048"/>
  <c r="K2" i="1071"/>
  <c r="J2" i="890"/>
  <c r="F56" i="296"/>
  <c r="J56" i="296" s="1"/>
  <c r="G56" i="296"/>
  <c r="K56" i="296" s="1"/>
  <c r="H56" i="296"/>
  <c r="L56" i="296" s="1"/>
  <c r="E56" i="296"/>
  <c r="I56" i="296" s="1"/>
  <c r="J17" i="296"/>
  <c r="K17" i="296"/>
  <c r="L17" i="296"/>
  <c r="AA161" i="1072" a="1"/>
  <c r="AA113" i="1072" a="1"/>
  <c r="AA71" i="1072" a="1"/>
  <c r="AA71" i="1072" l="1"/>
  <c r="D123" i="1072" s="1"/>
  <c r="AA113" i="1072"/>
  <c r="D109" i="1072" s="1"/>
  <c r="AA161" i="1072"/>
  <c r="D110" i="1072" s="1"/>
  <c r="J83" i="1023"/>
  <c r="G83" i="1023"/>
  <c r="J82" i="1023"/>
  <c r="G82" i="1023"/>
  <c r="J81" i="1023"/>
  <c r="G81" i="1023"/>
  <c r="E81" i="1023" s="1"/>
  <c r="E112" i="1023" s="1"/>
  <c r="G112" i="1023" s="1"/>
  <c r="G80" i="1023"/>
  <c r="E80" i="1023" s="1"/>
  <c r="E111" i="1023" s="1"/>
  <c r="G111" i="1023" s="1"/>
  <c r="J80" i="1023"/>
  <c r="E129" i="1023"/>
  <c r="G129" i="1023" s="1"/>
  <c r="E23" i="296"/>
  <c r="I23" i="296" s="1"/>
  <c r="F23" i="296"/>
  <c r="J23" i="296" s="1"/>
  <c r="H23" i="296"/>
  <c r="L23" i="296" s="1"/>
  <c r="G23" i="296"/>
  <c r="K23" i="296" s="1"/>
  <c r="E114" i="1023"/>
  <c r="G114" i="1023" s="1"/>
  <c r="E120" i="1023"/>
  <c r="G120" i="1023" s="1"/>
  <c r="G24" i="890"/>
  <c r="J58" i="296"/>
  <c r="H32" i="296"/>
  <c r="L32" i="296" s="1"/>
  <c r="G32" i="296"/>
  <c r="K32" i="296" s="1"/>
  <c r="G67" i="296"/>
  <c r="H67" i="296"/>
  <c r="E67" i="296"/>
  <c r="F67" i="296"/>
  <c r="F41" i="296"/>
  <c r="G41" i="296"/>
  <c r="H41" i="296"/>
  <c r="E41" i="296"/>
  <c r="E121" i="1023"/>
  <c r="G121" i="1023" s="1"/>
  <c r="E122" i="1023"/>
  <c r="G122" i="1023" s="1"/>
  <c r="E123" i="1023"/>
  <c r="G123" i="1023" s="1"/>
  <c r="E132" i="1023"/>
  <c r="G132" i="1023" s="1"/>
  <c r="F22" i="296"/>
  <c r="J22" i="296" s="1"/>
  <c r="H22" i="296"/>
  <c r="L22" i="296" s="1"/>
  <c r="G22" i="296"/>
  <c r="K22" i="296" s="1"/>
  <c r="E32" i="296"/>
  <c r="E13" i="296"/>
  <c r="I13" i="296" s="1"/>
  <c r="F13" i="296"/>
  <c r="J13" i="296" s="1"/>
  <c r="G51" i="296"/>
  <c r="F51" i="296"/>
  <c r="E51" i="296"/>
  <c r="H51" i="296"/>
  <c r="H54" i="296"/>
  <c r="G54" i="296"/>
  <c r="E54" i="296"/>
  <c r="F54" i="296"/>
  <c r="H53" i="296"/>
  <c r="G53" i="296"/>
  <c r="E53" i="296"/>
  <c r="F53" i="296"/>
  <c r="H49" i="296"/>
  <c r="F49" i="296"/>
  <c r="G49" i="296"/>
  <c r="E49" i="296"/>
  <c r="F52" i="296"/>
  <c r="E52" i="296"/>
  <c r="H52" i="296"/>
  <c r="G52" i="296"/>
  <c r="E46" i="296"/>
  <c r="I46" i="296" s="1"/>
  <c r="F46" i="296"/>
  <c r="G46" i="296"/>
  <c r="H46" i="296"/>
  <c r="E47" i="296"/>
  <c r="F47" i="296"/>
  <c r="G47" i="296"/>
  <c r="H47" i="296"/>
  <c r="F48" i="296"/>
  <c r="H48" i="296"/>
  <c r="G48" i="296"/>
  <c r="E48" i="296"/>
  <c r="H38" i="296"/>
  <c r="L38" i="296" s="1"/>
  <c r="E38" i="296"/>
  <c r="I38" i="296" s="1"/>
  <c r="G38" i="296"/>
  <c r="K38" i="296" s="1"/>
  <c r="F38" i="296"/>
  <c r="J38" i="296" s="1"/>
  <c r="G43" i="296"/>
  <c r="F43" i="296"/>
  <c r="E43" i="296"/>
  <c r="H43" i="296"/>
  <c r="H37" i="296"/>
  <c r="L37" i="296" s="1"/>
  <c r="E37" i="296"/>
  <c r="I37" i="296" s="1"/>
  <c r="G37" i="296"/>
  <c r="K37" i="296" s="1"/>
  <c r="F37" i="296"/>
  <c r="J37" i="296" s="1"/>
  <c r="G42" i="296"/>
  <c r="F42" i="296"/>
  <c r="H42" i="296"/>
  <c r="E35" i="296"/>
  <c r="I35" i="296" s="1"/>
  <c r="G35" i="296"/>
  <c r="K35" i="296" s="1"/>
  <c r="H35" i="296"/>
  <c r="L35" i="296" s="1"/>
  <c r="F35" i="296"/>
  <c r="J35" i="296" s="1"/>
  <c r="H36" i="296"/>
  <c r="L36" i="296" s="1"/>
  <c r="F36" i="296"/>
  <c r="J36" i="296" s="1"/>
  <c r="G36" i="296"/>
  <c r="K36" i="296" s="1"/>
  <c r="E36" i="296"/>
  <c r="I36" i="296" s="1"/>
  <c r="F44" i="296"/>
  <c r="E44" i="296"/>
  <c r="G44" i="296"/>
  <c r="H44" i="296"/>
  <c r="L44" i="296" s="1"/>
  <c r="I34" i="296"/>
  <c r="G34" i="296"/>
  <c r="K34" i="296" s="1"/>
  <c r="F34" i="296"/>
  <c r="J34" i="296" s="1"/>
  <c r="H34" i="296"/>
  <c r="L34" i="296" s="1"/>
  <c r="F33" i="296"/>
  <c r="J33" i="296" s="1"/>
  <c r="E33" i="296"/>
  <c r="I33" i="296" s="1"/>
  <c r="H33" i="296"/>
  <c r="L33" i="296" s="1"/>
  <c r="G33" i="296"/>
  <c r="K33" i="296" s="1"/>
  <c r="F32" i="296"/>
  <c r="J32" i="296" s="1"/>
  <c r="H142" i="1024"/>
  <c r="H160" i="890"/>
  <c r="E49" i="890"/>
  <c r="G162" i="1024"/>
  <c r="E162" i="1024" s="1"/>
  <c r="I161" i="1024"/>
  <c r="H167" i="1024"/>
  <c r="H163" i="1024"/>
  <c r="G134" i="1024"/>
  <c r="E90" i="1024"/>
  <c r="E86" i="1024"/>
  <c r="H13" i="296"/>
  <c r="L13" i="296" s="1"/>
  <c r="G13" i="296"/>
  <c r="K13" i="296" s="1"/>
  <c r="E130" i="1023"/>
  <c r="G130" i="1023" s="1"/>
  <c r="G64" i="1023"/>
  <c r="J64" i="1023" s="1"/>
  <c r="E131" i="1023"/>
  <c r="G63" i="1023"/>
  <c r="J63" i="1023" s="1"/>
  <c r="J46" i="1023"/>
  <c r="G65" i="1023"/>
  <c r="J43" i="1023"/>
  <c r="G62" i="1023"/>
  <c r="J62" i="1023" s="1"/>
  <c r="G44" i="1023"/>
  <c r="E44" i="1023" s="1"/>
  <c r="E83" i="1023"/>
  <c r="E82" i="1023"/>
  <c r="E113" i="1023" s="1"/>
  <c r="G113" i="1023" s="1"/>
  <c r="J44" i="1023"/>
  <c r="J45" i="1023"/>
  <c r="G52" i="1023"/>
  <c r="E52" i="1023" s="1"/>
  <c r="G54" i="1023"/>
  <c r="E54" i="1023" s="1"/>
  <c r="G53" i="1023"/>
  <c r="E53" i="1023" s="1"/>
  <c r="J51" i="1023"/>
  <c r="G51" i="1023"/>
  <c r="E51" i="1023" s="1"/>
  <c r="E70" i="1023" s="1"/>
  <c r="H172" i="890"/>
  <c r="H173" i="890" s="1"/>
  <c r="J146" i="890"/>
  <c r="J52" i="1023"/>
  <c r="J53" i="1023"/>
  <c r="J54" i="1023"/>
  <c r="G43" i="1023"/>
  <c r="E43" i="1023" s="1"/>
  <c r="G146" i="890"/>
  <c r="H146" i="890"/>
  <c r="I146" i="890"/>
  <c r="J172" i="890"/>
  <c r="J173" i="890" s="1"/>
  <c r="G172" i="890"/>
  <c r="G173" i="890" s="1"/>
  <c r="I172" i="890"/>
  <c r="I173" i="890" s="1"/>
  <c r="G132" i="1024"/>
  <c r="E132" i="1024" s="1"/>
  <c r="I134" i="1024" s="1"/>
  <c r="G126" i="1024"/>
  <c r="E126" i="1024" s="1"/>
  <c r="H127" i="1024" s="1"/>
  <c r="H125" i="1024"/>
  <c r="G167" i="1024"/>
  <c r="G160" i="1024"/>
  <c r="J174" i="890"/>
  <c r="G174" i="890"/>
  <c r="I174" i="890"/>
  <c r="H174" i="890"/>
  <c r="G46" i="1023"/>
  <c r="E46" i="1023" s="1"/>
  <c r="G45" i="1023"/>
  <c r="E45" i="1023" s="1"/>
  <c r="G215" i="890"/>
  <c r="F25" i="296"/>
  <c r="J25" i="296" s="1"/>
  <c r="E25" i="296"/>
  <c r="G24" i="296"/>
  <c r="K24" i="296" s="1"/>
  <c r="F24" i="296"/>
  <c r="J24" i="296" s="1"/>
  <c r="E24" i="296"/>
  <c r="I24" i="296" s="1"/>
  <c r="H25" i="296"/>
  <c r="L25" i="296" s="1"/>
  <c r="AA24" i="1072" a="1"/>
  <c r="AA146" i="1072" a="1"/>
  <c r="AA53" i="1072" a="1"/>
  <c r="AA24" i="1072" l="1"/>
  <c r="D44" i="1072" s="1"/>
  <c r="AA53" i="1072"/>
  <c r="AA146" i="1072"/>
  <c r="D68" i="1072" s="1"/>
  <c r="E228" i="890"/>
  <c r="H226" i="890" s="1"/>
  <c r="G14" i="890"/>
  <c r="E35" i="1024"/>
  <c r="E37" i="1024" s="1"/>
  <c r="H33" i="1024" s="1"/>
  <c r="E185" i="890"/>
  <c r="E152" i="1024"/>
  <c r="H150" i="1024" s="1"/>
  <c r="E215" i="890"/>
  <c r="D218" i="890" s="1"/>
  <c r="G26" i="890" s="1"/>
  <c r="G47" i="890" s="1"/>
  <c r="G40" i="890"/>
  <c r="E40" i="890" s="1"/>
  <c r="E124" i="1023"/>
  <c r="H117" i="1023" s="1"/>
  <c r="E115" i="1023"/>
  <c r="G131" i="1023"/>
  <c r="E167" i="1024"/>
  <c r="G168" i="1024" s="1"/>
  <c r="E168" i="1024" s="1"/>
  <c r="H165" i="1024" s="1"/>
  <c r="E134" i="1024"/>
  <c r="G135" i="1024" s="1"/>
  <c r="E135" i="1024" s="1"/>
  <c r="E133" i="1023"/>
  <c r="E71" i="1023"/>
  <c r="G71" i="1023"/>
  <c r="G70" i="1023"/>
  <c r="E55" i="1023"/>
  <c r="E88" i="1023" s="1"/>
  <c r="E90" i="1023" s="1"/>
  <c r="E48" i="1023"/>
  <c r="E72" i="1023"/>
  <c r="G72" i="1023"/>
  <c r="E73" i="1023"/>
  <c r="G73" i="1023"/>
  <c r="K33" i="1071"/>
  <c r="E148" i="890"/>
  <c r="E124" i="1024"/>
  <c r="G127" i="1024" s="1"/>
  <c r="E127" i="1024" s="1"/>
  <c r="H161" i="1024"/>
  <c r="E160" i="1024" s="1"/>
  <c r="G175" i="890"/>
  <c r="H175" i="890"/>
  <c r="J175" i="890"/>
  <c r="I175" i="890"/>
  <c r="I25" i="296"/>
  <c r="E233" i="890" s="1"/>
  <c r="E64" i="1023"/>
  <c r="E138" i="1023" s="1"/>
  <c r="G138" i="1023" s="1"/>
  <c r="E63" i="1023"/>
  <c r="E137" i="1023" s="1"/>
  <c r="G137" i="1023" s="1"/>
  <c r="E65" i="1023"/>
  <c r="E139" i="1023" s="1"/>
  <c r="G139" i="1023" s="1"/>
  <c r="J65" i="1023"/>
  <c r="E62" i="1023"/>
  <c r="D63" i="296"/>
  <c r="D64" i="296"/>
  <c r="D62" i="296"/>
  <c r="AA29" i="1072" a="1"/>
  <c r="AA70" i="1072" a="1"/>
  <c r="AA137" i="1072" a="1"/>
  <c r="AA63" i="1072" a="1"/>
  <c r="AA78" i="1072" a="1"/>
  <c r="AC161" i="1072" a="1"/>
  <c r="H119" i="1024" l="1"/>
  <c r="AA70" i="1072"/>
  <c r="D122" i="1072" s="1"/>
  <c r="AA137" i="1072"/>
  <c r="D83" i="1072" s="1"/>
  <c r="AA29" i="1072"/>
  <c r="D77" i="1072" s="1"/>
  <c r="AA78" i="1072"/>
  <c r="D25" i="1072" s="1"/>
  <c r="AA63" i="1072"/>
  <c r="D53" i="1072" s="1"/>
  <c r="K226" i="890"/>
  <c r="AC161" i="1072"/>
  <c r="F110" i="1072" s="1"/>
  <c r="E104" i="890"/>
  <c r="E114" i="890"/>
  <c r="E133" i="890"/>
  <c r="G35" i="890"/>
  <c r="E64" i="296"/>
  <c r="G64" i="296"/>
  <c r="H64" i="296"/>
  <c r="F64" i="296"/>
  <c r="G63" i="296"/>
  <c r="E63" i="296"/>
  <c r="F63" i="296"/>
  <c r="H63" i="296"/>
  <c r="F62" i="296"/>
  <c r="H62" i="296"/>
  <c r="G62" i="296"/>
  <c r="E62" i="296"/>
  <c r="H108" i="1023"/>
  <c r="E101" i="1023"/>
  <c r="H86" i="1023"/>
  <c r="G163" i="1024"/>
  <c r="E163" i="1024" s="1"/>
  <c r="H154" i="1024" s="1"/>
  <c r="E106" i="1023"/>
  <c r="E136" i="1023"/>
  <c r="E140" i="1023" s="1"/>
  <c r="E67" i="1023"/>
  <c r="E74" i="1023"/>
  <c r="E57" i="1023"/>
  <c r="E99" i="1023" s="1"/>
  <c r="G177" i="890"/>
  <c r="E177" i="890" s="1"/>
  <c r="E178" i="890" s="1"/>
  <c r="H166" i="890" s="1"/>
  <c r="I22" i="296"/>
  <c r="AA165" i="1072" a="1"/>
  <c r="AA67" i="1072" a="1"/>
  <c r="AA75" i="1072" a="1"/>
  <c r="AA69" i="1072" a="1"/>
  <c r="AA77" i="1072" a="1"/>
  <c r="AC29" i="1072" a="1"/>
  <c r="AA67" i="1072" l="1"/>
  <c r="D66" i="1072" s="1"/>
  <c r="AA69" i="1072"/>
  <c r="D119" i="1072" s="1"/>
  <c r="AC29" i="1072"/>
  <c r="F77" i="1072" s="1"/>
  <c r="AA75" i="1072"/>
  <c r="D19" i="1072" s="1"/>
  <c r="AA165" i="1072"/>
  <c r="D71" i="1072" s="1"/>
  <c r="AA77" i="1072"/>
  <c r="D24" i="1072" s="1"/>
  <c r="G20" i="296"/>
  <c r="K20" i="296" s="1"/>
  <c r="G16" i="890"/>
  <c r="E16" i="890" s="1"/>
  <c r="G37" i="890"/>
  <c r="E37" i="890" s="1"/>
  <c r="E24" i="1024"/>
  <c r="H25" i="1024" s="1"/>
  <c r="E25" i="1024" s="1"/>
  <c r="G31" i="1024" s="1"/>
  <c r="E188" i="890"/>
  <c r="E142" i="1023"/>
  <c r="H20" i="296"/>
  <c r="L20" i="296" s="1"/>
  <c r="E20" i="296"/>
  <c r="F20" i="296"/>
  <c r="J20" i="296" s="1"/>
  <c r="G136" i="1023"/>
  <c r="E76" i="1023"/>
  <c r="H80" i="1024"/>
  <c r="H81" i="1024" s="1"/>
  <c r="H75" i="1024"/>
  <c r="H76" i="1024" s="1"/>
  <c r="H73" i="1024" s="1"/>
  <c r="H24" i="1071"/>
  <c r="E24" i="1071" s="1"/>
  <c r="E23" i="1071"/>
  <c r="AA61" i="1072" a="1"/>
  <c r="AA61" i="1072" l="1"/>
  <c r="D51" i="1072" s="1"/>
  <c r="E26" i="1071"/>
  <c r="E100" i="1023"/>
  <c r="G40" i="1071" l="1"/>
  <c r="E102" i="1023"/>
  <c r="H97" i="1023" s="1"/>
  <c r="H22" i="1071"/>
  <c r="H10" i="1071"/>
  <c r="E10" i="1071" s="1"/>
  <c r="H8" i="1071" s="1"/>
  <c r="I32" i="296"/>
  <c r="I17" i="296"/>
  <c r="AA34" i="1072" a="1"/>
  <c r="AA151" i="1072" a="1"/>
  <c r="AA44" i="1072" a="1"/>
  <c r="E40" i="1071" l="1"/>
  <c r="H38" i="1071" s="1"/>
  <c r="AA34" i="1072"/>
  <c r="AA44" i="1072"/>
  <c r="D108" i="1072" s="1"/>
  <c r="AA151" i="1072"/>
  <c r="D21" i="1072" s="1"/>
  <c r="G48" i="890"/>
  <c r="G29" i="890"/>
  <c r="E134" i="890" s="1"/>
  <c r="E135" i="890" s="1"/>
  <c r="D138" i="890" s="1"/>
  <c r="G19" i="890"/>
  <c r="E19" i="890" s="1"/>
  <c r="E234" i="890"/>
  <c r="I20" i="296"/>
  <c r="AA46" i="1072" a="1"/>
  <c r="AA31" i="1072" l="1"/>
  <c r="D85" i="1072" s="1"/>
  <c r="AA46" i="1072"/>
  <c r="D111" i="1072" s="1"/>
  <c r="E48" i="890"/>
  <c r="E84" i="890"/>
  <c r="E65" i="890"/>
  <c r="E125" i="890"/>
  <c r="E116" i="890"/>
  <c r="E75" i="890"/>
  <c r="E106" i="890"/>
  <c r="E29" i="890"/>
  <c r="G15" i="890"/>
  <c r="E115" i="890" s="1"/>
  <c r="G68" i="1071"/>
  <c r="H68" i="1071"/>
  <c r="E117" i="890" l="1"/>
  <c r="G36" i="890"/>
  <c r="E105" i="890"/>
  <c r="E107" i="890" s="1"/>
  <c r="E68" i="1071"/>
  <c r="E72" i="1071" s="1"/>
  <c r="I58" i="296" l="1"/>
  <c r="E232" i="890" l="1"/>
  <c r="E235" i="890" s="1"/>
  <c r="G237" i="890" s="1"/>
  <c r="E241" i="890" l="1"/>
  <c r="H89" i="1071"/>
  <c r="H86" i="1071" s="1"/>
  <c r="H58" i="1071"/>
  <c r="AA49" i="1072" a="1"/>
  <c r="AA112" i="1072" a="1"/>
  <c r="AA49" i="1072" l="1"/>
  <c r="D114" i="1072" s="1"/>
  <c r="AA112" i="1072"/>
  <c r="D118" i="1072" s="1"/>
  <c r="H66" i="1071"/>
  <c r="AA50" i="1072" a="1"/>
  <c r="AA50" i="1072" l="1"/>
  <c r="D115" i="1072" s="1"/>
  <c r="G196" i="890"/>
  <c r="E196" i="890" s="1"/>
  <c r="H191" i="890" s="1"/>
  <c r="AA158" i="1072" a="1"/>
  <c r="AA158" i="1072" l="1"/>
  <c r="D73" i="1072" s="1"/>
  <c r="G25" i="890"/>
  <c r="E25" i="890" l="1"/>
  <c r="G46" i="890"/>
  <c r="H13" i="1041"/>
  <c r="E6" i="1053" s="1"/>
  <c r="I13" i="1041"/>
  <c r="F6" i="1053" s="1"/>
  <c r="J13" i="1041"/>
  <c r="G6" i="1053" s="1"/>
  <c r="G13" i="1041"/>
  <c r="D6" i="1053" s="1"/>
  <c r="E200" i="890"/>
  <c r="G45" i="890"/>
  <c r="I51" i="296" l="1"/>
  <c r="I54" i="296"/>
  <c r="I52" i="296"/>
  <c r="I53" i="296"/>
  <c r="L54" i="296"/>
  <c r="L51" i="296"/>
  <c r="L52" i="296"/>
  <c r="L53" i="296"/>
  <c r="J52" i="296"/>
  <c r="J51" i="296"/>
  <c r="J54" i="296"/>
  <c r="J53" i="296"/>
  <c r="K53" i="296"/>
  <c r="K54" i="296"/>
  <c r="K52" i="296"/>
  <c r="K51" i="296"/>
  <c r="E206" i="890" l="1"/>
  <c r="E184" i="890"/>
  <c r="E15" i="1046" l="1"/>
  <c r="D7" i="1046"/>
  <c r="H104" i="1023"/>
  <c r="H126" i="1023"/>
  <c r="I79" i="1023"/>
  <c r="I60" i="1023"/>
  <c r="I41" i="1023"/>
  <c r="H78" i="1024"/>
  <c r="H68" i="1024"/>
  <c r="G71" i="1024" s="1"/>
  <c r="I71" i="1024" s="1"/>
  <c r="H64" i="1024" s="1"/>
  <c r="H88" i="1024"/>
  <c r="H83" i="1024"/>
  <c r="H46" i="1024"/>
  <c r="H31" i="1024"/>
  <c r="J26" i="1024"/>
  <c r="H239" i="890"/>
  <c r="H237" i="890"/>
  <c r="H218" i="890"/>
  <c r="H198" i="890"/>
  <c r="E154" i="890"/>
  <c r="G155" i="890" s="1"/>
  <c r="E155" i="890" s="1"/>
  <c r="D158" i="890" s="1"/>
  <c r="H158" i="890" s="1"/>
  <c r="H152" i="890" s="1"/>
  <c r="H150" i="890"/>
  <c r="H76" i="890"/>
  <c r="H45" i="890"/>
  <c r="H42" i="890"/>
  <c r="H41" i="890"/>
  <c r="H47" i="890"/>
  <c r="E47" i="890" s="1"/>
  <c r="H44" i="890"/>
  <c r="H36" i="890"/>
  <c r="H35" i="890"/>
  <c r="E24" i="890"/>
  <c r="E26" i="890"/>
  <c r="H15" i="890"/>
  <c r="H14" i="890"/>
  <c r="G8" i="1042"/>
  <c r="J41" i="1034"/>
  <c r="I41" i="1034"/>
  <c r="H41" i="1034"/>
  <c r="G41" i="1034"/>
  <c r="H8" i="1042"/>
  <c r="I8" i="1042"/>
  <c r="J8" i="1042"/>
  <c r="AA23" i="1072" a="1"/>
  <c r="AA33" i="1072" a="1"/>
  <c r="AA65" i="1072" a="1"/>
  <c r="AA26" i="1072" a="1"/>
  <c r="AA84" i="1072" a="1"/>
  <c r="AA64" i="1072" a="1"/>
  <c r="AA88" i="1072" a="1"/>
  <c r="AA62" i="1072" a="1"/>
  <c r="J121" i="1048" l="1"/>
  <c r="J119" i="1048"/>
  <c r="J92" i="1048"/>
  <c r="J90" i="1048"/>
  <c r="J63" i="1048"/>
  <c r="J61" i="1048"/>
  <c r="J32" i="1048"/>
  <c r="J34" i="1048"/>
  <c r="AA65" i="1072"/>
  <c r="D56" i="1072" s="1"/>
  <c r="AA64" i="1072"/>
  <c r="D55" i="1072" s="1"/>
  <c r="AA23" i="1072"/>
  <c r="D43" i="1072" s="1"/>
  <c r="AA26" i="1072"/>
  <c r="D74" i="1072" s="1"/>
  <c r="AA84" i="1072"/>
  <c r="D42" i="1072" s="1"/>
  <c r="AA88" i="1072"/>
  <c r="D26" i="1072" s="1"/>
  <c r="AA62" i="1072"/>
  <c r="D52" i="1072" s="1"/>
  <c r="E29" i="1023"/>
  <c r="E38" i="1023" s="1"/>
  <c r="H26" i="1023" s="1"/>
  <c r="AA33" i="1072"/>
  <c r="D82" i="1072" s="1"/>
  <c r="E24" i="1023"/>
  <c r="H15" i="1023" s="1"/>
  <c r="H13" i="1075" a="1"/>
  <c r="H13" i="1075" s="1"/>
  <c r="J39" i="1024"/>
  <c r="F153" i="1072"/>
  <c r="H18" i="1075" a="1"/>
  <c r="H18" i="1075" s="1"/>
  <c r="H17" i="1075" a="1"/>
  <c r="H17" i="1075" s="1"/>
  <c r="H14" i="1075" a="1"/>
  <c r="H14" i="1075" s="1"/>
  <c r="J14" i="1075" s="1"/>
  <c r="H15" i="1075" a="1"/>
  <c r="H15" i="1075" s="1"/>
  <c r="H16" i="1075" a="1"/>
  <c r="H16" i="1075" s="1"/>
  <c r="J31" i="1024"/>
  <c r="H51" i="1024"/>
  <c r="F32" i="1030"/>
  <c r="G45" i="1024"/>
  <c r="E45" i="1024" s="1"/>
  <c r="G51" i="1024" s="1"/>
  <c r="E237" i="890"/>
  <c r="H230" i="890" s="1"/>
  <c r="L48" i="296"/>
  <c r="L42" i="296"/>
  <c r="L47" i="296"/>
  <c r="L41" i="296"/>
  <c r="L43" i="296"/>
  <c r="L49" i="296"/>
  <c r="L46" i="296"/>
  <c r="K46" i="296"/>
  <c r="K48" i="296"/>
  <c r="K49" i="296"/>
  <c r="K47" i="296"/>
  <c r="J47" i="296"/>
  <c r="J46" i="296"/>
  <c r="J49" i="296"/>
  <c r="J48" i="296"/>
  <c r="I49" i="296"/>
  <c r="I47" i="296"/>
  <c r="I48" i="296"/>
  <c r="I42" i="296"/>
  <c r="I43" i="296"/>
  <c r="I44" i="296"/>
  <c r="I41" i="296"/>
  <c r="J43" i="296"/>
  <c r="J41" i="296"/>
  <c r="J42" i="296"/>
  <c r="J44" i="296"/>
  <c r="K41" i="296"/>
  <c r="K43" i="296"/>
  <c r="K44" i="296"/>
  <c r="K42" i="296"/>
  <c r="E14" i="890"/>
  <c r="E124" i="890"/>
  <c r="E126" i="890" s="1"/>
  <c r="D129" i="890" s="1"/>
  <c r="E35" i="890"/>
  <c r="E74" i="890"/>
  <c r="E150" i="890"/>
  <c r="H140" i="890" s="1"/>
  <c r="E15" i="890"/>
  <c r="H80" i="890"/>
  <c r="H78" i="890" s="1"/>
  <c r="E36" i="890"/>
  <c r="E45" i="890"/>
  <c r="H40" i="1023"/>
  <c r="H59" i="1023"/>
  <c r="AA52" i="1072" a="1"/>
  <c r="AA22" i="1072" a="1"/>
  <c r="G33" i="1053" a="1"/>
  <c r="AA72" i="1072" a="1"/>
  <c r="AA30" i="1072" a="1"/>
  <c r="AA15" i="1072" a="1"/>
  <c r="AA82" i="1072" a="1"/>
  <c r="AA73" i="1072" a="1"/>
  <c r="J120" i="1048" l="1"/>
  <c r="K120" i="1048" s="1"/>
  <c r="K119" i="1048"/>
  <c r="K121" i="1048"/>
  <c r="J124" i="1048"/>
  <c r="K124" i="1048" s="1"/>
  <c r="J91" i="1048"/>
  <c r="K91" i="1048" s="1"/>
  <c r="K90" i="1048"/>
  <c r="J95" i="1048"/>
  <c r="K95" i="1048" s="1"/>
  <c r="K92" i="1048"/>
  <c r="J62" i="1048"/>
  <c r="K62" i="1048" s="1"/>
  <c r="K61" i="1048"/>
  <c r="J66" i="1048"/>
  <c r="K66" i="1048" s="1"/>
  <c r="K63" i="1048"/>
  <c r="J37" i="1048"/>
  <c r="K37" i="1048" s="1"/>
  <c r="K34" i="1048"/>
  <c r="J33" i="1048"/>
  <c r="K33" i="1048" s="1"/>
  <c r="K32" i="1048"/>
  <c r="AA52" i="1072"/>
  <c r="D10" i="1072" s="1"/>
  <c r="AA82" i="1072"/>
  <c r="D12" i="1072" s="1"/>
  <c r="AA73" i="1072"/>
  <c r="D17" i="1072" s="1"/>
  <c r="AA22" i="1072"/>
  <c r="D41" i="1072" s="1"/>
  <c r="AA72" i="1072"/>
  <c r="D16" i="1072" s="1"/>
  <c r="AA15" i="1072"/>
  <c r="D32" i="1072" s="1"/>
  <c r="E181" i="1023"/>
  <c r="H179" i="1023" s="1"/>
  <c r="AA30" i="1072"/>
  <c r="D81" i="1072" s="1"/>
  <c r="E182" i="890"/>
  <c r="G33" i="1053"/>
  <c r="H33" i="1053" s="1"/>
  <c r="E67" i="890"/>
  <c r="E86" i="890"/>
  <c r="G76" i="890"/>
  <c r="E76" i="890" s="1"/>
  <c r="H72" i="890" s="1"/>
  <c r="E147" i="1072"/>
  <c r="F147" i="1072" s="1"/>
  <c r="E150" i="1072"/>
  <c r="F150" i="1072" s="1"/>
  <c r="J13" i="1075"/>
  <c r="E148" i="1072"/>
  <c r="F148" i="1072" s="1"/>
  <c r="E152" i="1072"/>
  <c r="F152" i="1072" s="1"/>
  <c r="J16" i="1075"/>
  <c r="J17" i="1075"/>
  <c r="J15" i="1075"/>
  <c r="J18" i="1075"/>
  <c r="K40" i="1018"/>
  <c r="K17" i="1018"/>
  <c r="K57" i="1018"/>
  <c r="G22" i="890"/>
  <c r="G42" i="890"/>
  <c r="G43" i="890"/>
  <c r="E43" i="890" s="1"/>
  <c r="G41" i="890"/>
  <c r="G44" i="890"/>
  <c r="G23" i="890"/>
  <c r="E23" i="890" s="1"/>
  <c r="G21" i="890"/>
  <c r="G20" i="890"/>
  <c r="E66" i="890"/>
  <c r="E183" i="890"/>
  <c r="E204" i="890"/>
  <c r="E85" i="890"/>
  <c r="E205" i="890"/>
  <c r="E149" i="1072"/>
  <c r="F149" i="1072" s="1"/>
  <c r="E151" i="1072"/>
  <c r="F151" i="1072" s="1"/>
  <c r="G56" i="890"/>
  <c r="E51" i="1024"/>
  <c r="H49" i="1024" s="1"/>
  <c r="H129" i="890"/>
  <c r="H122" i="890" s="1"/>
  <c r="F138" i="890"/>
  <c r="H131" i="890" s="1"/>
  <c r="E69" i="890"/>
  <c r="E88" i="890"/>
  <c r="E87" i="890"/>
  <c r="E68" i="890"/>
  <c r="G46" i="1024"/>
  <c r="E46" i="1024" s="1"/>
  <c r="H43" i="1024" s="1"/>
  <c r="G26" i="1024"/>
  <c r="E26" i="1024" s="1"/>
  <c r="H21" i="1024" s="1"/>
  <c r="E31" i="1024"/>
  <c r="H29" i="1024" s="1"/>
  <c r="E84" i="1023"/>
  <c r="G150" i="890"/>
  <c r="E185" i="1023"/>
  <c r="AB25" i="1072" a="1"/>
  <c r="AA57" i="1072" a="1"/>
  <c r="AB21" i="1072" a="1"/>
  <c r="AB106" i="1072" a="1"/>
  <c r="AB10" i="1072" a="1"/>
  <c r="AB158" i="1072" a="1"/>
  <c r="AC94" i="1072" a="1"/>
  <c r="AA157" i="1072" a="1"/>
  <c r="AB143" i="1072" a="1"/>
  <c r="AB140" i="1072" a="1"/>
  <c r="AB11" i="1072" a="1"/>
  <c r="AB61" i="1072" a="1"/>
  <c r="AB46" i="1072" a="1"/>
  <c r="AB13" i="1072" a="1"/>
  <c r="AB60" i="1072" a="1"/>
  <c r="AB22" i="1072" a="1"/>
  <c r="AB105" i="1072" a="1"/>
  <c r="AB98" i="1072" a="1"/>
  <c r="AB148" i="1072" a="1"/>
  <c r="AB100" i="1072" a="1"/>
  <c r="AB113" i="1072" a="1"/>
  <c r="AB74" i="1072" a="1"/>
  <c r="AB155" i="1072" a="1"/>
  <c r="AB48" i="1072" a="1"/>
  <c r="AA58" i="1072" a="1"/>
  <c r="AB15" i="1072" a="1"/>
  <c r="AB102" i="1072" a="1"/>
  <c r="AB62" i="1072" a="1"/>
  <c r="AB142" i="1072" a="1"/>
  <c r="AB59" i="1072" a="1"/>
  <c r="AB78" i="1072" a="1"/>
  <c r="AB65" i="1072" a="1"/>
  <c r="AB58" i="1072" a="1"/>
  <c r="AB75" i="1072" a="1"/>
  <c r="AB57" i="1072" a="1"/>
  <c r="AB19" i="1072" a="1"/>
  <c r="AB28" i="1072" a="1"/>
  <c r="AB84" i="1072" a="1"/>
  <c r="AB152" i="1072" a="1"/>
  <c r="AB18" i="1072" a="1"/>
  <c r="AB150" i="1072" a="1"/>
  <c r="AB23" i="1072" a="1"/>
  <c r="AB90" i="1072" a="1"/>
  <c r="AB95" i="1072" a="1"/>
  <c r="AB165" i="1072" a="1"/>
  <c r="AB146" i="1072" a="1"/>
  <c r="AB112" i="1072" a="1"/>
  <c r="AB44" i="1072" a="1"/>
  <c r="AB70" i="1072" a="1"/>
  <c r="AB52" i="1072" a="1"/>
  <c r="AB30" i="1072" a="1"/>
  <c r="AB156" i="1072" a="1"/>
  <c r="AB50" i="1072" a="1"/>
  <c r="AB138" i="1072" a="1"/>
  <c r="AB79" i="1072" a="1"/>
  <c r="AB101" i="1072" a="1"/>
  <c r="AB12" i="1072" a="1"/>
  <c r="AB83" i="1072" a="1"/>
  <c r="AB17" i="1072" a="1"/>
  <c r="AB76" i="1072" a="1"/>
  <c r="AB69" i="1072" a="1"/>
  <c r="AB99" i="1072" a="1"/>
  <c r="AB137" i="1072" a="1"/>
  <c r="AB96" i="1072" a="1"/>
  <c r="AB34" i="1072" a="1"/>
  <c r="AB66" i="1072" a="1"/>
  <c r="AB91" i="1072" a="1"/>
  <c r="AC104" i="1072" a="1"/>
  <c r="AB151" i="1072" a="1"/>
  <c r="AB139" i="1072" a="1"/>
  <c r="AA21" i="1072" a="1"/>
  <c r="AB81" i="1072" a="1"/>
  <c r="AB108" i="1072" a="1"/>
  <c r="AB63" i="1072" a="1"/>
  <c r="AA60" i="1072" a="1"/>
  <c r="AB77" i="1072" a="1"/>
  <c r="AB85" i="1072" a="1"/>
  <c r="AB33" i="1072" a="1"/>
  <c r="AB89" i="1072" a="1"/>
  <c r="AB145" i="1072" a="1"/>
  <c r="AB72" i="1072" a="1"/>
  <c r="AB82" i="1072" a="1"/>
  <c r="AB73" i="1072" a="1"/>
  <c r="AA13" i="1072" a="1"/>
  <c r="AB26" i="1072" a="1"/>
  <c r="AB92" i="1072" a="1"/>
  <c r="AB93" i="1072" a="1"/>
  <c r="AB111" i="1072" a="1"/>
  <c r="AB147" i="1072" a="1"/>
  <c r="AB64" i="1072" a="1"/>
  <c r="AB16" i="1072" a="1"/>
  <c r="AB80" i="1072" a="1"/>
  <c r="AB49" i="1072" a="1"/>
  <c r="AB27" i="1072" a="1"/>
  <c r="AA19" i="1072" a="1"/>
  <c r="AB67" i="1072" a="1"/>
  <c r="AB144" i="1072" a="1"/>
  <c r="AB88" i="1072" a="1"/>
  <c r="AA59" i="1072" a="1"/>
  <c r="AB103" i="1072" a="1"/>
  <c r="AB141" i="1072" a="1"/>
  <c r="AB51" i="1072" a="1"/>
  <c r="AB157" i="1072" a="1"/>
  <c r="I18" i="1046" l="1"/>
  <c r="AA59" i="1072"/>
  <c r="D47" i="1072" s="1"/>
  <c r="AA60" i="1072"/>
  <c r="D48" i="1072" s="1"/>
  <c r="AA157" i="1072"/>
  <c r="D50" i="1072" s="1"/>
  <c r="AA19" i="1072"/>
  <c r="D38" i="1072" s="1"/>
  <c r="AA57" i="1072"/>
  <c r="D45" i="1072" s="1"/>
  <c r="AA21" i="1072"/>
  <c r="D40" i="1072" s="1"/>
  <c r="AA58" i="1072"/>
  <c r="D46" i="1072" s="1"/>
  <c r="AA13" i="1072"/>
  <c r="D31" i="1072" s="1"/>
  <c r="AB142" i="1072"/>
  <c r="J59" i="1072" s="1"/>
  <c r="AB139" i="1072"/>
  <c r="J65" i="1072" s="1"/>
  <c r="AB72" i="1072"/>
  <c r="J16" i="1072" s="1"/>
  <c r="AB84" i="1072"/>
  <c r="J42" i="1072" s="1"/>
  <c r="AB141" i="1072"/>
  <c r="J63" i="1072" s="1"/>
  <c r="AB61" i="1072"/>
  <c r="J51" i="1072" s="1"/>
  <c r="AB156" i="1072"/>
  <c r="J121" i="1072" s="1"/>
  <c r="AB60" i="1072"/>
  <c r="J48" i="1072" s="1"/>
  <c r="AB34" i="1072"/>
  <c r="AB147" i="1072"/>
  <c r="J27" i="1072" s="1"/>
  <c r="AB81" i="1072"/>
  <c r="J80" i="1072" s="1"/>
  <c r="AB50" i="1072"/>
  <c r="J115" i="1072" s="1"/>
  <c r="AB95" i="1072"/>
  <c r="K91" i="1072" s="1"/>
  <c r="AB105" i="1072"/>
  <c r="AB96" i="1072"/>
  <c r="J92" i="1072" s="1"/>
  <c r="AB106" i="1072"/>
  <c r="AB13" i="1072"/>
  <c r="J31" i="1072" s="1"/>
  <c r="AB165" i="1072"/>
  <c r="J71" i="1072" s="1"/>
  <c r="AB63" i="1072"/>
  <c r="J53" i="1072" s="1"/>
  <c r="AB66" i="1072"/>
  <c r="J60" i="1072" s="1"/>
  <c r="AB145" i="1072"/>
  <c r="J57" i="1072" s="1"/>
  <c r="AB76" i="1072"/>
  <c r="J20" i="1072" s="1"/>
  <c r="AB140" i="1072"/>
  <c r="J62" i="1072" s="1"/>
  <c r="AB12" i="1072"/>
  <c r="J15" i="1072" s="1"/>
  <c r="AB158" i="1072"/>
  <c r="J73" i="1072" s="1"/>
  <c r="AB30" i="1072"/>
  <c r="J81" i="1072" s="1"/>
  <c r="AB58" i="1072"/>
  <c r="J46" i="1072" s="1"/>
  <c r="AB70" i="1072"/>
  <c r="J122" i="1072" s="1"/>
  <c r="AB67" i="1072"/>
  <c r="J66" i="1072" s="1"/>
  <c r="AB155" i="1072"/>
  <c r="J120" i="1072" s="1"/>
  <c r="AB92" i="1072"/>
  <c r="J88" i="1072" s="1"/>
  <c r="AB102" i="1072"/>
  <c r="AB157" i="1072"/>
  <c r="J50" i="1072" s="1"/>
  <c r="AB69" i="1072"/>
  <c r="J119" i="1072" s="1"/>
  <c r="AB73" i="1072"/>
  <c r="J17" i="1072" s="1"/>
  <c r="AB101" i="1072"/>
  <c r="AB48" i="1072"/>
  <c r="J113" i="1072" s="1"/>
  <c r="AB80" i="1072"/>
  <c r="J79" i="1072" s="1"/>
  <c r="AB21" i="1072"/>
  <c r="J40" i="1072" s="1"/>
  <c r="AB138" i="1072"/>
  <c r="J64" i="1072" s="1"/>
  <c r="AB79" i="1072"/>
  <c r="J78" i="1072" s="1"/>
  <c r="AB90" i="1072"/>
  <c r="AB100" i="1072"/>
  <c r="AB89" i="1072"/>
  <c r="J70" i="1072" s="1"/>
  <c r="AB44" i="1072"/>
  <c r="J108" i="1072" s="1"/>
  <c r="AB27" i="1072"/>
  <c r="J75" i="1072" s="1"/>
  <c r="AB28" i="1072"/>
  <c r="AB152" i="1072"/>
  <c r="J23" i="1072" s="1"/>
  <c r="AB49" i="1072"/>
  <c r="J114" i="1072" s="1"/>
  <c r="AB74" i="1072"/>
  <c r="J18" i="1072" s="1"/>
  <c r="AB46" i="1072"/>
  <c r="J111" i="1072" s="1"/>
  <c r="AB91" i="1072"/>
  <c r="AB85" i="1072"/>
  <c r="J22" i="1072" s="1"/>
  <c r="AB148" i="1072"/>
  <c r="J28" i="1072" s="1"/>
  <c r="AB64" i="1072"/>
  <c r="J55" i="1072" s="1"/>
  <c r="AB83" i="1072"/>
  <c r="J49" i="1072" s="1"/>
  <c r="AB137" i="1072"/>
  <c r="J83" i="1072" s="1"/>
  <c r="AB111" i="1072"/>
  <c r="J117" i="1072" s="1"/>
  <c r="AB57" i="1072"/>
  <c r="J45" i="1072" s="1"/>
  <c r="AB82" i="1072"/>
  <c r="J12" i="1072" s="1"/>
  <c r="AB75" i="1072"/>
  <c r="J19" i="1072" s="1"/>
  <c r="AB11" i="1072"/>
  <c r="J11" i="1072" s="1"/>
  <c r="AB108" i="1072"/>
  <c r="J87" i="1072" s="1"/>
  <c r="AB33" i="1072"/>
  <c r="J82" i="1072" s="1"/>
  <c r="AB16" i="1072"/>
  <c r="J33" i="1072" s="1"/>
  <c r="AB146" i="1072"/>
  <c r="J68" i="1072" s="1"/>
  <c r="AB93" i="1072"/>
  <c r="J89" i="1072" s="1"/>
  <c r="AB103" i="1072"/>
  <c r="AB99" i="1072"/>
  <c r="J84" i="1072" s="1"/>
  <c r="AB113" i="1072"/>
  <c r="J109" i="1072" s="1"/>
  <c r="AB78" i="1072"/>
  <c r="J25" i="1072" s="1"/>
  <c r="AB23" i="1072"/>
  <c r="J43" i="1072" s="1"/>
  <c r="AB51" i="1072"/>
  <c r="J116" i="1072" s="1"/>
  <c r="AB10" i="1072"/>
  <c r="J9" i="1072" s="1"/>
  <c r="E9" i="1072" s="1"/>
  <c r="AB112" i="1072"/>
  <c r="J118" i="1072" s="1"/>
  <c r="AB25" i="1072"/>
  <c r="J72" i="1072" s="1"/>
  <c r="AB17" i="1072"/>
  <c r="J36" i="1072" s="1"/>
  <c r="AB22" i="1072"/>
  <c r="J41" i="1072" s="1"/>
  <c r="AB19" i="1072"/>
  <c r="J38" i="1072" s="1"/>
  <c r="AB62" i="1072"/>
  <c r="J52" i="1072" s="1"/>
  <c r="AB65" i="1072"/>
  <c r="J56" i="1072" s="1"/>
  <c r="AB15" i="1072"/>
  <c r="J32" i="1072" s="1"/>
  <c r="AC94" i="1072"/>
  <c r="F90" i="1072" s="1"/>
  <c r="AC104" i="1072"/>
  <c r="AB77" i="1072"/>
  <c r="J24" i="1072" s="1"/>
  <c r="AB18" i="1072"/>
  <c r="J37" i="1072" s="1"/>
  <c r="AB143" i="1072"/>
  <c r="J58" i="1072" s="1"/>
  <c r="AB98" i="1072"/>
  <c r="J103" i="1072" s="1"/>
  <c r="AB52" i="1072"/>
  <c r="J10" i="1072" s="1"/>
  <c r="AB26" i="1072"/>
  <c r="J74" i="1072" s="1"/>
  <c r="AB144" i="1072"/>
  <c r="J67" i="1072" s="1"/>
  <c r="AB150" i="1072"/>
  <c r="K30" i="1072" s="1"/>
  <c r="AB151" i="1072"/>
  <c r="J21" i="1072" s="1"/>
  <c r="AB88" i="1072"/>
  <c r="J26" i="1072" s="1"/>
  <c r="AB59" i="1072"/>
  <c r="J47" i="1072" s="1"/>
  <c r="E22" i="890"/>
  <c r="E224" i="890"/>
  <c r="H222" i="890" s="1"/>
  <c r="E89" i="890"/>
  <c r="G91" i="890" s="1"/>
  <c r="E91" i="890" s="1"/>
  <c r="H82" i="890" s="1"/>
  <c r="K113" i="1048"/>
  <c r="K84" i="1048"/>
  <c r="E94" i="1023"/>
  <c r="H92" i="1023" s="1"/>
  <c r="H78" i="1023"/>
  <c r="K39" i="1024"/>
  <c r="E56" i="890"/>
  <c r="H54" i="890" s="1"/>
  <c r="D95" i="890"/>
  <c r="G60" i="890"/>
  <c r="E60" i="890" s="1"/>
  <c r="H58" i="890" s="1"/>
  <c r="E207" i="890"/>
  <c r="E21" i="890"/>
  <c r="E44" i="890"/>
  <c r="E46" i="890"/>
  <c r="E41" i="890"/>
  <c r="D120" i="890"/>
  <c r="H120" i="890" s="1"/>
  <c r="H112" i="890" s="1"/>
  <c r="D110" i="890"/>
  <c r="H110" i="890" s="1"/>
  <c r="H101" i="890" s="1"/>
  <c r="E42" i="890"/>
  <c r="E20" i="890"/>
  <c r="E189" i="890"/>
  <c r="H180" i="890" s="1"/>
  <c r="I32" i="1046"/>
  <c r="E10" i="1046"/>
  <c r="E11" i="1046"/>
  <c r="AB135" i="1072" a="1"/>
  <c r="AA25" i="1072" a="1"/>
  <c r="AA162" i="1072" a="1"/>
  <c r="AA163" i="1072" a="1"/>
  <c r="AA74" i="1072" a="1"/>
  <c r="AA76" i="1072" a="1"/>
  <c r="AA14" i="1072" a="1"/>
  <c r="AA16" i="1072" a="1"/>
  <c r="AA17" i="1072" a="1"/>
  <c r="AA18" i="1072" a="1"/>
  <c r="K121" i="1072" l="1"/>
  <c r="E121" i="1072"/>
  <c r="K119" i="1072"/>
  <c r="E119" i="1072"/>
  <c r="K120" i="1072"/>
  <c r="E120" i="1072"/>
  <c r="J189" i="1023" s="1"/>
  <c r="K117" i="1072"/>
  <c r="E117" i="1072"/>
  <c r="K122" i="1072"/>
  <c r="E122" i="1072"/>
  <c r="J165" i="1024" s="1"/>
  <c r="K116" i="1072"/>
  <c r="E116" i="1072"/>
  <c r="K118" i="1072"/>
  <c r="E118" i="1072"/>
  <c r="K113" i="1072"/>
  <c r="E113" i="1072"/>
  <c r="K111" i="1072"/>
  <c r="E111" i="1072"/>
  <c r="K109" i="1072"/>
  <c r="E109" i="1072"/>
  <c r="K114" i="1072"/>
  <c r="E114" i="1072"/>
  <c r="K108" i="1072"/>
  <c r="E108" i="1072"/>
  <c r="K115" i="1072"/>
  <c r="E115" i="1072"/>
  <c r="K103" i="1072"/>
  <c r="E103" i="1072"/>
  <c r="K79" i="1072"/>
  <c r="E79" i="1072"/>
  <c r="J13" i="1078" s="1"/>
  <c r="K89" i="1072"/>
  <c r="E89" i="1072"/>
  <c r="J56" i="1018" s="1"/>
  <c r="K56" i="1018" s="1"/>
  <c r="K84" i="1072"/>
  <c r="E84" i="1072"/>
  <c r="K82" i="1072"/>
  <c r="E82" i="1072"/>
  <c r="K87" i="1072"/>
  <c r="E87" i="1072"/>
  <c r="K88" i="1072"/>
  <c r="E88" i="1072"/>
  <c r="J55" i="1018" s="1"/>
  <c r="K55" i="1018" s="1"/>
  <c r="K92" i="1072"/>
  <c r="E92" i="1072"/>
  <c r="J59" i="1018" s="1"/>
  <c r="K59" i="1018" s="1"/>
  <c r="K80" i="1072"/>
  <c r="E80" i="1072"/>
  <c r="J17" i="1078" s="1"/>
  <c r="K81" i="1072"/>
  <c r="E81" i="1072"/>
  <c r="J230" i="890" s="1"/>
  <c r="K83" i="1072"/>
  <c r="E83" i="1072"/>
  <c r="J150" i="1024" s="1"/>
  <c r="K78" i="1072"/>
  <c r="E78" i="1072"/>
  <c r="K67" i="1072"/>
  <c r="E67" i="1072"/>
  <c r="J137" i="1024" s="1"/>
  <c r="K74" i="1072"/>
  <c r="E74" i="1072"/>
  <c r="J198" i="890" s="1"/>
  <c r="K62" i="1072"/>
  <c r="E62" i="1072"/>
  <c r="J111" i="1024" s="1"/>
  <c r="K111" i="1024" s="1"/>
  <c r="K63" i="1072"/>
  <c r="E63" i="1072"/>
  <c r="J115" i="1024" s="1"/>
  <c r="K115" i="1024" s="1"/>
  <c r="K68" i="1072"/>
  <c r="E68" i="1072"/>
  <c r="J142" i="1024" s="1"/>
  <c r="K71" i="1072"/>
  <c r="E71" i="1072"/>
  <c r="J166" i="890" s="1"/>
  <c r="K65" i="1072"/>
  <c r="E65" i="1072"/>
  <c r="J17" i="1024" s="1"/>
  <c r="K17" i="1024" s="1"/>
  <c r="K70" i="1072"/>
  <c r="E70" i="1072"/>
  <c r="J183" i="1023" s="1"/>
  <c r="K60" i="1072"/>
  <c r="E60" i="1072"/>
  <c r="J107" i="1024" s="1"/>
  <c r="K75" i="1072"/>
  <c r="E75" i="1072"/>
  <c r="J202" i="890" s="1"/>
  <c r="K66" i="1072"/>
  <c r="E66" i="1072"/>
  <c r="J119" i="1024" s="1"/>
  <c r="K72" i="1072"/>
  <c r="E72" i="1072"/>
  <c r="J180" i="890" s="1"/>
  <c r="K73" i="1072"/>
  <c r="E73" i="1072"/>
  <c r="J191" i="890" s="1"/>
  <c r="K64" i="1072"/>
  <c r="E64" i="1072"/>
  <c r="J13" i="1024" s="1"/>
  <c r="K13" i="1024" s="1"/>
  <c r="K57" i="1072"/>
  <c r="E57" i="1072"/>
  <c r="J103" i="1024" s="1"/>
  <c r="K53" i="1072"/>
  <c r="E53" i="1072"/>
  <c r="J33" i="1024" s="1"/>
  <c r="K58" i="1072"/>
  <c r="E58" i="1072"/>
  <c r="J96" i="1024" s="1"/>
  <c r="K96" i="1024" s="1"/>
  <c r="K51" i="1072"/>
  <c r="E51" i="1072"/>
  <c r="J73" i="1024" s="1"/>
  <c r="K56" i="1072"/>
  <c r="E56" i="1072"/>
  <c r="J88" i="1024" s="1"/>
  <c r="K50" i="1072"/>
  <c r="E50" i="1072"/>
  <c r="J179" i="1023" s="1"/>
  <c r="K179" i="1023" s="1"/>
  <c r="K59" i="1072"/>
  <c r="E59" i="1072"/>
  <c r="J92" i="1024" s="1"/>
  <c r="K92" i="1024" s="1"/>
  <c r="K55" i="1072"/>
  <c r="E55" i="1072"/>
  <c r="J83" i="1024" s="1"/>
  <c r="K52" i="1072"/>
  <c r="E52" i="1072"/>
  <c r="J78" i="1024" s="1"/>
  <c r="K47" i="1072"/>
  <c r="E47" i="1072"/>
  <c r="J43" i="1024" s="1"/>
  <c r="K45" i="1072"/>
  <c r="E45" i="1072"/>
  <c r="J21" i="1024" s="1"/>
  <c r="K46" i="1072"/>
  <c r="E46" i="1072"/>
  <c r="J29" i="1024" s="1"/>
  <c r="K49" i="1072"/>
  <c r="E49" i="1072"/>
  <c r="J54" i="1024" s="1"/>
  <c r="K54" i="1024" s="1"/>
  <c r="K48" i="1072"/>
  <c r="E48" i="1072"/>
  <c r="J49" i="1024" s="1"/>
  <c r="K37" i="1072"/>
  <c r="E37" i="1072"/>
  <c r="J112" i="890" s="1"/>
  <c r="K40" i="1072"/>
  <c r="E40" i="1072"/>
  <c r="J131" i="890" s="1"/>
  <c r="K20" i="1072"/>
  <c r="E20" i="1072"/>
  <c r="J92" i="1023" s="1"/>
  <c r="K22" i="1072"/>
  <c r="E22" i="1072"/>
  <c r="J21" i="1078" s="1"/>
  <c r="K42" i="1072"/>
  <c r="E42" i="1072"/>
  <c r="J64" i="1024" s="1"/>
  <c r="K64" i="1024" s="1"/>
  <c r="K28" i="1072"/>
  <c r="E28" i="1072"/>
  <c r="J153" i="1023" s="1"/>
  <c r="K24" i="1072"/>
  <c r="E24" i="1072"/>
  <c r="J108" i="1023" s="1"/>
  <c r="K17" i="1072"/>
  <c r="E17" i="1072"/>
  <c r="J59" i="1023" s="1"/>
  <c r="K16" i="1072"/>
  <c r="E16" i="1072"/>
  <c r="J40" i="1023" s="1"/>
  <c r="K32" i="1072"/>
  <c r="E32" i="1072"/>
  <c r="J78" i="890" s="1"/>
  <c r="K18" i="1072"/>
  <c r="E18" i="1072"/>
  <c r="J78" i="1023" s="1"/>
  <c r="K33" i="1072"/>
  <c r="E33" i="1072"/>
  <c r="J82" i="890" s="1"/>
  <c r="K31" i="1072"/>
  <c r="E31" i="1072"/>
  <c r="J72" i="890" s="1"/>
  <c r="K23" i="1072"/>
  <c r="E23" i="1072"/>
  <c r="J104" i="1023" s="1"/>
  <c r="K104" i="1023" s="1"/>
  <c r="K25" i="1072"/>
  <c r="E25" i="1072"/>
  <c r="J117" i="1023" s="1"/>
  <c r="K26" i="1072"/>
  <c r="E26" i="1072"/>
  <c r="J126" i="1023" s="1"/>
  <c r="K21" i="1072"/>
  <c r="E21" i="1072"/>
  <c r="J97" i="1023" s="1"/>
  <c r="K38" i="1072"/>
  <c r="E38" i="1072"/>
  <c r="J122" i="890" s="1"/>
  <c r="K41" i="1072"/>
  <c r="E41" i="1072"/>
  <c r="J140" i="890" s="1"/>
  <c r="K11" i="1072"/>
  <c r="E11" i="1072"/>
  <c r="J32" i="890" s="1"/>
  <c r="K36" i="1072"/>
  <c r="E36" i="1072"/>
  <c r="J101" i="890" s="1"/>
  <c r="K19" i="1072"/>
  <c r="E19" i="1072"/>
  <c r="J86" i="1023" s="1"/>
  <c r="K12" i="1072"/>
  <c r="E12" i="1072"/>
  <c r="J26" i="1023" s="1"/>
  <c r="K27" i="1072"/>
  <c r="E27" i="1072"/>
  <c r="J144" i="1023" s="1"/>
  <c r="K10" i="1072"/>
  <c r="E10" i="1072"/>
  <c r="J15" i="1023" s="1"/>
  <c r="K15" i="1023" s="1"/>
  <c r="K43" i="1072"/>
  <c r="E43" i="1072"/>
  <c r="J152" i="890" s="1"/>
  <c r="K15" i="1072"/>
  <c r="E15" i="1072"/>
  <c r="J62" i="890" s="1"/>
  <c r="K9" i="1072"/>
  <c r="AB32" i="1072"/>
  <c r="J86" i="1072" s="1"/>
  <c r="E86" i="1072" s="1"/>
  <c r="AB31" i="1072"/>
  <c r="J85" i="1072" s="1"/>
  <c r="E85" i="1072" s="1"/>
  <c r="J233" i="1023"/>
  <c r="J60" i="1018"/>
  <c r="K60" i="1018" s="1"/>
  <c r="J52" i="1018"/>
  <c r="K52" i="1018" s="1"/>
  <c r="J58" i="1018"/>
  <c r="K58" i="1018" s="1"/>
  <c r="J171" i="1023"/>
  <c r="J11" i="890"/>
  <c r="J154" i="1024"/>
  <c r="J9" i="1078"/>
  <c r="J239" i="890"/>
  <c r="AA18" i="1072"/>
  <c r="D37" i="1072" s="1"/>
  <c r="AA76" i="1072"/>
  <c r="D20" i="1072" s="1"/>
  <c r="AA17" i="1072"/>
  <c r="D36" i="1072" s="1"/>
  <c r="AA74" i="1072"/>
  <c r="D18" i="1072" s="1"/>
  <c r="AA16" i="1072"/>
  <c r="D33" i="1072" s="1"/>
  <c r="AA14" i="1072"/>
  <c r="D76" i="1072" s="1"/>
  <c r="AA25" i="1072"/>
  <c r="D72" i="1072" s="1"/>
  <c r="AA163" i="1072"/>
  <c r="D14" i="1072" s="1"/>
  <c r="AA162" i="1072"/>
  <c r="D13" i="1072" s="1"/>
  <c r="AB135" i="1072"/>
  <c r="J61" i="1072" s="1"/>
  <c r="K222" i="890"/>
  <c r="D210" i="890"/>
  <c r="H210" i="890" s="1"/>
  <c r="H220" i="890" s="1"/>
  <c r="H202" i="890" s="1"/>
  <c r="E30" i="890"/>
  <c r="H11" i="890" s="1"/>
  <c r="E186" i="1023"/>
  <c r="E187" i="1023" s="1"/>
  <c r="H183" i="1023" s="1"/>
  <c r="H95" i="890"/>
  <c r="H93" i="890" s="1"/>
  <c r="D99" i="890"/>
  <c r="H99" i="890" s="1"/>
  <c r="H97" i="890" s="1"/>
  <c r="E70" i="890"/>
  <c r="E50" i="890"/>
  <c r="G52" i="890" s="1"/>
  <c r="E52" i="890" s="1"/>
  <c r="H32" i="890" s="1"/>
  <c r="AC143" i="1072" a="1"/>
  <c r="J38" i="1071" a="1"/>
  <c r="AA159" i="1072" a="1"/>
  <c r="J18" i="1071" a="1"/>
  <c r="AC152" i="1072" a="1"/>
  <c r="AC84" i="1072" a="1"/>
  <c r="AA10" i="1072" a="1"/>
  <c r="J49" i="1071" a="1"/>
  <c r="AC138" i="1072" a="1"/>
  <c r="AC139" i="1072" a="1"/>
  <c r="AA89" i="1072" a="1"/>
  <c r="AC142" i="1072" a="1"/>
  <c r="J81" i="1071" a="1"/>
  <c r="J74" i="1071" a="1"/>
  <c r="AC14" i="1072" a="1"/>
  <c r="AA160" i="1072" a="1"/>
  <c r="AA27" i="1072" a="1"/>
  <c r="J66" i="1071" a="1"/>
  <c r="J58" i="1071" a="1"/>
  <c r="AC140" i="1072" a="1"/>
  <c r="AA28" i="1072" a="1"/>
  <c r="AA11" i="1072" a="1"/>
  <c r="J86" i="1071" a="1"/>
  <c r="AC52" i="1072" a="1"/>
  <c r="AC141" i="1072" a="1"/>
  <c r="AC83" i="1072" a="1"/>
  <c r="J28" i="1071" a="1"/>
  <c r="AC157" i="1072" a="1"/>
  <c r="J22" i="1071" a="1"/>
  <c r="K61" i="1072" l="1"/>
  <c r="E61" i="1072"/>
  <c r="J9" i="1024" s="1"/>
  <c r="K9" i="1024" s="1"/>
  <c r="K85" i="1072"/>
  <c r="J53" i="1018"/>
  <c r="K53" i="1018" s="1"/>
  <c r="K86" i="1072"/>
  <c r="J37" i="1018"/>
  <c r="K37" i="1018" s="1"/>
  <c r="J15" i="1018"/>
  <c r="K15" i="1018" s="1"/>
  <c r="J20" i="1018"/>
  <c r="K20" i="1018" s="1"/>
  <c r="J8" i="1071"/>
  <c r="J42" i="1018"/>
  <c r="K42" i="1018" s="1"/>
  <c r="J39" i="1018"/>
  <c r="K39" i="1018" s="1"/>
  <c r="J16" i="1018"/>
  <c r="K16" i="1018" s="1"/>
  <c r="J19" i="1018"/>
  <c r="K19" i="1018" s="1"/>
  <c r="J41" i="1018"/>
  <c r="K41" i="1018" s="1"/>
  <c r="J18" i="1018"/>
  <c r="K18" i="1018" s="1"/>
  <c r="J38" i="1018"/>
  <c r="K38" i="1018" s="1"/>
  <c r="J12" i="1018"/>
  <c r="K12" i="1018" s="1"/>
  <c r="J86" i="1071"/>
  <c r="J28" i="1071"/>
  <c r="J49" i="1071"/>
  <c r="J74" i="1071"/>
  <c r="J58" i="1071"/>
  <c r="J38" i="1071"/>
  <c r="J81" i="1071"/>
  <c r="J66" i="1071"/>
  <c r="J22" i="1071"/>
  <c r="J18" i="1071"/>
  <c r="J43" i="1018"/>
  <c r="K43" i="1018" s="1"/>
  <c r="J13" i="1018"/>
  <c r="K13" i="1018" s="1"/>
  <c r="J35" i="1018"/>
  <c r="K35" i="1018" s="1"/>
  <c r="AC138" i="1072"/>
  <c r="F64" i="1072" s="1"/>
  <c r="AC152" i="1072"/>
  <c r="F23" i="1072" s="1"/>
  <c r="AC141" i="1072"/>
  <c r="F63" i="1072" s="1"/>
  <c r="AC83" i="1072"/>
  <c r="F49" i="1072" s="1"/>
  <c r="AC142" i="1072"/>
  <c r="F59" i="1072" s="1"/>
  <c r="AC140" i="1072"/>
  <c r="F62" i="1072" s="1"/>
  <c r="AC52" i="1072"/>
  <c r="F10" i="1072" s="1"/>
  <c r="AC143" i="1072"/>
  <c r="F58" i="1072" s="1"/>
  <c r="AC139" i="1072"/>
  <c r="F65" i="1072" s="1"/>
  <c r="AC84" i="1072"/>
  <c r="F42" i="1072" s="1"/>
  <c r="AC157" i="1072"/>
  <c r="F50" i="1072" s="1"/>
  <c r="AA89" i="1072"/>
  <c r="D70" i="1072" s="1"/>
  <c r="AA160" i="1072"/>
  <c r="D35" i="1072" s="1"/>
  <c r="AA11" i="1072"/>
  <c r="D11" i="1072" s="1"/>
  <c r="AA10" i="1072"/>
  <c r="D9" i="1072" s="1"/>
  <c r="AA27" i="1072"/>
  <c r="D75" i="1072" s="1"/>
  <c r="AA28" i="1072"/>
  <c r="AA159" i="1072"/>
  <c r="D34" i="1072" s="1"/>
  <c r="AC14" i="1072"/>
  <c r="F76" i="1072" s="1"/>
  <c r="H62" i="890"/>
  <c r="AC90" i="1072" a="1"/>
  <c r="AC102" i="1072" a="1"/>
  <c r="AC96" i="1072" a="1"/>
  <c r="AA12" i="1072" a="1"/>
  <c r="J13" i="1071" a="1"/>
  <c r="AC105" i="1072" a="1"/>
  <c r="AC100" i="1072" a="1"/>
  <c r="AC95" i="1072" a="1"/>
  <c r="AC93" i="1072" a="1"/>
  <c r="AC135" i="1072" a="1"/>
  <c r="AC98" i="1072" a="1"/>
  <c r="AC92" i="1072" a="1"/>
  <c r="AC106" i="1072" a="1"/>
  <c r="AC99" i="1072" a="1"/>
  <c r="AC103" i="1072" a="1"/>
  <c r="J36" i="1018" l="1"/>
  <c r="K36" i="1018" s="1"/>
  <c r="J54" i="1018"/>
  <c r="K54" i="1018" s="1"/>
  <c r="J13" i="1071"/>
  <c r="J14" i="1018"/>
  <c r="K14" i="1018" s="1"/>
  <c r="K26" i="1018" s="1"/>
  <c r="AC102" i="1072"/>
  <c r="AC92" i="1072"/>
  <c r="F88" i="1072" s="1"/>
  <c r="AC98" i="1072"/>
  <c r="F103" i="1072" s="1"/>
  <c r="AC93" i="1072"/>
  <c r="F89" i="1072" s="1"/>
  <c r="AC103" i="1072"/>
  <c r="AC106" i="1072"/>
  <c r="AC96" i="1072"/>
  <c r="F92" i="1072" s="1"/>
  <c r="AC105" i="1072"/>
  <c r="AC95" i="1072"/>
  <c r="F91" i="1072" s="1"/>
  <c r="AC99" i="1072"/>
  <c r="F84" i="1072" s="1"/>
  <c r="AC100" i="1072"/>
  <c r="AC90" i="1072"/>
  <c r="AC135" i="1072"/>
  <c r="F61" i="1072" s="1"/>
  <c r="AA12" i="1072"/>
  <c r="D15" i="1072" s="1"/>
  <c r="K11" i="1048"/>
  <c r="M11" i="1048" s="1"/>
  <c r="K142" i="1048"/>
  <c r="K15" i="1048" s="1"/>
  <c r="M15" i="1048" s="1"/>
  <c r="K13" i="1048"/>
  <c r="M13" i="1048" s="1"/>
  <c r="K55" i="1048"/>
  <c r="J9" i="1048" s="1"/>
  <c r="AB37" i="1072" a="1"/>
  <c r="AC41" i="1072" a="1"/>
  <c r="AC37" i="1072" a="1"/>
  <c r="AC101" i="1072" a="1"/>
  <c r="AB38" i="1072" a="1"/>
  <c r="AC36" i="1072" a="1"/>
  <c r="AC38" i="1072" a="1"/>
  <c r="AB36" i="1072" a="1"/>
  <c r="AB41" i="1072" a="1"/>
  <c r="AC101" i="1072" l="1"/>
  <c r="AB41" i="1072"/>
  <c r="J94" i="1072" s="1"/>
  <c r="AB37" i="1072"/>
  <c r="J99" i="1072" s="1"/>
  <c r="AB38" i="1072"/>
  <c r="J100" i="1072" s="1"/>
  <c r="AB36" i="1072"/>
  <c r="J98" i="1072" s="1"/>
  <c r="AC41" i="1072"/>
  <c r="F94" i="1072" s="1"/>
  <c r="AC38" i="1072"/>
  <c r="F100" i="1072" s="1"/>
  <c r="AC37" i="1072"/>
  <c r="F99" i="1072" s="1"/>
  <c r="AC36" i="1072"/>
  <c r="F98" i="1072" s="1"/>
  <c r="J11" i="1048"/>
  <c r="J13" i="1048"/>
  <c r="J15" i="1048"/>
  <c r="K9" i="1048"/>
  <c r="M9" i="1048" s="1"/>
  <c r="AC40" i="1072" a="1"/>
  <c r="AB35" i="1072" a="1"/>
  <c r="AC35" i="1072" a="1"/>
  <c r="K99" i="1072" l="1"/>
  <c r="E99" i="1072"/>
  <c r="E100" i="1072" s="1"/>
  <c r="I100" i="1072" s="1"/>
  <c r="K100" i="1072" s="1"/>
  <c r="K98" i="1072"/>
  <c r="E98" i="1072"/>
  <c r="K94" i="1072"/>
  <c r="E94" i="1072"/>
  <c r="AB35" i="1072"/>
  <c r="J97" i="1072" s="1"/>
  <c r="AC40" i="1072"/>
  <c r="F93" i="1072" s="1"/>
  <c r="AC35" i="1072"/>
  <c r="F97" i="1072" s="1"/>
  <c r="K97" i="1072" l="1"/>
  <c r="E97" i="1072"/>
  <c r="D15" i="1030"/>
  <c r="D16" i="1030"/>
  <c r="D17" i="1030"/>
  <c r="D18" i="1030"/>
  <c r="D14" i="1030"/>
  <c r="I12" i="1046" l="1"/>
  <c r="K162" i="1023" l="1"/>
  <c r="AC149" i="1072" a="1"/>
  <c r="AC149" i="1072" l="1"/>
  <c r="F29" i="1072" l="1"/>
  <c r="K42" i="1071"/>
  <c r="AC47" i="1072" a="1"/>
  <c r="AC86" i="1072" a="1"/>
  <c r="AC47" i="1072" l="1"/>
  <c r="F112" i="1072" s="1"/>
  <c r="AC86" i="1072"/>
  <c r="K170" i="1024" l="1"/>
  <c r="AC71" i="1072" a="1"/>
  <c r="AC71" i="1072" l="1"/>
  <c r="F123" i="1072" s="1"/>
  <c r="K146" i="1024"/>
  <c r="AC68" i="1072" a="1"/>
  <c r="AC68" i="1072" l="1"/>
  <c r="F69" i="1072" s="1"/>
  <c r="J93" i="1071" l="1"/>
  <c r="K93" i="1071" s="1"/>
  <c r="J94" i="1071" l="1"/>
  <c r="K94" i="1071" s="1"/>
  <c r="K160" i="890" l="1"/>
  <c r="AC24" i="1072" a="1"/>
  <c r="AC53" i="1072" a="1"/>
  <c r="AC24" i="1072" l="1"/>
  <c r="F44" i="1072" s="1"/>
  <c r="AC53" i="1072"/>
  <c r="K108" i="1023" l="1"/>
  <c r="AC77" i="1072" a="1"/>
  <c r="AC77" i="1072" l="1"/>
  <c r="F24" i="1072" s="1"/>
  <c r="K117" i="1023" l="1"/>
  <c r="AC78" i="1072" a="1"/>
  <c r="AC78" i="1072" l="1"/>
  <c r="F25" i="1072" s="1"/>
  <c r="K78" i="890" l="1"/>
  <c r="AC15" i="1072" a="1"/>
  <c r="AC15" i="1072" l="1"/>
  <c r="F32" i="1072" s="1"/>
  <c r="K180" i="890"/>
  <c r="AC25" i="1072" a="1"/>
  <c r="AC25" i="1072" l="1"/>
  <c r="F72" i="1072" s="1"/>
  <c r="K78" i="1024"/>
  <c r="AC62" i="1072" a="1"/>
  <c r="AC62" i="1072" l="1"/>
  <c r="F52" i="1072" s="1"/>
  <c r="K131" i="890"/>
  <c r="AC21" i="1072" a="1"/>
  <c r="AC21" i="1072" l="1"/>
  <c r="F40" i="1072" s="1"/>
  <c r="K153" i="1023" l="1"/>
  <c r="AC148" i="1072" a="1"/>
  <c r="AC148" i="1072" l="1"/>
  <c r="F28" i="1072" s="1"/>
  <c r="K144" i="1023"/>
  <c r="AC147" i="1072" a="1"/>
  <c r="AC147" i="1072" l="1"/>
  <c r="F27" i="1072" s="1"/>
  <c r="K21" i="1078"/>
  <c r="AC85" i="1072" a="1"/>
  <c r="AC85" i="1072" l="1"/>
  <c r="F22" i="1072" s="1"/>
  <c r="K97" i="890"/>
  <c r="AC160" i="1072" a="1"/>
  <c r="AC160" i="1072" l="1"/>
  <c r="F35" i="1072" s="1"/>
  <c r="K32" i="890"/>
  <c r="AC11" i="1072" a="1"/>
  <c r="AC11" i="1072" l="1"/>
  <c r="F11" i="1072" s="1"/>
  <c r="K22" i="1071"/>
  <c r="AC44" i="1072" a="1"/>
  <c r="AC44" i="1072" l="1"/>
  <c r="F108" i="1072" s="1"/>
  <c r="K54" i="890"/>
  <c r="AC162" i="1072" a="1"/>
  <c r="AC162" i="1072" l="1"/>
  <c r="F13" i="1072" s="1"/>
  <c r="K29" i="1024"/>
  <c r="AC58" i="1072" a="1"/>
  <c r="AC58" i="1072" l="1"/>
  <c r="F46" i="1072" s="1"/>
  <c r="K58" i="890"/>
  <c r="AC163" i="1072" a="1"/>
  <c r="AC163" i="1072" l="1"/>
  <c r="F14" i="1072" s="1"/>
  <c r="K82" i="890"/>
  <c r="AC16" i="1072" a="1"/>
  <c r="AC16" i="1072" l="1"/>
  <c r="F33" i="1072" s="1"/>
  <c r="K88" i="1024"/>
  <c r="AC65" i="1072" a="1"/>
  <c r="AC65" i="1072" l="1"/>
  <c r="F56" i="1072" s="1"/>
  <c r="K154" i="1024"/>
  <c r="AC69" i="1072" a="1"/>
  <c r="AC69" i="1072" l="1"/>
  <c r="F119" i="1072" s="1"/>
  <c r="K81" i="1071" l="1"/>
  <c r="AC111" i="1072" a="1"/>
  <c r="AC111" i="1072" l="1"/>
  <c r="F117" i="1072" s="1"/>
  <c r="K198" i="890" l="1"/>
  <c r="AC26" i="1072" a="1"/>
  <c r="AC26" i="1072" l="1"/>
  <c r="F74" i="1072" s="1"/>
  <c r="K189" i="1023"/>
  <c r="AC155" i="1072" a="1"/>
  <c r="AC155" i="1072" l="1"/>
  <c r="F120" i="1072" s="1"/>
  <c r="K103" i="1024" l="1"/>
  <c r="AC145" i="1072" a="1"/>
  <c r="AC145" i="1072" l="1"/>
  <c r="F57" i="1072" s="1"/>
  <c r="K150" i="1024"/>
  <c r="AC137" i="1072" a="1"/>
  <c r="AC137" i="1072" l="1"/>
  <c r="F83" i="1072" s="1"/>
  <c r="K142" i="1024" l="1"/>
  <c r="AC146" i="1072" a="1"/>
  <c r="AC146" i="1072" l="1"/>
  <c r="F68" i="1072" s="1"/>
  <c r="K97" i="1023"/>
  <c r="AC151" i="1072" a="1"/>
  <c r="AC151" i="1072" l="1"/>
  <c r="F21" i="1072" s="1"/>
  <c r="K21" i="1024"/>
  <c r="AC57" i="1072" a="1"/>
  <c r="AC57" i="1072" l="1"/>
  <c r="F45" i="1072" s="1"/>
  <c r="K58" i="1071"/>
  <c r="AC49" i="1072" a="1"/>
  <c r="AC49" i="1072" l="1"/>
  <c r="F114" i="1072" s="1"/>
  <c r="K239" i="890"/>
  <c r="AC33" i="1072" a="1"/>
  <c r="AC33" i="1072" l="1"/>
  <c r="F82" i="1072" s="1"/>
  <c r="K126" i="1023" l="1"/>
  <c r="AC88" i="1072" a="1"/>
  <c r="AC88" i="1072" l="1"/>
  <c r="F26" i="1072" s="1"/>
  <c r="K122" i="890"/>
  <c r="AC19" i="1072" a="1"/>
  <c r="AC19" i="1072" l="1"/>
  <c r="F38" i="1072" s="1"/>
  <c r="K49" i="1071"/>
  <c r="AC48" i="1072" a="1"/>
  <c r="AC48" i="1072" l="1"/>
  <c r="F113" i="1072" s="1"/>
  <c r="K183" i="1023" l="1"/>
  <c r="AC89" i="1072" a="1"/>
  <c r="AC89" i="1072" l="1"/>
  <c r="F70" i="1072" s="1"/>
  <c r="K93" i="890"/>
  <c r="AC159" i="1072" a="1"/>
  <c r="AC159" i="1072" l="1"/>
  <c r="F34" i="1072" s="1"/>
  <c r="K9" i="1078"/>
  <c r="AC79" i="1072" a="1"/>
  <c r="AC79" i="1072" l="1"/>
  <c r="F78" i="1072" s="1"/>
  <c r="K33" i="1024" l="1"/>
  <c r="AC63" i="1072" a="1"/>
  <c r="AC63" i="1072" l="1"/>
  <c r="F53" i="1072" s="1"/>
  <c r="K83" i="1024" l="1"/>
  <c r="AC64" i="1072" a="1"/>
  <c r="AC64" i="1072" l="1"/>
  <c r="F55" i="1072" s="1"/>
  <c r="K112" i="890"/>
  <c r="AC18" i="1072" a="1"/>
  <c r="AC18" i="1072" l="1"/>
  <c r="F37" i="1072" s="1"/>
  <c r="K18" i="1071"/>
  <c r="AC108" i="1072" a="1"/>
  <c r="AC108" i="1072" l="1"/>
  <c r="F87" i="1072" s="1"/>
  <c r="K74" i="1071"/>
  <c r="AC51" i="1072" a="1"/>
  <c r="AC51" i="1072" l="1"/>
  <c r="F116" i="1072" s="1"/>
  <c r="K17" i="1078"/>
  <c r="AC81" i="1072" a="1"/>
  <c r="AC81" i="1072" l="1"/>
  <c r="F80" i="1072" s="1"/>
  <c r="K13" i="1071" l="1"/>
  <c r="AC91" i="1072" a="1"/>
  <c r="AC91" i="1072" l="1"/>
  <c r="K59" i="1023"/>
  <c r="AC73" i="1072" a="1"/>
  <c r="AC32" i="1072" l="1"/>
  <c r="F86" i="1072" s="1"/>
  <c r="AC73" i="1072"/>
  <c r="F17" i="1072" s="1"/>
  <c r="K13" i="1078" l="1"/>
  <c r="AC80" i="1072" a="1"/>
  <c r="AC80" i="1072" l="1"/>
  <c r="F79" i="1072" s="1"/>
  <c r="K25" i="1078"/>
  <c r="K73" i="1024"/>
  <c r="AC61" i="1072" a="1"/>
  <c r="I16" i="1046" l="1"/>
  <c r="AC61" i="1072"/>
  <c r="F51" i="1072" s="1"/>
  <c r="K49" i="1024" l="1"/>
  <c r="AC60" i="1072" a="1"/>
  <c r="AC60" i="1072" l="1"/>
  <c r="F48" i="1072" s="1"/>
  <c r="K233" i="1023"/>
  <c r="AC156" i="1072" a="1"/>
  <c r="AC156" i="1072" l="1"/>
  <c r="F121" i="1072" s="1"/>
  <c r="K137" i="1024"/>
  <c r="AC144" i="1072" a="1"/>
  <c r="AC144" i="1072" l="1"/>
  <c r="F67" i="1072" s="1"/>
  <c r="K66" i="1071"/>
  <c r="AC50" i="1072" a="1"/>
  <c r="AC50" i="1072" l="1"/>
  <c r="F115" i="1072" s="1"/>
  <c r="K43" i="1024"/>
  <c r="AC59" i="1072" a="1"/>
  <c r="AC59" i="1072" l="1"/>
  <c r="F47" i="1072" s="1"/>
  <c r="K26" i="1023"/>
  <c r="AC82" i="1072" a="1"/>
  <c r="AC82" i="1072" l="1"/>
  <c r="F12" i="1072" s="1"/>
  <c r="K101" i="890" l="1"/>
  <c r="AC17" i="1072" a="1"/>
  <c r="AC17" i="1072" l="1"/>
  <c r="F36" i="1072" s="1"/>
  <c r="K72" i="890"/>
  <c r="AC13" i="1072" a="1"/>
  <c r="AC13" i="1072" l="1"/>
  <c r="F31" i="1072" s="1"/>
  <c r="K165" i="1024"/>
  <c r="AC70" i="1072" a="1"/>
  <c r="AC70" i="1072" l="1"/>
  <c r="F122" i="1072" s="1"/>
  <c r="K78" i="1023"/>
  <c r="AC74" i="1072" a="1"/>
  <c r="AC74" i="1072" l="1"/>
  <c r="F18" i="1072" s="1"/>
  <c r="K230" i="890" l="1"/>
  <c r="AC30" i="1072" a="1"/>
  <c r="AC30" i="1072" l="1"/>
  <c r="F81" i="1072" s="1"/>
  <c r="K140" i="890"/>
  <c r="AC22" i="1072" a="1"/>
  <c r="AC22" i="1072" l="1"/>
  <c r="F41" i="1072" s="1"/>
  <c r="K107" i="1024"/>
  <c r="AC66" i="1072" a="1"/>
  <c r="AC66" i="1072" l="1"/>
  <c r="F60" i="1072" s="1"/>
  <c r="K191" i="890" l="1"/>
  <c r="AC158" i="1072" a="1"/>
  <c r="AC158" i="1072" l="1"/>
  <c r="F73" i="1072" s="1"/>
  <c r="K92" i="1023" l="1"/>
  <c r="AC76" i="1072" a="1"/>
  <c r="AC76" i="1072" l="1"/>
  <c r="F20" i="1072" s="1"/>
  <c r="K40" i="1023"/>
  <c r="AC72" i="1072" a="1"/>
  <c r="AC72" i="1072" l="1"/>
  <c r="F16" i="1072" s="1"/>
  <c r="K86" i="1023"/>
  <c r="AC75" i="1072" a="1"/>
  <c r="AC75" i="1072" l="1"/>
  <c r="F19" i="1072" s="1"/>
  <c r="K119" i="1024"/>
  <c r="AC67" i="1072" a="1"/>
  <c r="AC67" i="1072" l="1"/>
  <c r="F66" i="1072" s="1"/>
  <c r="K152" i="890" l="1"/>
  <c r="AC23" i="1072" a="1"/>
  <c r="AC23" i="1072" l="1"/>
  <c r="F43" i="1072" s="1"/>
  <c r="K38" i="1071"/>
  <c r="AC46" i="1072" a="1"/>
  <c r="AC46" i="1072" l="1"/>
  <c r="F111" i="1072" s="1"/>
  <c r="K28" i="1071"/>
  <c r="AC113" i="1072" a="1"/>
  <c r="AC113" i="1072" l="1"/>
  <c r="F109" i="1072" s="1"/>
  <c r="K171" i="1023" l="1"/>
  <c r="AC150" i="1072" a="1"/>
  <c r="AC150" i="1072" l="1"/>
  <c r="F30" i="1072" s="1"/>
  <c r="K241" i="1023"/>
  <c r="K202" i="890"/>
  <c r="AC27" i="1072" a="1"/>
  <c r="AC28" i="1072" a="1"/>
  <c r="AC27" i="1072" l="1"/>
  <c r="F75" i="1072" s="1"/>
  <c r="AC28" i="1072"/>
  <c r="K166" i="890"/>
  <c r="AC165" i="1072" a="1"/>
  <c r="AC165" i="1072" l="1"/>
  <c r="F71" i="1072" s="1"/>
  <c r="K8" i="1071"/>
  <c r="AC34" i="1072" a="1"/>
  <c r="AC34" i="1072" l="1"/>
  <c r="AC31" i="1072" l="1"/>
  <c r="F85" i="1072" s="1"/>
  <c r="K86" i="1071"/>
  <c r="AC112" i="1072" a="1"/>
  <c r="AC112" i="1072" l="1"/>
  <c r="F118" i="1072" s="1"/>
  <c r="K96" i="1071"/>
  <c r="K176" i="1024"/>
  <c r="K62" i="890" l="1"/>
  <c r="AC12" i="1072" a="1"/>
  <c r="AC12" i="1072" l="1"/>
  <c r="F15" i="1072" s="1"/>
  <c r="K243" i="890" l="1"/>
  <c r="AC110" i="1072" a="1"/>
  <c r="AC110" i="1072" l="1"/>
  <c r="F145" i="1072" s="1"/>
  <c r="K11" i="890" l="1"/>
  <c r="AC10" i="1072" a="1"/>
  <c r="AC10" i="1072" l="1"/>
  <c r="F9" i="1072" s="1"/>
  <c r="K247" i="890"/>
  <c r="I10" i="1046" s="1"/>
  <c r="AB109" i="1072" a="1"/>
  <c r="AB109" i="1072" l="1"/>
  <c r="K106" i="1072" s="1"/>
  <c r="J19" i="1048" l="1"/>
  <c r="K19" i="1048" s="1"/>
  <c r="I14" i="1046" s="1"/>
  <c r="I20" i="1046" s="1"/>
  <c r="AC109" i="1072" a="1"/>
  <c r="AC109" i="1072" l="1"/>
  <c r="F106" i="1072" s="1"/>
  <c r="A110" i="1085" s="1" a="1"/>
  <c r="A110" i="1085" s="1"/>
  <c r="I23" i="1046"/>
  <c r="I22" i="1046"/>
  <c r="A27" i="1085" a="1"/>
  <c r="A27" i="1085" s="1"/>
  <c r="A172" i="1085" a="1"/>
  <c r="A172" i="1085" s="1"/>
  <c r="A142" i="1085" a="1"/>
  <c r="A142" i="1085" s="1"/>
  <c r="A147" i="1085" a="1"/>
  <c r="A147" i="1085" s="1"/>
  <c r="A239" i="1085" a="1"/>
  <c r="A239" i="1085" s="1"/>
  <c r="A56" i="1085" a="1"/>
  <c r="A56" i="1085" s="1"/>
  <c r="A144" i="1085" a="1"/>
  <c r="A144" i="1085" s="1"/>
  <c r="A186" i="1085" a="1"/>
  <c r="A186" i="1085" s="1"/>
  <c r="A96" i="1085" a="1"/>
  <c r="A96" i="1085" s="1"/>
  <c r="A138" i="1085" a="1"/>
  <c r="A138" i="1085" s="1"/>
  <c r="A193" i="1085" a="1"/>
  <c r="A193" i="1085" s="1"/>
  <c r="A169" i="1085" a="1"/>
  <c r="A169" i="1085" s="1"/>
  <c r="A188" i="1085" a="1"/>
  <c r="A188" i="1085" s="1"/>
  <c r="A85" i="1085" a="1"/>
  <c r="A85" i="1085" s="1"/>
  <c r="A32" i="1085" a="1"/>
  <c r="A32" i="1085" s="1"/>
  <c r="A171" i="1085" a="1"/>
  <c r="A171" i="1085" s="1"/>
  <c r="A44" i="1085" a="1"/>
  <c r="A44" i="1085" s="1"/>
  <c r="A43" i="1085" a="1"/>
  <c r="A43" i="1085" s="1"/>
  <c r="A38" i="1085" a="1"/>
  <c r="A38" i="1085" s="1"/>
  <c r="A87" i="1085" a="1"/>
  <c r="A87" i="1085" s="1"/>
  <c r="A74" i="1085" a="1"/>
  <c r="A74" i="1085" s="1"/>
  <c r="A14" i="1085" a="1"/>
  <c r="A14" i="1085" s="1"/>
  <c r="A200" i="1085" a="1"/>
  <c r="A200" i="1085" s="1"/>
  <c r="A130" i="1085" a="1"/>
  <c r="A130" i="1085" s="1"/>
  <c r="A122" i="1085" a="1"/>
  <c r="A122" i="1085" s="1"/>
  <c r="A148" i="1085" a="1"/>
  <c r="A148" i="1085" s="1"/>
  <c r="A136" i="1085" a="1"/>
  <c r="A136" i="1085" s="1"/>
  <c r="A129" i="1085" a="1"/>
  <c r="A129" i="1085" s="1"/>
  <c r="A68" i="1085" a="1"/>
  <c r="A68" i="1085" s="1"/>
  <c r="A82" i="1085" a="1"/>
  <c r="A82" i="1085" s="1"/>
  <c r="A230" i="1085" a="1"/>
  <c r="A230" i="1085" s="1"/>
  <c r="A109" i="1085" a="1"/>
  <c r="A109" i="1085" s="1"/>
  <c r="A201" i="1085" a="1"/>
  <c r="A201" i="1085" s="1"/>
  <c r="A121" i="1085" a="1"/>
  <c r="A121" i="1085" s="1"/>
  <c r="A137" i="1085" a="1"/>
  <c r="A137" i="1085" s="1"/>
  <c r="A119" i="1085" a="1"/>
  <c r="A119" i="1085" s="1"/>
  <c r="A152" i="1085" a="1"/>
  <c r="A152" i="1085" s="1"/>
  <c r="A16" i="1085" a="1"/>
  <c r="A16" i="1085" s="1"/>
  <c r="A21" i="1085" l="1" a="1"/>
  <c r="A21" i="1085" s="1"/>
  <c r="A19" i="1085" a="1"/>
  <c r="A19" i="1085" s="1"/>
  <c r="A175" i="1085" a="1"/>
  <c r="A175" i="1085" s="1"/>
  <c r="A126" i="1085" a="1"/>
  <c r="A126" i="1085" s="1"/>
  <c r="A153" i="1085" a="1"/>
  <c r="A153" i="1085" s="1"/>
  <c r="A104" i="1085" a="1"/>
  <c r="A104" i="1085" s="1"/>
  <c r="A36" i="1085" a="1"/>
  <c r="A36" i="1085" s="1"/>
  <c r="E36" i="1085" s="1"/>
  <c r="A54" i="1085" a="1"/>
  <c r="A54" i="1085" s="1"/>
  <c r="A221" i="1085" a="1"/>
  <c r="A221" i="1085" s="1"/>
  <c r="A114" i="1085" a="1"/>
  <c r="A114" i="1085" s="1"/>
  <c r="A93" i="1085" a="1"/>
  <c r="A93" i="1085" s="1"/>
  <c r="A194" i="1085" a="1"/>
  <c r="A194" i="1085" s="1"/>
  <c r="A211" i="1085" a="1"/>
  <c r="A211" i="1085" s="1"/>
  <c r="A158" i="1085" a="1"/>
  <c r="A158" i="1085" s="1"/>
  <c r="A141" i="1085" a="1"/>
  <c r="A141" i="1085" s="1"/>
  <c r="E141" i="1085" s="1"/>
  <c r="A86" i="1085" a="1"/>
  <c r="A86" i="1085" s="1"/>
  <c r="B86" i="1085" s="1"/>
  <c r="A52" i="1085" a="1"/>
  <c r="A52" i="1085" s="1"/>
  <c r="A236" i="1085" a="1"/>
  <c r="A236" i="1085" s="1"/>
  <c r="A167" i="1085" a="1"/>
  <c r="A167" i="1085" s="1"/>
  <c r="F167" i="1085" s="1"/>
  <c r="A178" i="1085" a="1"/>
  <c r="A178" i="1085" s="1"/>
  <c r="A112" i="1085" a="1"/>
  <c r="A112" i="1085" s="1"/>
  <c r="K112" i="1085" s="1" a="1"/>
  <c r="K112" i="1085" s="1"/>
  <c r="A145" i="1085" a="1"/>
  <c r="A145" i="1085" s="1"/>
  <c r="A222" i="1085" a="1"/>
  <c r="A222" i="1085" s="1"/>
  <c r="H222" i="1085" s="1"/>
  <c r="A58" i="1085" a="1"/>
  <c r="A58" i="1085" s="1"/>
  <c r="A20" i="1085" a="1"/>
  <c r="A20" i="1085" s="1"/>
  <c r="A80" i="1085" a="1"/>
  <c r="A80" i="1085" s="1"/>
  <c r="A224" i="1085" a="1"/>
  <c r="A224" i="1085" s="1"/>
  <c r="A208" i="1085" a="1"/>
  <c r="A208" i="1085" s="1"/>
  <c r="A88" i="1085" a="1"/>
  <c r="A88" i="1085" s="1"/>
  <c r="C88" i="1085" s="1"/>
  <c r="A233" i="1085" a="1"/>
  <c r="A233" i="1085" s="1"/>
  <c r="B233" i="1085" s="1"/>
  <c r="A100" i="1085" a="1"/>
  <c r="A100" i="1085" s="1"/>
  <c r="B100" i="1085" s="1"/>
  <c r="A28" i="1085" a="1"/>
  <c r="A28" i="1085" s="1"/>
  <c r="E28" i="1085" s="1"/>
  <c r="A77" i="1085" a="1"/>
  <c r="A77" i="1085" s="1"/>
  <c r="H77" i="1085" s="1"/>
  <c r="A125" i="1085" a="1"/>
  <c r="A125" i="1085" s="1"/>
  <c r="E125" i="1085" s="1"/>
  <c r="A34" i="1085" a="1"/>
  <c r="A34" i="1085" s="1"/>
  <c r="E34" i="1085" s="1"/>
  <c r="A199" i="1085" a="1"/>
  <c r="A199" i="1085" s="1"/>
  <c r="K199" i="1085" s="1" a="1"/>
  <c r="K199" i="1085" s="1"/>
  <c r="A134" i="1085" a="1"/>
  <c r="A134" i="1085" s="1"/>
  <c r="E134" i="1085" s="1"/>
  <c r="A62" i="1085" a="1"/>
  <c r="A62" i="1085" s="1"/>
  <c r="A65" i="1085" a="1"/>
  <c r="A65" i="1085" s="1"/>
  <c r="A151" i="1085" a="1"/>
  <c r="A151" i="1085" s="1"/>
  <c r="A226" i="1085" a="1"/>
  <c r="A226" i="1085" s="1"/>
  <c r="A229" i="1085" a="1"/>
  <c r="A229" i="1085" s="1"/>
  <c r="A90" i="1085" a="1"/>
  <c r="A90" i="1085" s="1"/>
  <c r="A98" i="1085" a="1"/>
  <c r="A98" i="1085" s="1"/>
  <c r="A102" i="1085" a="1"/>
  <c r="A102" i="1085" s="1"/>
  <c r="B102" i="1085" s="1"/>
  <c r="A228" i="1085" a="1"/>
  <c r="A228" i="1085" s="1"/>
  <c r="B228" i="1085" s="1"/>
  <c r="A173" i="1085" a="1"/>
  <c r="A173" i="1085" s="1"/>
  <c r="J173" i="1085" s="1" a="1"/>
  <c r="J173" i="1085" s="1"/>
  <c r="A161" i="1085" a="1"/>
  <c r="A161" i="1085" s="1"/>
  <c r="B161" i="1085" s="1"/>
  <c r="A70" i="1085" a="1"/>
  <c r="A70" i="1085" s="1"/>
  <c r="B70" i="1085" s="1"/>
  <c r="A123" i="1085" a="1"/>
  <c r="A123" i="1085" s="1"/>
  <c r="J123" i="1085" s="1" a="1"/>
  <c r="J123" i="1085" s="1"/>
  <c r="A157" i="1085" a="1"/>
  <c r="A157" i="1085" s="1"/>
  <c r="K157" i="1085" s="1" a="1"/>
  <c r="K157" i="1085" s="1"/>
  <c r="A17" i="1085" a="1"/>
  <c r="A17" i="1085" s="1"/>
  <c r="H17" i="1085" s="1"/>
  <c r="A124" i="1085" a="1"/>
  <c r="A124" i="1085" s="1"/>
  <c r="C124" i="1085" s="1"/>
  <c r="A231" i="1085" a="1"/>
  <c r="A231" i="1085" s="1"/>
  <c r="A76" i="1085" a="1"/>
  <c r="A76" i="1085" s="1"/>
  <c r="B76" i="1085" s="1"/>
  <c r="A139" i="1085" a="1"/>
  <c r="A139" i="1085" s="1"/>
  <c r="H139" i="1085" s="1"/>
  <c r="A244" i="1085" a="1"/>
  <c r="A244" i="1085" s="1"/>
  <c r="A247" i="1085" a="1"/>
  <c r="A247" i="1085" s="1"/>
  <c r="C247" i="1085" s="1"/>
  <c r="A179" i="1085" a="1"/>
  <c r="A179" i="1085" s="1"/>
  <c r="E179" i="1085" s="1"/>
  <c r="A40" i="1085" a="1"/>
  <c r="A40" i="1085" s="1"/>
  <c r="A204" i="1085" a="1"/>
  <c r="A204" i="1085" s="1"/>
  <c r="E204" i="1085" s="1"/>
  <c r="A238" i="1085" a="1"/>
  <c r="A238" i="1085" s="1"/>
  <c r="B238" i="1085" s="1"/>
  <c r="A95" i="1085" a="1"/>
  <c r="A95" i="1085" s="1"/>
  <c r="E95" i="1085" s="1"/>
  <c r="A168" i="1085" a="1"/>
  <c r="A168" i="1085" s="1"/>
  <c r="E168" i="1085" s="1"/>
  <c r="A30" i="1085" a="1"/>
  <c r="A30" i="1085" s="1"/>
  <c r="F30" i="1085" s="1"/>
  <c r="A29" i="1085" a="1"/>
  <c r="A29" i="1085" s="1"/>
  <c r="F29" i="1085" s="1"/>
  <c r="A210" i="1085" a="1"/>
  <c r="A210" i="1085" s="1"/>
  <c r="H210" i="1085" s="1"/>
  <c r="A163" i="1085" a="1"/>
  <c r="A163" i="1085" s="1"/>
  <c r="C163" i="1085" s="1"/>
  <c r="A24" i="1085" a="1"/>
  <c r="A24" i="1085" s="1"/>
  <c r="H24" i="1085" s="1"/>
  <c r="A64" i="1085" a="1"/>
  <c r="A64" i="1085" s="1"/>
  <c r="A197" i="1085" a="1"/>
  <c r="A197" i="1085" s="1"/>
  <c r="H197" i="1085" s="1"/>
  <c r="A191" i="1085" a="1"/>
  <c r="A191" i="1085" s="1"/>
  <c r="B191" i="1085" s="1"/>
  <c r="A37" i="1085" a="1"/>
  <c r="A37" i="1085" s="1"/>
  <c r="E37" i="1085" s="1"/>
  <c r="A177" i="1085" a="1"/>
  <c r="A177" i="1085" s="1"/>
  <c r="E177" i="1085" s="1"/>
  <c r="A164" i="1085" a="1"/>
  <c r="A164" i="1085" s="1"/>
  <c r="F164" i="1085" s="1"/>
  <c r="A131" i="1085" a="1"/>
  <c r="A131" i="1085" s="1"/>
  <c r="A26" i="1085" a="1"/>
  <c r="A26" i="1085" s="1"/>
  <c r="J26" i="1085" s="1" a="1"/>
  <c r="J26" i="1085" s="1"/>
  <c r="A71" i="1085" a="1"/>
  <c r="A71" i="1085" s="1"/>
  <c r="E71" i="1085" s="1"/>
  <c r="A170" i="1085" a="1"/>
  <c r="A170" i="1085" s="1"/>
  <c r="E170" i="1085" s="1"/>
  <c r="A159" i="1085" a="1"/>
  <c r="A159" i="1085" s="1"/>
  <c r="J159" i="1085" s="1" a="1"/>
  <c r="J159" i="1085" s="1"/>
  <c r="A89" i="1085" a="1"/>
  <c r="A89" i="1085" s="1"/>
  <c r="E89" i="1085" s="1"/>
  <c r="A156" i="1085" a="1"/>
  <c r="A156" i="1085" s="1"/>
  <c r="J156" i="1085" s="1" a="1"/>
  <c r="J156" i="1085" s="1"/>
  <c r="A241" i="1085" a="1"/>
  <c r="A241" i="1085" s="1"/>
  <c r="F241" i="1085" s="1"/>
  <c r="A243" i="1085" a="1"/>
  <c r="A243" i="1085" s="1"/>
  <c r="K243" i="1085" s="1" a="1"/>
  <c r="K243" i="1085" s="1"/>
  <c r="A39" i="1085" a="1"/>
  <c r="A39" i="1085" s="1"/>
  <c r="J39" i="1085" s="1" a="1"/>
  <c r="J39" i="1085" s="1"/>
  <c r="A75" i="1085" a="1"/>
  <c r="A75" i="1085" s="1"/>
  <c r="H75" i="1085" s="1"/>
  <c r="A113" i="1085" a="1"/>
  <c r="A113" i="1085" s="1"/>
  <c r="H113" i="1085" s="1"/>
  <c r="A212" i="1085" a="1"/>
  <c r="A212" i="1085" s="1"/>
  <c r="E212" i="1085" s="1"/>
  <c r="A176" i="1085" a="1"/>
  <c r="A176" i="1085" s="1"/>
  <c r="B176" i="1085" s="1"/>
  <c r="A234" i="1085" a="1"/>
  <c r="A234" i="1085" s="1"/>
  <c r="B234" i="1085" s="1"/>
  <c r="A45" i="1085" a="1"/>
  <c r="A45" i="1085" s="1"/>
  <c r="E45" i="1085" s="1"/>
  <c r="A55" i="1085" a="1"/>
  <c r="A55" i="1085" s="1"/>
  <c r="A220" i="1085" a="1"/>
  <c r="A220" i="1085" s="1"/>
  <c r="J220" i="1085" s="1" a="1"/>
  <c r="J220" i="1085" s="1"/>
  <c r="A165" i="1085" a="1"/>
  <c r="A165" i="1085" s="1"/>
  <c r="K165" i="1085" s="1" a="1"/>
  <c r="K165" i="1085" s="1"/>
  <c r="A46" i="1085" a="1"/>
  <c r="A46" i="1085" s="1"/>
  <c r="F46" i="1085" s="1"/>
  <c r="A53" i="1085" a="1"/>
  <c r="A53" i="1085" s="1"/>
  <c r="E53" i="1085" s="1"/>
  <c r="A105" i="1085" a="1"/>
  <c r="A105" i="1085" s="1"/>
  <c r="J105" i="1085" s="1" a="1"/>
  <c r="J105" i="1085" s="1"/>
  <c r="A146" i="1085" a="1"/>
  <c r="A146" i="1085" s="1"/>
  <c r="B146" i="1085" s="1"/>
  <c r="A48" i="1085" a="1"/>
  <c r="A48" i="1085" s="1"/>
  <c r="B48" i="1085" s="1"/>
  <c r="A59" i="1085" a="1"/>
  <c r="A59" i="1085" s="1"/>
  <c r="F59" i="1085" s="1"/>
  <c r="A154" i="1085" a="1"/>
  <c r="A154" i="1085" s="1"/>
  <c r="H154" i="1085" s="1"/>
  <c r="A69" i="1085" a="1"/>
  <c r="A69" i="1085" s="1"/>
  <c r="B69" i="1085" s="1"/>
  <c r="A79" i="1085" a="1"/>
  <c r="A79" i="1085" s="1"/>
  <c r="H79" i="1085" s="1"/>
  <c r="A91" i="1085" a="1"/>
  <c r="A91" i="1085" s="1"/>
  <c r="D91" i="1085" s="1"/>
  <c r="A184" i="1085" a="1"/>
  <c r="A184" i="1085" s="1"/>
  <c r="H184" i="1085" s="1"/>
  <c r="A108" i="1085" a="1"/>
  <c r="A108" i="1085" s="1"/>
  <c r="J108" i="1085" s="1" a="1"/>
  <c r="J108" i="1085" s="1"/>
  <c r="A205" i="1085" a="1"/>
  <c r="A205" i="1085" s="1"/>
  <c r="D205" i="1085" s="1"/>
  <c r="A22" i="1085" a="1"/>
  <c r="A22" i="1085" s="1"/>
  <c r="F22" i="1085" s="1"/>
  <c r="A214" i="1085" a="1"/>
  <c r="A214" i="1085" s="1"/>
  <c r="E214" i="1085" s="1"/>
  <c r="A219" i="1085" a="1"/>
  <c r="A219" i="1085" s="1"/>
  <c r="C219" i="1085" s="1"/>
  <c r="A111" i="1085" a="1"/>
  <c r="A111" i="1085" s="1"/>
  <c r="E111" i="1085" s="1"/>
  <c r="A187" i="1085" a="1"/>
  <c r="A187" i="1085" s="1"/>
  <c r="E187" i="1085" s="1"/>
  <c r="A189" i="1085" a="1"/>
  <c r="A189" i="1085" s="1"/>
  <c r="D189" i="1085" s="1"/>
  <c r="A181" i="1085" a="1"/>
  <c r="A181" i="1085" s="1"/>
  <c r="F181" i="1085" s="1"/>
  <c r="A31" i="1085" a="1"/>
  <c r="A31" i="1085" s="1"/>
  <c r="J31" i="1085" s="1" a="1"/>
  <c r="J31" i="1085" s="1"/>
  <c r="A166" i="1085" a="1"/>
  <c r="A166" i="1085" s="1"/>
  <c r="C166" i="1085" s="1"/>
  <c r="A57" i="1085" a="1"/>
  <c r="A57" i="1085" s="1"/>
  <c r="J57" i="1085" s="1" a="1"/>
  <c r="J57" i="1085" s="1"/>
  <c r="A47" i="1085" a="1"/>
  <c r="A47" i="1085" s="1"/>
  <c r="K47" i="1085" s="1" a="1"/>
  <c r="K47" i="1085" s="1"/>
  <c r="A160" i="1085" a="1"/>
  <c r="A160" i="1085" s="1"/>
  <c r="C160" i="1085" s="1"/>
  <c r="A103" i="1085" a="1"/>
  <c r="A103" i="1085" s="1"/>
  <c r="H103" i="1085" s="1"/>
  <c r="A232" i="1085" a="1"/>
  <c r="A232" i="1085" s="1"/>
  <c r="C232" i="1085" s="1"/>
  <c r="A133" i="1085" a="1"/>
  <c r="A133" i="1085" s="1"/>
  <c r="E133" i="1085" s="1"/>
  <c r="A235" i="1085" a="1"/>
  <c r="A235" i="1085" s="1"/>
  <c r="H235" i="1085" s="1"/>
  <c r="A203" i="1085" a="1"/>
  <c r="A203" i="1085" s="1"/>
  <c r="H203" i="1085" s="1"/>
  <c r="A207" i="1085" a="1"/>
  <c r="A207" i="1085" s="1"/>
  <c r="H207" i="1085" s="1"/>
  <c r="A216" i="1085" a="1"/>
  <c r="A216" i="1085" s="1"/>
  <c r="F216" i="1085" s="1"/>
  <c r="A135" i="1085" a="1"/>
  <c r="A135" i="1085" s="1"/>
  <c r="K135" i="1085" s="1" a="1"/>
  <c r="K135" i="1085" s="1"/>
  <c r="A23" i="1085" a="1"/>
  <c r="A23" i="1085" s="1"/>
  <c r="E23" i="1085" s="1"/>
  <c r="A140" i="1085" a="1"/>
  <c r="A140" i="1085" s="1"/>
  <c r="K140" i="1085" s="1" a="1"/>
  <c r="K140" i="1085" s="1"/>
  <c r="A50" i="1085" a="1"/>
  <c r="A50" i="1085" s="1"/>
  <c r="H50" i="1085" s="1"/>
  <c r="A63" i="1085" a="1"/>
  <c r="A63" i="1085" s="1"/>
  <c r="E63" i="1085" s="1"/>
  <c r="A92" i="1085" a="1"/>
  <c r="A92" i="1085" s="1"/>
  <c r="F92" i="1085" s="1"/>
  <c r="A240" i="1085" a="1"/>
  <c r="A240" i="1085" s="1"/>
  <c r="D240" i="1085" s="1"/>
  <c r="A218" i="1085" a="1"/>
  <c r="A218" i="1085" s="1"/>
  <c r="J218" i="1085" s="1" a="1"/>
  <c r="J218" i="1085" s="1"/>
  <c r="F9" i="1030"/>
  <c r="H14" i="1030" s="1"/>
  <c r="I14" i="1030" s="1"/>
  <c r="A84" i="1085" a="1"/>
  <c r="A84" i="1085" s="1"/>
  <c r="B84" i="1085" s="1"/>
  <c r="A245" i="1085" a="1"/>
  <c r="A245" i="1085" s="1"/>
  <c r="D245" i="1085" s="1"/>
  <c r="A237" i="1085" a="1"/>
  <c r="A237" i="1085" s="1"/>
  <c r="F237" i="1085" s="1"/>
  <c r="A162" i="1085" a="1"/>
  <c r="A162" i="1085" s="1"/>
  <c r="F162" i="1085" s="1"/>
  <c r="A107" i="1085" a="1"/>
  <c r="A107" i="1085" s="1"/>
  <c r="F107" i="1085" s="1"/>
  <c r="A10" i="1085" a="1"/>
  <c r="A10" i="1085" s="1"/>
  <c r="J10" i="1085" s="1" a="1"/>
  <c r="J10" i="1085" s="1"/>
  <c r="A13" i="1085" a="1"/>
  <c r="A13" i="1085" s="1"/>
  <c r="J13" i="1085" s="1" a="1"/>
  <c r="J13" i="1085" s="1"/>
  <c r="A42" i="1085" a="1"/>
  <c r="A42" i="1085" s="1"/>
  <c r="H42" i="1085" s="1"/>
  <c r="A33" i="1085" a="1"/>
  <c r="A33" i="1085" s="1"/>
  <c r="D33" i="1085" s="1"/>
  <c r="A182" i="1085" a="1"/>
  <c r="A182" i="1085" s="1"/>
  <c r="D182" i="1085" s="1"/>
  <c r="A185" i="1085" a="1"/>
  <c r="A185" i="1085" s="1"/>
  <c r="B185" i="1085" s="1"/>
  <c r="A106" i="1085" a="1"/>
  <c r="A106" i="1085" s="1"/>
  <c r="E106" i="1085" s="1"/>
  <c r="A51" i="1085" a="1"/>
  <c r="A51" i="1085" s="1"/>
  <c r="K51" i="1085" s="1" a="1"/>
  <c r="K51" i="1085" s="1"/>
  <c r="A66" i="1085" a="1"/>
  <c r="A66" i="1085" s="1"/>
  <c r="K66" i="1085" s="1" a="1"/>
  <c r="K66" i="1085" s="1"/>
  <c r="A143" i="1085" a="1"/>
  <c r="A143" i="1085" s="1"/>
  <c r="H143" i="1085" s="1"/>
  <c r="A190" i="1085" a="1"/>
  <c r="A190" i="1085" s="1"/>
  <c r="D190" i="1085" s="1"/>
  <c r="A120" i="1085" a="1"/>
  <c r="A120" i="1085" s="1"/>
  <c r="D120" i="1085" s="1"/>
  <c r="A155" i="1085" a="1"/>
  <c r="A155" i="1085" s="1"/>
  <c r="H155" i="1085" s="1"/>
  <c r="A117" i="1085" a="1"/>
  <c r="A117" i="1085" s="1"/>
  <c r="F117" i="1085" s="1"/>
  <c r="A116" i="1085" a="1"/>
  <c r="A116" i="1085" s="1"/>
  <c r="B116" i="1085" s="1"/>
  <c r="A150" i="1085" a="1"/>
  <c r="A150" i="1085" s="1"/>
  <c r="C150" i="1085" s="1"/>
  <c r="A180" i="1085" a="1"/>
  <c r="A180" i="1085" s="1"/>
  <c r="J180" i="1085" s="1" a="1"/>
  <c r="J180" i="1085" s="1"/>
  <c r="A61" i="1085" a="1"/>
  <c r="A61" i="1085" s="1"/>
  <c r="F61" i="1085" s="1"/>
  <c r="A83" i="1085" a="1"/>
  <c r="A83" i="1085" s="1"/>
  <c r="J83" i="1085" s="1" a="1"/>
  <c r="J83" i="1085" s="1"/>
  <c r="A94" i="1085" a="1"/>
  <c r="A94" i="1085" s="1"/>
  <c r="H94" i="1085" s="1"/>
  <c r="A209" i="1085" a="1"/>
  <c r="A209" i="1085" s="1"/>
  <c r="E209" i="1085" s="1"/>
  <c r="A246" i="1085" a="1"/>
  <c r="A246" i="1085" s="1"/>
  <c r="B246" i="1085" s="1"/>
  <c r="A97" i="1085" a="1"/>
  <c r="A97" i="1085" s="1"/>
  <c r="E97" i="1085" s="1"/>
  <c r="A202" i="1085" a="1"/>
  <c r="A202" i="1085" s="1"/>
  <c r="C202" i="1085" s="1"/>
  <c r="A101" i="1085" a="1"/>
  <c r="A101" i="1085" s="1"/>
  <c r="K101" i="1085" s="1" a="1"/>
  <c r="K101" i="1085" s="1"/>
  <c r="A72" i="1085" a="1"/>
  <c r="A72" i="1085" s="1"/>
  <c r="C72" i="1085" s="1"/>
  <c r="A78" i="1085" a="1"/>
  <c r="A78" i="1085" s="1"/>
  <c r="H78" i="1085" s="1"/>
  <c r="A248" i="1085" a="1"/>
  <c r="A248" i="1085" s="1"/>
  <c r="C248" i="1085" s="1"/>
  <c r="A215" i="1085" a="1"/>
  <c r="A215" i="1085" s="1"/>
  <c r="E215" i="1085" s="1"/>
  <c r="A149" i="1085" a="1"/>
  <c r="A149" i="1085" s="1"/>
  <c r="F149" i="1085" s="1"/>
  <c r="A41" i="1085" a="1"/>
  <c r="A41" i="1085" s="1"/>
  <c r="J41" i="1085" s="1" a="1"/>
  <c r="J41" i="1085" s="1"/>
  <c r="A195" i="1085" a="1"/>
  <c r="A195" i="1085" s="1"/>
  <c r="H195" i="1085" s="1"/>
  <c r="A206" i="1085" a="1"/>
  <c r="A206" i="1085" s="1"/>
  <c r="F206" i="1085" s="1"/>
  <c r="A81" i="1085" a="1"/>
  <c r="A81" i="1085" s="1"/>
  <c r="B81" i="1085" s="1"/>
  <c r="A73" i="1085" a="1"/>
  <c r="A73" i="1085" s="1"/>
  <c r="C73" i="1085" s="1"/>
  <c r="A118" i="1085" a="1"/>
  <c r="A118" i="1085" s="1"/>
  <c r="B118" i="1085" s="1"/>
  <c r="A67" i="1085" a="1"/>
  <c r="A67" i="1085" s="1"/>
  <c r="K67" i="1085" s="1" a="1"/>
  <c r="K67" i="1085" s="1"/>
  <c r="A225" i="1085" a="1"/>
  <c r="A225" i="1085" s="1"/>
  <c r="D225" i="1085" s="1"/>
  <c r="A11" i="1085" a="1"/>
  <c r="A11" i="1085" s="1"/>
  <c r="E11" i="1085" s="1"/>
  <c r="A127" i="1085" a="1"/>
  <c r="A127" i="1085" s="1"/>
  <c r="K127" i="1085" s="1" a="1"/>
  <c r="K127" i="1085" s="1"/>
  <c r="A183" i="1085" a="1"/>
  <c r="A183" i="1085" s="1"/>
  <c r="J183" i="1085" s="1" a="1"/>
  <c r="J183" i="1085" s="1"/>
  <c r="A35" i="1085" a="1"/>
  <c r="A35" i="1085" s="1"/>
  <c r="D35" i="1085" s="1"/>
  <c r="A196" i="1085" a="1"/>
  <c r="A196" i="1085" s="1"/>
  <c r="K196" i="1085" s="1" a="1"/>
  <c r="K196" i="1085" s="1"/>
  <c r="A174" i="1085" a="1"/>
  <c r="A174" i="1085" s="1"/>
  <c r="C174" i="1085" s="1"/>
  <c r="A12" i="1085" a="1"/>
  <c r="A12" i="1085" s="1"/>
  <c r="J12" i="1085" s="1" a="1"/>
  <c r="J12" i="1085" s="1"/>
  <c r="A128" i="1085" a="1"/>
  <c r="A128" i="1085" s="1"/>
  <c r="E128" i="1085" s="1"/>
  <c r="A60" i="1085" a="1"/>
  <c r="A60" i="1085" s="1"/>
  <c r="H60" i="1085" s="1"/>
  <c r="A15" i="1085" a="1"/>
  <c r="A15" i="1085" s="1"/>
  <c r="D15" i="1085" s="1"/>
  <c r="A217" i="1085" a="1"/>
  <c r="A217" i="1085" s="1"/>
  <c r="B217" i="1085" s="1"/>
  <c r="A49" i="1085" a="1"/>
  <c r="A49" i="1085" s="1"/>
  <c r="B49" i="1085" s="1"/>
  <c r="A115" i="1085" a="1"/>
  <c r="A115" i="1085" s="1"/>
  <c r="E115" i="1085" s="1"/>
  <c r="A99" i="1085" a="1"/>
  <c r="A99" i="1085" s="1"/>
  <c r="K99" i="1085" s="1" a="1"/>
  <c r="K99" i="1085" s="1"/>
  <c r="A192" i="1085" a="1"/>
  <c r="A192" i="1085" s="1"/>
  <c r="K192" i="1085" s="1" a="1"/>
  <c r="K192" i="1085" s="1"/>
  <c r="A18" i="1085" a="1"/>
  <c r="A18" i="1085" s="1"/>
  <c r="K18" i="1085" s="1" a="1"/>
  <c r="K18" i="1085" s="1"/>
  <c r="A242" i="1085" a="1"/>
  <c r="A242" i="1085" s="1"/>
  <c r="F242" i="1085" s="1"/>
  <c r="A132" i="1085" a="1"/>
  <c r="A132" i="1085" s="1"/>
  <c r="C132" i="1085" s="1"/>
  <c r="A198" i="1085" a="1"/>
  <c r="A198" i="1085" s="1"/>
  <c r="B198" i="1085" s="1"/>
  <c r="A213" i="1085" a="1"/>
  <c r="A213" i="1085" s="1"/>
  <c r="C213" i="1085" s="1"/>
  <c r="A9" i="1085" a="1"/>
  <c r="A9" i="1085" s="1"/>
  <c r="H9" i="1085" s="1"/>
  <c r="A227" i="1085" a="1"/>
  <c r="A227" i="1085" s="1"/>
  <c r="B227" i="1085" s="1"/>
  <c r="A223" i="1085" a="1"/>
  <c r="A223" i="1085" s="1"/>
  <c r="C223" i="1085" s="1"/>
  <c r="A25" i="1085" a="1"/>
  <c r="A25" i="1085" s="1"/>
  <c r="D25" i="1085" s="1"/>
  <c r="I25" i="1046"/>
  <c r="I28" i="1046" s="1"/>
  <c r="E85" i="1085"/>
  <c r="D85" i="1085"/>
  <c r="J85" i="1085" a="1"/>
  <c r="J85" i="1085" s="1"/>
  <c r="B85" i="1085"/>
  <c r="F85" i="1085"/>
  <c r="C85" i="1085"/>
  <c r="H85" i="1085"/>
  <c r="K85" i="1085" a="1"/>
  <c r="K85" i="1085" s="1"/>
  <c r="E158" i="1085"/>
  <c r="F158" i="1085"/>
  <c r="B158" i="1085"/>
  <c r="K158" i="1085" a="1"/>
  <c r="K158" i="1085" s="1"/>
  <c r="D158" i="1085"/>
  <c r="H158" i="1085"/>
  <c r="J158" i="1085" a="1"/>
  <c r="J158" i="1085" s="1"/>
  <c r="C158" i="1085"/>
  <c r="E121" i="1085"/>
  <c r="F121" i="1085"/>
  <c r="C121" i="1085"/>
  <c r="B121" i="1085"/>
  <c r="J121" i="1085" a="1"/>
  <c r="J121" i="1085" s="1"/>
  <c r="K121" i="1085" a="1"/>
  <c r="K121" i="1085" s="1"/>
  <c r="D121" i="1085"/>
  <c r="H121" i="1085"/>
  <c r="J14" i="1085" a="1"/>
  <c r="J14" i="1085" s="1"/>
  <c r="D14" i="1085"/>
  <c r="K14" i="1085" a="1"/>
  <c r="K14" i="1085" s="1"/>
  <c r="C14" i="1085"/>
  <c r="B14" i="1085"/>
  <c r="F14" i="1085"/>
  <c r="H14" i="1085"/>
  <c r="E14" i="1085"/>
  <c r="F138" i="1085"/>
  <c r="K138" i="1085" a="1"/>
  <c r="K138" i="1085" s="1"/>
  <c r="D138" i="1085"/>
  <c r="J138" i="1085" a="1"/>
  <c r="J138" i="1085" s="1"/>
  <c r="H138" i="1085"/>
  <c r="C138" i="1085"/>
  <c r="E138" i="1085"/>
  <c r="B138" i="1085"/>
  <c r="B21" i="1085"/>
  <c r="C21" i="1085"/>
  <c r="H21" i="1085"/>
  <c r="D21" i="1085"/>
  <c r="E21" i="1085"/>
  <c r="J21" i="1085" a="1"/>
  <c r="J21" i="1085" s="1"/>
  <c r="K21" i="1085" a="1"/>
  <c r="K21" i="1085" s="1"/>
  <c r="F21" i="1085"/>
  <c r="J112" i="1085" a="1"/>
  <c r="J112" i="1085" s="1"/>
  <c r="H112" i="1085"/>
  <c r="F112" i="1085"/>
  <c r="J46" i="1085" a="1"/>
  <c r="J46" i="1085" s="1"/>
  <c r="C111" i="1085"/>
  <c r="E54" i="1085"/>
  <c r="J54" i="1085" a="1"/>
  <c r="J54" i="1085" s="1"/>
  <c r="H54" i="1085"/>
  <c r="C54" i="1085"/>
  <c r="B54" i="1085"/>
  <c r="F54" i="1085"/>
  <c r="K54" i="1085" a="1"/>
  <c r="K54" i="1085" s="1"/>
  <c r="D54" i="1085"/>
  <c r="E201" i="1085"/>
  <c r="K201" i="1085" a="1"/>
  <c r="K201" i="1085" s="1"/>
  <c r="B201" i="1085"/>
  <c r="F201" i="1085"/>
  <c r="J201" i="1085" a="1"/>
  <c r="J201" i="1085" s="1"/>
  <c r="D201" i="1085"/>
  <c r="H201" i="1085"/>
  <c r="C201" i="1085"/>
  <c r="H74" i="1085"/>
  <c r="E74" i="1085"/>
  <c r="J74" i="1085" a="1"/>
  <c r="J74" i="1085" s="1"/>
  <c r="D74" i="1085"/>
  <c r="C74" i="1085"/>
  <c r="B74" i="1085"/>
  <c r="K74" i="1085" a="1"/>
  <c r="K74" i="1085" s="1"/>
  <c r="F74" i="1085"/>
  <c r="F96" i="1085"/>
  <c r="H96" i="1085"/>
  <c r="E96" i="1085"/>
  <c r="J96" i="1085" a="1"/>
  <c r="J96" i="1085" s="1"/>
  <c r="D96" i="1085"/>
  <c r="C96" i="1085"/>
  <c r="K96" i="1085" a="1"/>
  <c r="K96" i="1085" s="1"/>
  <c r="B96" i="1085"/>
  <c r="C236" i="1085"/>
  <c r="E236" i="1085"/>
  <c r="D236" i="1085"/>
  <c r="K236" i="1085" a="1"/>
  <c r="K236" i="1085" s="1"/>
  <c r="H236" i="1085"/>
  <c r="B236" i="1085"/>
  <c r="J236" i="1085" a="1"/>
  <c r="J236" i="1085" s="1"/>
  <c r="F236" i="1085"/>
  <c r="E114" i="1085"/>
  <c r="H114" i="1085"/>
  <c r="B114" i="1085"/>
  <c r="K114" i="1085" a="1"/>
  <c r="K114" i="1085" s="1"/>
  <c r="J114" i="1085" a="1"/>
  <c r="J114" i="1085" s="1"/>
  <c r="C114" i="1085"/>
  <c r="F114" i="1085"/>
  <c r="D114" i="1085"/>
  <c r="H145" i="1085"/>
  <c r="E145" i="1085"/>
  <c r="F145" i="1085"/>
  <c r="K145" i="1085" a="1"/>
  <c r="K145" i="1085" s="1"/>
  <c r="D145" i="1085"/>
  <c r="C145" i="1085"/>
  <c r="J145" i="1085" a="1"/>
  <c r="J145" i="1085" s="1"/>
  <c r="B145" i="1085"/>
  <c r="E22" i="1085"/>
  <c r="J167" i="1085" a="1"/>
  <c r="J167" i="1085" s="1"/>
  <c r="H167" i="1085"/>
  <c r="K167" i="1085" a="1"/>
  <c r="K167" i="1085" s="1"/>
  <c r="C167" i="1085"/>
  <c r="E167" i="1085"/>
  <c r="J93" i="1085" a="1"/>
  <c r="J93" i="1085" s="1"/>
  <c r="E93" i="1085"/>
  <c r="B93" i="1085"/>
  <c r="K93" i="1085" a="1"/>
  <c r="K93" i="1085" s="1"/>
  <c r="D93" i="1085"/>
  <c r="C93" i="1085"/>
  <c r="F93" i="1085"/>
  <c r="H93" i="1085"/>
  <c r="K90" i="1085" a="1"/>
  <c r="K90" i="1085" s="1"/>
  <c r="E90" i="1085"/>
  <c r="B90" i="1085"/>
  <c r="H90" i="1085"/>
  <c r="C90" i="1085"/>
  <c r="F90" i="1085"/>
  <c r="D90" i="1085"/>
  <c r="J90" i="1085" a="1"/>
  <c r="J90" i="1085" s="1"/>
  <c r="J226" i="1085" a="1"/>
  <c r="J226" i="1085" s="1"/>
  <c r="D226" i="1085"/>
  <c r="H226" i="1085"/>
  <c r="F226" i="1085"/>
  <c r="E226" i="1085"/>
  <c r="C226" i="1085"/>
  <c r="B226" i="1085"/>
  <c r="K226" i="1085" a="1"/>
  <c r="K226" i="1085" s="1"/>
  <c r="F95" i="1085"/>
  <c r="C15" i="1085"/>
  <c r="C110" i="1085"/>
  <c r="H110" i="1085"/>
  <c r="F110" i="1085"/>
  <c r="E110" i="1085"/>
  <c r="D110" i="1085"/>
  <c r="B110" i="1085"/>
  <c r="J110" i="1085" a="1"/>
  <c r="J110" i="1085" s="1"/>
  <c r="K110" i="1085" a="1"/>
  <c r="K110" i="1085" s="1"/>
  <c r="H136" i="1085"/>
  <c r="E136" i="1085"/>
  <c r="D136" i="1085"/>
  <c r="B136" i="1085"/>
  <c r="F136" i="1085"/>
  <c r="K136" i="1085" a="1"/>
  <c r="K136" i="1085" s="1"/>
  <c r="J136" i="1085" a="1"/>
  <c r="J136" i="1085" s="1"/>
  <c r="C136" i="1085"/>
  <c r="E211" i="1085"/>
  <c r="F211" i="1085"/>
  <c r="B211" i="1085"/>
  <c r="J211" i="1085" a="1"/>
  <c r="J211" i="1085" s="1"/>
  <c r="K211" i="1085" a="1"/>
  <c r="K211" i="1085" s="1"/>
  <c r="C211" i="1085"/>
  <c r="D211" i="1085"/>
  <c r="H211" i="1085"/>
  <c r="F186" i="1085"/>
  <c r="H186" i="1085"/>
  <c r="C186" i="1085"/>
  <c r="E186" i="1085"/>
  <c r="K186" i="1085" a="1"/>
  <c r="K186" i="1085" s="1"/>
  <c r="D186" i="1085"/>
  <c r="J186" i="1085" a="1"/>
  <c r="J186" i="1085" s="1"/>
  <c r="B186" i="1085"/>
  <c r="E38" i="1085"/>
  <c r="D38" i="1085"/>
  <c r="F38" i="1085"/>
  <c r="J38" i="1085" a="1"/>
  <c r="J38" i="1085" s="1"/>
  <c r="H38" i="1085"/>
  <c r="C38" i="1085"/>
  <c r="K38" i="1085" a="1"/>
  <c r="K38" i="1085" s="1"/>
  <c r="B38" i="1085"/>
  <c r="E144" i="1085"/>
  <c r="K144" i="1085" a="1"/>
  <c r="K144" i="1085" s="1"/>
  <c r="D144" i="1085"/>
  <c r="J144" i="1085" a="1"/>
  <c r="J144" i="1085" s="1"/>
  <c r="H144" i="1085"/>
  <c r="F144" i="1085"/>
  <c r="B144" i="1085"/>
  <c r="C144" i="1085"/>
  <c r="F19" i="1085"/>
  <c r="K19" i="1085" a="1"/>
  <c r="K19" i="1085" s="1"/>
  <c r="C19" i="1085"/>
  <c r="H19" i="1085"/>
  <c r="E19" i="1085"/>
  <c r="D19" i="1085"/>
  <c r="B19" i="1085"/>
  <c r="J19" i="1085" a="1"/>
  <c r="J19" i="1085" s="1"/>
  <c r="K222" i="1085" a="1"/>
  <c r="K222" i="1085" s="1"/>
  <c r="D222" i="1085"/>
  <c r="J222" i="1085" a="1"/>
  <c r="J222" i="1085" s="1"/>
  <c r="K150" i="1085" a="1"/>
  <c r="K150" i="1085" s="1"/>
  <c r="E87" i="1085"/>
  <c r="J87" i="1085" a="1"/>
  <c r="J87" i="1085" s="1"/>
  <c r="C87" i="1085"/>
  <c r="F87" i="1085"/>
  <c r="D87" i="1085"/>
  <c r="H87" i="1085"/>
  <c r="B87" i="1085"/>
  <c r="K87" i="1085" a="1"/>
  <c r="K87" i="1085" s="1"/>
  <c r="F82" i="1085"/>
  <c r="E82" i="1085"/>
  <c r="B82" i="1085"/>
  <c r="C82" i="1085"/>
  <c r="K82" i="1085" a="1"/>
  <c r="K82" i="1085" s="1"/>
  <c r="J82" i="1085" a="1"/>
  <c r="J82" i="1085" s="1"/>
  <c r="H82" i="1085"/>
  <c r="D82" i="1085"/>
  <c r="E43" i="1085"/>
  <c r="B43" i="1085"/>
  <c r="K43" i="1085" a="1"/>
  <c r="K43" i="1085" s="1"/>
  <c r="J43" i="1085" a="1"/>
  <c r="J43" i="1085" s="1"/>
  <c r="D43" i="1085"/>
  <c r="F43" i="1085"/>
  <c r="H43" i="1085"/>
  <c r="C43" i="1085"/>
  <c r="E56" i="1085"/>
  <c r="D56" i="1085"/>
  <c r="J56" i="1085" a="1"/>
  <c r="J56" i="1085" s="1"/>
  <c r="K56" i="1085" a="1"/>
  <c r="K56" i="1085" s="1"/>
  <c r="F56" i="1085"/>
  <c r="H56" i="1085"/>
  <c r="C56" i="1085"/>
  <c r="B56" i="1085"/>
  <c r="E175" i="1085"/>
  <c r="C175" i="1085"/>
  <c r="D175" i="1085"/>
  <c r="J175" i="1085" a="1"/>
  <c r="J175" i="1085" s="1"/>
  <c r="K175" i="1085" a="1"/>
  <c r="K175" i="1085" s="1"/>
  <c r="F175" i="1085"/>
  <c r="H175" i="1085"/>
  <c r="B175" i="1085"/>
  <c r="C77" i="1085"/>
  <c r="H244" i="1085"/>
  <c r="E244" i="1085"/>
  <c r="F244" i="1085"/>
  <c r="C244" i="1085"/>
  <c r="J244" i="1085" a="1"/>
  <c r="J244" i="1085" s="1"/>
  <c r="K244" i="1085" a="1"/>
  <c r="K244" i="1085" s="1"/>
  <c r="B244" i="1085"/>
  <c r="D244" i="1085"/>
  <c r="K30" i="1085" a="1"/>
  <c r="K30" i="1085" s="1"/>
  <c r="C30" i="1085"/>
  <c r="F170" i="1085"/>
  <c r="H170" i="1085"/>
  <c r="E105" i="1085"/>
  <c r="F105" i="1085"/>
  <c r="C105" i="1085"/>
  <c r="B105" i="1085"/>
  <c r="D105" i="1085"/>
  <c r="E148" i="1085"/>
  <c r="B148" i="1085"/>
  <c r="F148" i="1085"/>
  <c r="D148" i="1085"/>
  <c r="J148" i="1085" a="1"/>
  <c r="J148" i="1085" s="1"/>
  <c r="K148" i="1085" a="1"/>
  <c r="K148" i="1085" s="1"/>
  <c r="C148" i="1085"/>
  <c r="H148" i="1085"/>
  <c r="J109" i="1085" a="1"/>
  <c r="J109" i="1085" s="1"/>
  <c r="E109" i="1085"/>
  <c r="C109" i="1085"/>
  <c r="B109" i="1085"/>
  <c r="F109" i="1085"/>
  <c r="K109" i="1085" a="1"/>
  <c r="K109" i="1085" s="1"/>
  <c r="D109" i="1085"/>
  <c r="H109" i="1085"/>
  <c r="C230" i="1085"/>
  <c r="K230" i="1085" a="1"/>
  <c r="K230" i="1085" s="1"/>
  <c r="D230" i="1085"/>
  <c r="F230" i="1085"/>
  <c r="B230" i="1085"/>
  <c r="H230" i="1085"/>
  <c r="E230" i="1085"/>
  <c r="J230" i="1085" a="1"/>
  <c r="J230" i="1085" s="1"/>
  <c r="E68" i="1085"/>
  <c r="J68" i="1085" a="1"/>
  <c r="J68" i="1085" s="1"/>
  <c r="F68" i="1085"/>
  <c r="C68" i="1085"/>
  <c r="B68" i="1085"/>
  <c r="D68" i="1085"/>
  <c r="K68" i="1085" a="1"/>
  <c r="K68" i="1085" s="1"/>
  <c r="H68" i="1085"/>
  <c r="H44" i="1085"/>
  <c r="D44" i="1085"/>
  <c r="E44" i="1085"/>
  <c r="K44" i="1085" a="1"/>
  <c r="K44" i="1085" s="1"/>
  <c r="J44" i="1085" a="1"/>
  <c r="J44" i="1085" s="1"/>
  <c r="F44" i="1085"/>
  <c r="C44" i="1085"/>
  <c r="B44" i="1085"/>
  <c r="F239" i="1085"/>
  <c r="K239" i="1085" a="1"/>
  <c r="K239" i="1085" s="1"/>
  <c r="E239" i="1085"/>
  <c r="C239" i="1085"/>
  <c r="B239" i="1085"/>
  <c r="J239" i="1085" a="1"/>
  <c r="J239" i="1085" s="1"/>
  <c r="D239" i="1085"/>
  <c r="H239" i="1085"/>
  <c r="F126" i="1085"/>
  <c r="D126" i="1085"/>
  <c r="E126" i="1085"/>
  <c r="B126" i="1085"/>
  <c r="J126" i="1085" a="1"/>
  <c r="J126" i="1085" s="1"/>
  <c r="K126" i="1085" a="1"/>
  <c r="K126" i="1085" s="1"/>
  <c r="H126" i="1085"/>
  <c r="C126" i="1085"/>
  <c r="H141" i="1085"/>
  <c r="C141" i="1085"/>
  <c r="J141" i="1085" a="1"/>
  <c r="J141" i="1085" s="1"/>
  <c r="H58" i="1085"/>
  <c r="E58" i="1085"/>
  <c r="J58" i="1085" a="1"/>
  <c r="J58" i="1085" s="1"/>
  <c r="D58" i="1085"/>
  <c r="B58" i="1085"/>
  <c r="K58" i="1085" a="1"/>
  <c r="K58" i="1085" s="1"/>
  <c r="C58" i="1085"/>
  <c r="F58" i="1085"/>
  <c r="C62" i="1085"/>
  <c r="D62" i="1085"/>
  <c r="F62" i="1085"/>
  <c r="K62" i="1085" a="1"/>
  <c r="K62" i="1085" s="1"/>
  <c r="H62" i="1085"/>
  <c r="B62" i="1085"/>
  <c r="E62" i="1085"/>
  <c r="J62" i="1085" a="1"/>
  <c r="J62" i="1085" s="1"/>
  <c r="D64" i="1085"/>
  <c r="E64" i="1085"/>
  <c r="B64" i="1085"/>
  <c r="F64" i="1085"/>
  <c r="K64" i="1085" a="1"/>
  <c r="K64" i="1085" s="1"/>
  <c r="C64" i="1085"/>
  <c r="J64" i="1085" a="1"/>
  <c r="J64" i="1085" s="1"/>
  <c r="H64" i="1085"/>
  <c r="E189" i="1085"/>
  <c r="C107" i="1085"/>
  <c r="J107" i="1085" a="1"/>
  <c r="J107" i="1085" s="1"/>
  <c r="C128" i="1085"/>
  <c r="E129" i="1085"/>
  <c r="F129" i="1085"/>
  <c r="B129" i="1085"/>
  <c r="K129" i="1085" a="1"/>
  <c r="K129" i="1085" s="1"/>
  <c r="J129" i="1085" a="1"/>
  <c r="J129" i="1085" s="1"/>
  <c r="C129" i="1085"/>
  <c r="H129" i="1085"/>
  <c r="D129" i="1085"/>
  <c r="F171" i="1085"/>
  <c r="H171" i="1085"/>
  <c r="C171" i="1085"/>
  <c r="E171" i="1085"/>
  <c r="B171" i="1085"/>
  <c r="K171" i="1085" a="1"/>
  <c r="K171" i="1085" s="1"/>
  <c r="J171" i="1085" a="1"/>
  <c r="J171" i="1085" s="1"/>
  <c r="D171" i="1085"/>
  <c r="H147" i="1085"/>
  <c r="D147" i="1085"/>
  <c r="J147" i="1085" a="1"/>
  <c r="J147" i="1085" s="1"/>
  <c r="E147" i="1085"/>
  <c r="F147" i="1085"/>
  <c r="C147" i="1085"/>
  <c r="B147" i="1085"/>
  <c r="K147" i="1085" a="1"/>
  <c r="K147" i="1085" s="1"/>
  <c r="F153" i="1085"/>
  <c r="C153" i="1085"/>
  <c r="J153" i="1085" a="1"/>
  <c r="J153" i="1085" s="1"/>
  <c r="K153" i="1085" a="1"/>
  <c r="K153" i="1085" s="1"/>
  <c r="H153" i="1085"/>
  <c r="D153" i="1085"/>
  <c r="B153" i="1085"/>
  <c r="E153" i="1085"/>
  <c r="H194" i="1085"/>
  <c r="E194" i="1085"/>
  <c r="F194" i="1085"/>
  <c r="J194" i="1085" a="1"/>
  <c r="J194" i="1085" s="1"/>
  <c r="B194" i="1085"/>
  <c r="K194" i="1085" a="1"/>
  <c r="K194" i="1085" s="1"/>
  <c r="D194" i="1085"/>
  <c r="C194" i="1085"/>
  <c r="B20" i="1085"/>
  <c r="E20" i="1085"/>
  <c r="J20" i="1085" a="1"/>
  <c r="J20" i="1085" s="1"/>
  <c r="F20" i="1085"/>
  <c r="C20" i="1085"/>
  <c r="K20" i="1085" a="1"/>
  <c r="K20" i="1085" s="1"/>
  <c r="D20" i="1085"/>
  <c r="H20" i="1085"/>
  <c r="E229" i="1085"/>
  <c r="D229" i="1085"/>
  <c r="F229" i="1085"/>
  <c r="J229" i="1085" a="1"/>
  <c r="J229" i="1085" s="1"/>
  <c r="K229" i="1085" a="1"/>
  <c r="K229" i="1085" s="1"/>
  <c r="H229" i="1085"/>
  <c r="C229" i="1085"/>
  <c r="B229" i="1085"/>
  <c r="F135" i="1085"/>
  <c r="E135" i="1085"/>
  <c r="J135" i="1085" a="1"/>
  <c r="J135" i="1085" s="1"/>
  <c r="B135" i="1085"/>
  <c r="D104" i="1085"/>
  <c r="F104" i="1085"/>
  <c r="J104" i="1085" a="1"/>
  <c r="J104" i="1085" s="1"/>
  <c r="B104" i="1085"/>
  <c r="E104" i="1085"/>
  <c r="K104" i="1085" a="1"/>
  <c r="K104" i="1085" s="1"/>
  <c r="C104" i="1085"/>
  <c r="H104" i="1085"/>
  <c r="B199" i="1085"/>
  <c r="H199" i="1085"/>
  <c r="D199" i="1085"/>
  <c r="B80" i="1085"/>
  <c r="C80" i="1085"/>
  <c r="D80" i="1085"/>
  <c r="F80" i="1085"/>
  <c r="H80" i="1085"/>
  <c r="E80" i="1085"/>
  <c r="J80" i="1085" a="1"/>
  <c r="J80" i="1085" s="1"/>
  <c r="K80" i="1085" a="1"/>
  <c r="K80" i="1085" s="1"/>
  <c r="F98" i="1085"/>
  <c r="K98" i="1085" a="1"/>
  <c r="K98" i="1085" s="1"/>
  <c r="C98" i="1085"/>
  <c r="E98" i="1085"/>
  <c r="B98" i="1085"/>
  <c r="J98" i="1085" a="1"/>
  <c r="J98" i="1085" s="1"/>
  <c r="H98" i="1085"/>
  <c r="D98" i="1085"/>
  <c r="B231" i="1085"/>
  <c r="J231" i="1085" a="1"/>
  <c r="J231" i="1085" s="1"/>
  <c r="H231" i="1085"/>
  <c r="K231" i="1085" a="1"/>
  <c r="K231" i="1085" s="1"/>
  <c r="E231" i="1085"/>
  <c r="C231" i="1085"/>
  <c r="F231" i="1085"/>
  <c r="D231" i="1085"/>
  <c r="J131" i="1085" a="1"/>
  <c r="J131" i="1085" s="1"/>
  <c r="C131" i="1085"/>
  <c r="H131" i="1085"/>
  <c r="K131" i="1085" a="1"/>
  <c r="K131" i="1085" s="1"/>
  <c r="E131" i="1085"/>
  <c r="F131" i="1085"/>
  <c r="D131" i="1085"/>
  <c r="B131" i="1085"/>
  <c r="H177" i="1085"/>
  <c r="K177" i="1085" a="1"/>
  <c r="K177" i="1085" s="1"/>
  <c r="F177" i="1085"/>
  <c r="H234" i="1085"/>
  <c r="C234" i="1085"/>
  <c r="F234" i="1085"/>
  <c r="D234" i="1085"/>
  <c r="K108" i="1085" a="1"/>
  <c r="K108" i="1085" s="1"/>
  <c r="F108" i="1085"/>
  <c r="H108" i="1085"/>
  <c r="E203" i="1085"/>
  <c r="F203" i="1085"/>
  <c r="C203" i="1085"/>
  <c r="B203" i="1085"/>
  <c r="J203" i="1085" a="1"/>
  <c r="J203" i="1085" s="1"/>
  <c r="K203" i="1085" a="1"/>
  <c r="K203" i="1085" s="1"/>
  <c r="K133" i="1085" a="1"/>
  <c r="K133" i="1085" s="1"/>
  <c r="C133" i="1085"/>
  <c r="F133" i="1085"/>
  <c r="K185" i="1085" a="1"/>
  <c r="K185" i="1085" s="1"/>
  <c r="D73" i="1085"/>
  <c r="J73" i="1085" a="1"/>
  <c r="J73" i="1085" s="1"/>
  <c r="F73" i="1085"/>
  <c r="B73" i="1085"/>
  <c r="H73" i="1085"/>
  <c r="D134" i="1085"/>
  <c r="C134" i="1085"/>
  <c r="H134" i="1085"/>
  <c r="J134" i="1085" a="1"/>
  <c r="J134" i="1085" s="1"/>
  <c r="K52" i="1085" a="1"/>
  <c r="K52" i="1085" s="1"/>
  <c r="E52" i="1085"/>
  <c r="F52" i="1085"/>
  <c r="C52" i="1085"/>
  <c r="D52" i="1085"/>
  <c r="B52" i="1085"/>
  <c r="J52" i="1085" a="1"/>
  <c r="J52" i="1085" s="1"/>
  <c r="H52" i="1085"/>
  <c r="K76" i="1085" a="1"/>
  <c r="K76" i="1085" s="1"/>
  <c r="C89" i="1085"/>
  <c r="B89" i="1085"/>
  <c r="K89" i="1085" a="1"/>
  <c r="K89" i="1085" s="1"/>
  <c r="D89" i="1085"/>
  <c r="H89" i="1085"/>
  <c r="C237" i="1085"/>
  <c r="H237" i="1085"/>
  <c r="E237" i="1085"/>
  <c r="D237" i="1085"/>
  <c r="E32" i="1085"/>
  <c r="B32" i="1085"/>
  <c r="H32" i="1085"/>
  <c r="F32" i="1085"/>
  <c r="K32" i="1085" a="1"/>
  <c r="K32" i="1085" s="1"/>
  <c r="C32" i="1085"/>
  <c r="D32" i="1085"/>
  <c r="J32" i="1085" a="1"/>
  <c r="J32" i="1085" s="1"/>
  <c r="E152" i="1085"/>
  <c r="C152" i="1085"/>
  <c r="J152" i="1085" a="1"/>
  <c r="J152" i="1085" s="1"/>
  <c r="D152" i="1085"/>
  <c r="B152" i="1085"/>
  <c r="H152" i="1085"/>
  <c r="F152" i="1085"/>
  <c r="K152" i="1085" a="1"/>
  <c r="K152" i="1085" s="1"/>
  <c r="D247" i="1085"/>
  <c r="K247" i="1085" a="1"/>
  <c r="K247" i="1085" s="1"/>
  <c r="E247" i="1085"/>
  <c r="H247" i="1085"/>
  <c r="E55" i="1085"/>
  <c r="F55" i="1085"/>
  <c r="C55" i="1085"/>
  <c r="B55" i="1085"/>
  <c r="J55" i="1085" a="1"/>
  <c r="J55" i="1085" s="1"/>
  <c r="H55" i="1085"/>
  <c r="D55" i="1085"/>
  <c r="K55" i="1085" a="1"/>
  <c r="K55" i="1085" s="1"/>
  <c r="H31" i="1085"/>
  <c r="H246" i="1085"/>
  <c r="E149" i="1085"/>
  <c r="C149" i="1085"/>
  <c r="D149" i="1085"/>
  <c r="K149" i="1085" a="1"/>
  <c r="K149" i="1085" s="1"/>
  <c r="B142" i="1085"/>
  <c r="J142" i="1085" a="1"/>
  <c r="J142" i="1085" s="1"/>
  <c r="K142" i="1085" a="1"/>
  <c r="K142" i="1085" s="1"/>
  <c r="H142" i="1085"/>
  <c r="E142" i="1085"/>
  <c r="F142" i="1085"/>
  <c r="D142" i="1085"/>
  <c r="C142" i="1085"/>
  <c r="H188" i="1085"/>
  <c r="K188" i="1085" a="1"/>
  <c r="K188" i="1085" s="1"/>
  <c r="B188" i="1085"/>
  <c r="D188" i="1085"/>
  <c r="C188" i="1085"/>
  <c r="J188" i="1085" a="1"/>
  <c r="J188" i="1085" s="1"/>
  <c r="F188" i="1085"/>
  <c r="E188" i="1085"/>
  <c r="E119" i="1085"/>
  <c r="C119" i="1085"/>
  <c r="H119" i="1085"/>
  <c r="B119" i="1085"/>
  <c r="D119" i="1085"/>
  <c r="J119" i="1085" a="1"/>
  <c r="J119" i="1085" s="1"/>
  <c r="K119" i="1085" a="1"/>
  <c r="K119" i="1085" s="1"/>
  <c r="F119" i="1085"/>
  <c r="D130" i="1085"/>
  <c r="F130" i="1085"/>
  <c r="H130" i="1085"/>
  <c r="K130" i="1085" a="1"/>
  <c r="K130" i="1085" s="1"/>
  <c r="C130" i="1085"/>
  <c r="E130" i="1085"/>
  <c r="B130" i="1085"/>
  <c r="J130" i="1085" a="1"/>
  <c r="J130" i="1085" s="1"/>
  <c r="D169" i="1085"/>
  <c r="C169" i="1085"/>
  <c r="K169" i="1085" a="1"/>
  <c r="K169" i="1085" s="1"/>
  <c r="J169" i="1085" a="1"/>
  <c r="J169" i="1085" s="1"/>
  <c r="E169" i="1085"/>
  <c r="F169" i="1085"/>
  <c r="B169" i="1085"/>
  <c r="H169" i="1085"/>
  <c r="H172" i="1085"/>
  <c r="D172" i="1085"/>
  <c r="E172" i="1085"/>
  <c r="B172" i="1085"/>
  <c r="F172" i="1085"/>
  <c r="C172" i="1085"/>
  <c r="K172" i="1085" a="1"/>
  <c r="K172" i="1085" s="1"/>
  <c r="J172" i="1085" a="1"/>
  <c r="J172" i="1085" s="1"/>
  <c r="C221" i="1085"/>
  <c r="E221" i="1085"/>
  <c r="D221" i="1085"/>
  <c r="B221" i="1085"/>
  <c r="F221" i="1085"/>
  <c r="K221" i="1085" a="1"/>
  <c r="K221" i="1085" s="1"/>
  <c r="J221" i="1085" a="1"/>
  <c r="J221" i="1085" s="1"/>
  <c r="H221" i="1085"/>
  <c r="J65" i="1085" a="1"/>
  <c r="J65" i="1085" s="1"/>
  <c r="C65" i="1085"/>
  <c r="F65" i="1085"/>
  <c r="H65" i="1085"/>
  <c r="K65" i="1085" a="1"/>
  <c r="K65" i="1085" s="1"/>
  <c r="B65" i="1085"/>
  <c r="E65" i="1085"/>
  <c r="D65" i="1085"/>
  <c r="H100" i="1085"/>
  <c r="J100" i="1085" a="1"/>
  <c r="J100" i="1085" s="1"/>
  <c r="E100" i="1085"/>
  <c r="D100" i="1085"/>
  <c r="K100" i="1085" a="1"/>
  <c r="K100" i="1085" s="1"/>
  <c r="C173" i="1085"/>
  <c r="E173" i="1085"/>
  <c r="B173" i="1085"/>
  <c r="H173" i="1085"/>
  <c r="K173" i="1085" a="1"/>
  <c r="K173" i="1085" s="1"/>
  <c r="F173" i="1085"/>
  <c r="D173" i="1085"/>
  <c r="C79" i="1085"/>
  <c r="E205" i="1085"/>
  <c r="E140" i="1085"/>
  <c r="B140" i="1085"/>
  <c r="C140" i="1085"/>
  <c r="D140" i="1085"/>
  <c r="J99" i="1085" a="1"/>
  <c r="J99" i="1085" s="1"/>
  <c r="E16" i="1085"/>
  <c r="D16" i="1085"/>
  <c r="J16" i="1085" a="1"/>
  <c r="J16" i="1085" s="1"/>
  <c r="K16" i="1085" a="1"/>
  <c r="K16" i="1085" s="1"/>
  <c r="B16" i="1085"/>
  <c r="F16" i="1085"/>
  <c r="H16" i="1085"/>
  <c r="C16" i="1085"/>
  <c r="E122" i="1085"/>
  <c r="B122" i="1085"/>
  <c r="F122" i="1085"/>
  <c r="J122" i="1085" a="1"/>
  <c r="J122" i="1085" s="1"/>
  <c r="D122" i="1085"/>
  <c r="K122" i="1085" a="1"/>
  <c r="K122" i="1085" s="1"/>
  <c r="H122" i="1085"/>
  <c r="C122" i="1085"/>
  <c r="E178" i="1085"/>
  <c r="F178" i="1085"/>
  <c r="J178" i="1085" a="1"/>
  <c r="J178" i="1085" s="1"/>
  <c r="K178" i="1085" a="1"/>
  <c r="K178" i="1085" s="1"/>
  <c r="D178" i="1085"/>
  <c r="H178" i="1085"/>
  <c r="B178" i="1085"/>
  <c r="C178" i="1085"/>
  <c r="E137" i="1085"/>
  <c r="C137" i="1085"/>
  <c r="F137" i="1085"/>
  <c r="H137" i="1085"/>
  <c r="D137" i="1085"/>
  <c r="K137" i="1085" a="1"/>
  <c r="K137" i="1085" s="1"/>
  <c r="J137" i="1085" a="1"/>
  <c r="J137" i="1085" s="1"/>
  <c r="B137" i="1085"/>
  <c r="F200" i="1085"/>
  <c r="J200" i="1085" a="1"/>
  <c r="J200" i="1085" s="1"/>
  <c r="C200" i="1085"/>
  <c r="H200" i="1085"/>
  <c r="B200" i="1085"/>
  <c r="E200" i="1085"/>
  <c r="D200" i="1085"/>
  <c r="K200" i="1085" a="1"/>
  <c r="K200" i="1085" s="1"/>
  <c r="B193" i="1085"/>
  <c r="H193" i="1085"/>
  <c r="E193" i="1085"/>
  <c r="F193" i="1085"/>
  <c r="C193" i="1085"/>
  <c r="K193" i="1085" a="1"/>
  <c r="K193" i="1085" s="1"/>
  <c r="D193" i="1085"/>
  <c r="J193" i="1085" a="1"/>
  <c r="J193" i="1085" s="1"/>
  <c r="E27" i="1085"/>
  <c r="J27" i="1085" a="1"/>
  <c r="J27" i="1085" s="1"/>
  <c r="K27" i="1085" a="1"/>
  <c r="K27" i="1085" s="1"/>
  <c r="D27" i="1085"/>
  <c r="B27" i="1085"/>
  <c r="F27" i="1085"/>
  <c r="C27" i="1085"/>
  <c r="H27" i="1085"/>
  <c r="F208" i="1085"/>
  <c r="B208" i="1085"/>
  <c r="K208" i="1085" a="1"/>
  <c r="K208" i="1085" s="1"/>
  <c r="C208" i="1085"/>
  <c r="H208" i="1085"/>
  <c r="E208" i="1085"/>
  <c r="D208" i="1085"/>
  <c r="J208" i="1085" a="1"/>
  <c r="J208" i="1085" s="1"/>
  <c r="F151" i="1085"/>
  <c r="E151" i="1085"/>
  <c r="C151" i="1085"/>
  <c r="D151" i="1085"/>
  <c r="B151" i="1085"/>
  <c r="K151" i="1085" a="1"/>
  <c r="K151" i="1085" s="1"/>
  <c r="J151" i="1085" a="1"/>
  <c r="J151" i="1085" s="1"/>
  <c r="H151" i="1085"/>
  <c r="H224" i="1085"/>
  <c r="D224" i="1085"/>
  <c r="F224" i="1085"/>
  <c r="E224" i="1085"/>
  <c r="J224" i="1085" a="1"/>
  <c r="J224" i="1085" s="1"/>
  <c r="K224" i="1085" a="1"/>
  <c r="K224" i="1085" s="1"/>
  <c r="B224" i="1085"/>
  <c r="C224" i="1085"/>
  <c r="F40" i="1085"/>
  <c r="D40" i="1085"/>
  <c r="J40" i="1085" a="1"/>
  <c r="J40" i="1085" s="1"/>
  <c r="H40" i="1085"/>
  <c r="K40" i="1085" a="1"/>
  <c r="K40" i="1085" s="1"/>
  <c r="B40" i="1085"/>
  <c r="E40" i="1085"/>
  <c r="C40" i="1085"/>
  <c r="D197" i="1085"/>
  <c r="B197" i="1085"/>
  <c r="F243" i="1085"/>
  <c r="F166" i="1085"/>
  <c r="K166" i="1085" a="1"/>
  <c r="K166" i="1085" s="1"/>
  <c r="E117" i="1085"/>
  <c r="C117" i="1085"/>
  <c r="B117" i="1085"/>
  <c r="J117" i="1085" a="1"/>
  <c r="J117" i="1085" s="1"/>
  <c r="D117" i="1085"/>
  <c r="K117" i="1085" a="1"/>
  <c r="K117" i="1085" s="1"/>
  <c r="H117" i="1085"/>
  <c r="E83" i="1085"/>
  <c r="C83" i="1085"/>
  <c r="K83" i="1085" a="1"/>
  <c r="K83" i="1085" s="1"/>
  <c r="D83" i="1085"/>
  <c r="D67" i="1085"/>
  <c r="E67" i="1085"/>
  <c r="F67" i="1085"/>
  <c r="C67" i="1085"/>
  <c r="B67" i="1085"/>
  <c r="H67" i="1085"/>
  <c r="E192" i="1085"/>
  <c r="F192" i="1085"/>
  <c r="B192" i="1085"/>
  <c r="J192" i="1085" a="1"/>
  <c r="J192" i="1085" s="1"/>
  <c r="D192" i="1085"/>
  <c r="I79" i="1085"/>
  <c r="I201" i="1085"/>
  <c r="I141" i="1085"/>
  <c r="I32" i="1085"/>
  <c r="I38" i="1085"/>
  <c r="I211" i="1085"/>
  <c r="I58" i="1085"/>
  <c r="I121" i="1085"/>
  <c r="I113" i="1085"/>
  <c r="I229" i="1085"/>
  <c r="I131" i="1085"/>
  <c r="I151" i="1085"/>
  <c r="I87" i="1085"/>
  <c r="I231" i="1085"/>
  <c r="I147" i="1085"/>
  <c r="I207" i="1085"/>
  <c r="I158" i="1085"/>
  <c r="I221" i="1085"/>
  <c r="I65" i="1085"/>
  <c r="I89" i="1085"/>
  <c r="I175" i="1085"/>
  <c r="I55" i="1085"/>
  <c r="I119" i="1085"/>
  <c r="I122" i="1085"/>
  <c r="I167" i="1085"/>
  <c r="I244" i="1085"/>
  <c r="I193" i="1085"/>
  <c r="I247" i="1085"/>
  <c r="I42" i="1085"/>
  <c r="I27" i="1085"/>
  <c r="I210" i="1085"/>
  <c r="I14" i="1085"/>
  <c r="I54" i="1085"/>
  <c r="I230" i="1085"/>
  <c r="I226" i="1085"/>
  <c r="I188" i="1085"/>
  <c r="I126" i="1085"/>
  <c r="I94" i="1085"/>
  <c r="I85" i="1085"/>
  <c r="I194" i="1085"/>
  <c r="I222" i="1085"/>
  <c r="I195" i="1085"/>
  <c r="I134" i="1085"/>
  <c r="I43" i="1085"/>
  <c r="I117" i="1085"/>
  <c r="I143" i="1085"/>
  <c r="I129" i="1085"/>
  <c r="I224" i="1085"/>
  <c r="I9" i="1085"/>
  <c r="I142" i="1085"/>
  <c r="I90" i="1085"/>
  <c r="I170" i="1085"/>
  <c r="I203" i="1085"/>
  <c r="I144" i="1085"/>
  <c r="I19" i="1085"/>
  <c r="I177" i="1085"/>
  <c r="I100" i="1085"/>
  <c r="I56" i="1085"/>
  <c r="I93" i="1085"/>
  <c r="I75" i="1085"/>
  <c r="I155" i="1085"/>
  <c r="I130" i="1085"/>
  <c r="I153" i="1085"/>
  <c r="I17" i="1085"/>
  <c r="I152" i="1085"/>
  <c r="I24" i="1085"/>
  <c r="I197" i="1085"/>
  <c r="I103" i="1085"/>
  <c r="I104" i="1085"/>
  <c r="I73" i="1085"/>
  <c r="I50" i="1085"/>
  <c r="I145" i="1085"/>
  <c r="I234" i="1085"/>
  <c r="I235" i="1085"/>
  <c r="I236" i="1085"/>
  <c r="I108" i="1085"/>
  <c r="I44" i="1085"/>
  <c r="I82" i="1085"/>
  <c r="I184" i="1085"/>
  <c r="I31" i="1085"/>
  <c r="I77" i="1085"/>
  <c r="I137" i="1085"/>
  <c r="I199" i="1085"/>
  <c r="I148" i="1085"/>
  <c r="I139" i="1085"/>
  <c r="I110" i="1085"/>
  <c r="I186" i="1085"/>
  <c r="I21" i="1085"/>
  <c r="I136" i="1085"/>
  <c r="I20" i="1085"/>
  <c r="I112" i="1085"/>
  <c r="I60" i="1085"/>
  <c r="I80" i="1085"/>
  <c r="I78" i="1085"/>
  <c r="I64" i="1085"/>
  <c r="I74" i="1085"/>
  <c r="I62" i="1085"/>
  <c r="I154" i="1085"/>
  <c r="I138" i="1085"/>
  <c r="I237" i="1085"/>
  <c r="I169" i="1085"/>
  <c r="I171" i="1085"/>
  <c r="I98" i="1085"/>
  <c r="I52" i="1085"/>
  <c r="I200" i="1085"/>
  <c r="I178" i="1085"/>
  <c r="I172" i="1085"/>
  <c r="I16" i="1085"/>
  <c r="I173" i="1085"/>
  <c r="I246" i="1085"/>
  <c r="I114" i="1085"/>
  <c r="I40" i="1085"/>
  <c r="I239" i="1085"/>
  <c r="I67" i="1085"/>
  <c r="I109" i="1085"/>
  <c r="I68" i="1085"/>
  <c r="I208" i="1085"/>
  <c r="I96" i="1085"/>
  <c r="C46" i="1085" l="1"/>
  <c r="D95" i="1085"/>
  <c r="B95" i="1085"/>
  <c r="F141" i="1085"/>
  <c r="H95" i="1085"/>
  <c r="C100" i="1085"/>
  <c r="F100" i="1085"/>
  <c r="E73" i="1085"/>
  <c r="D141" i="1085"/>
  <c r="K95" i="1085" a="1"/>
  <c r="K95" i="1085" s="1"/>
  <c r="F83" i="1085"/>
  <c r="K73" i="1085" a="1"/>
  <c r="K73" i="1085" s="1"/>
  <c r="B83" i="1085"/>
  <c r="H83" i="1085"/>
  <c r="D135" i="1085"/>
  <c r="K141" i="1085" a="1"/>
  <c r="K141" i="1085" s="1"/>
  <c r="J95" i="1085" a="1"/>
  <c r="J95" i="1085" s="1"/>
  <c r="C42" i="1085"/>
  <c r="D111" i="1085"/>
  <c r="B141" i="1085"/>
  <c r="J170" i="1085" a="1"/>
  <c r="J170" i="1085" s="1"/>
  <c r="C95" i="1085"/>
  <c r="B42" i="1085"/>
  <c r="K111" i="1085" a="1"/>
  <c r="K111" i="1085" s="1"/>
  <c r="C135" i="1085"/>
  <c r="H135" i="1085"/>
  <c r="K170" i="1085" a="1"/>
  <c r="K170" i="1085" s="1"/>
  <c r="K42" i="1085" a="1"/>
  <c r="K42" i="1085" s="1"/>
  <c r="B111" i="1085"/>
  <c r="D170" i="1085"/>
  <c r="E42" i="1085"/>
  <c r="H111" i="1085"/>
  <c r="J42" i="1085" a="1"/>
  <c r="J42" i="1085" s="1"/>
  <c r="J111" i="1085" a="1"/>
  <c r="J111" i="1085" s="1"/>
  <c r="D42" i="1085"/>
  <c r="C170" i="1085"/>
  <c r="F42" i="1085"/>
  <c r="D46" i="1085"/>
  <c r="B170" i="1085"/>
  <c r="B46" i="1085"/>
  <c r="B115" i="1085"/>
  <c r="K46" i="1085" a="1"/>
  <c r="K46" i="1085" s="1"/>
  <c r="H115" i="1085"/>
  <c r="H46" i="1085"/>
  <c r="B36" i="1085"/>
  <c r="H36" i="1085"/>
  <c r="D36" i="1085"/>
  <c r="F36" i="1085"/>
  <c r="K36" i="1085" a="1"/>
  <c r="K36" i="1085" s="1"/>
  <c r="J36" i="1085" a="1"/>
  <c r="J36" i="1085" s="1"/>
  <c r="C76" i="1085"/>
  <c r="B222" i="1085"/>
  <c r="E222" i="1085"/>
  <c r="F222" i="1085"/>
  <c r="C36" i="1085"/>
  <c r="J33" i="1085" a="1"/>
  <c r="J33" i="1085" s="1"/>
  <c r="H159" i="1085"/>
  <c r="F159" i="1085"/>
  <c r="D161" i="1085"/>
  <c r="H99" i="1085"/>
  <c r="J23" i="1085" a="1"/>
  <c r="J23" i="1085" s="1"/>
  <c r="K159" i="1085" a="1"/>
  <c r="K159" i="1085" s="1"/>
  <c r="C99" i="1085"/>
  <c r="H33" i="1085"/>
  <c r="E159" i="1085"/>
  <c r="D94" i="1085"/>
  <c r="H161" i="1085"/>
  <c r="F161" i="1085"/>
  <c r="E33" i="1085"/>
  <c r="J94" i="1085" a="1"/>
  <c r="J94" i="1085" s="1"/>
  <c r="K86" i="1085" a="1"/>
  <c r="K86" i="1085" s="1"/>
  <c r="H168" i="1085"/>
  <c r="C33" i="1085"/>
  <c r="C159" i="1085"/>
  <c r="B33" i="1085"/>
  <c r="B94" i="1085"/>
  <c r="J86" i="1085" a="1"/>
  <c r="J86" i="1085" s="1"/>
  <c r="J168" i="1085" a="1"/>
  <c r="J168" i="1085" s="1"/>
  <c r="F94" i="1085"/>
  <c r="C86" i="1085"/>
  <c r="F168" i="1085"/>
  <c r="C161" i="1085"/>
  <c r="K33" i="1085" a="1"/>
  <c r="K33" i="1085" s="1"/>
  <c r="D86" i="1085"/>
  <c r="J161" i="1085" a="1"/>
  <c r="J161" i="1085" s="1"/>
  <c r="D99" i="1085"/>
  <c r="B23" i="1085"/>
  <c r="K94" i="1085" a="1"/>
  <c r="K94" i="1085" s="1"/>
  <c r="F86" i="1085"/>
  <c r="K161" i="1085" a="1"/>
  <c r="K161" i="1085" s="1"/>
  <c r="E161" i="1085"/>
  <c r="E94" i="1085"/>
  <c r="E99" i="1085"/>
  <c r="C23" i="1085"/>
  <c r="E86" i="1085"/>
  <c r="F99" i="1085"/>
  <c r="D23" i="1085"/>
  <c r="K23" i="1085" a="1"/>
  <c r="K23" i="1085" s="1"/>
  <c r="F187" i="1085"/>
  <c r="B99" i="1085"/>
  <c r="B159" i="1085"/>
  <c r="H23" i="1085"/>
  <c r="H28" i="1085"/>
  <c r="F23" i="1085"/>
  <c r="F33" i="1085"/>
  <c r="D159" i="1085"/>
  <c r="B187" i="1085"/>
  <c r="B168" i="1085"/>
  <c r="F53" i="1085"/>
  <c r="D53" i="1085"/>
  <c r="C94" i="1085"/>
  <c r="J28" i="1085" a="1"/>
  <c r="J28" i="1085" s="1"/>
  <c r="C28" i="1085"/>
  <c r="F28" i="1085"/>
  <c r="H86" i="1085"/>
  <c r="D168" i="1085"/>
  <c r="D28" i="1085"/>
  <c r="C168" i="1085"/>
  <c r="K28" i="1085" a="1"/>
  <c r="K28" i="1085" s="1"/>
  <c r="B28" i="1085"/>
  <c r="K168" i="1085" a="1"/>
  <c r="K168" i="1085" s="1"/>
  <c r="C222" i="1085"/>
  <c r="E217" i="1085"/>
  <c r="H10" i="1085"/>
  <c r="C217" i="1085"/>
  <c r="D10" i="1085"/>
  <c r="F207" i="1085"/>
  <c r="D233" i="1085"/>
  <c r="B207" i="1085"/>
  <c r="B180" i="1085"/>
  <c r="K115" i="1085" a="1"/>
  <c r="K115" i="1085" s="1"/>
  <c r="B88" i="1085"/>
  <c r="C26" i="1085"/>
  <c r="E10" i="1085"/>
  <c r="J206" i="1085" a="1"/>
  <c r="J206" i="1085" s="1"/>
  <c r="H217" i="1085"/>
  <c r="D102" i="1085"/>
  <c r="H228" i="1085"/>
  <c r="C204" i="1085"/>
  <c r="J115" i="1085" a="1"/>
  <c r="J115" i="1085" s="1"/>
  <c r="L115" i="1085" s="1" a="1"/>
  <c r="L115" i="1085" s="1"/>
  <c r="C115" i="1085"/>
  <c r="D115" i="1085"/>
  <c r="E206" i="1085"/>
  <c r="F115" i="1085"/>
  <c r="D228" i="1085"/>
  <c r="J214" i="1085" a="1"/>
  <c r="J214" i="1085" s="1"/>
  <c r="B26" i="1085"/>
  <c r="H204" i="1085"/>
  <c r="H88" i="1085"/>
  <c r="H102" i="1085"/>
  <c r="K204" i="1085" a="1"/>
  <c r="K204" i="1085" s="1"/>
  <c r="J88" i="1085" a="1"/>
  <c r="J88" i="1085" s="1"/>
  <c r="D204" i="1085"/>
  <c r="D207" i="1085"/>
  <c r="K102" i="1085" a="1"/>
  <c r="K102" i="1085" s="1"/>
  <c r="D217" i="1085"/>
  <c r="J207" i="1085" a="1"/>
  <c r="J207" i="1085" s="1"/>
  <c r="J102" i="1085" a="1"/>
  <c r="J102" i="1085" s="1"/>
  <c r="J204" i="1085" a="1"/>
  <c r="J204" i="1085" s="1"/>
  <c r="D206" i="1085"/>
  <c r="J217" i="1085" a="1"/>
  <c r="J217" i="1085" s="1"/>
  <c r="K207" i="1085" a="1"/>
  <c r="K207" i="1085" s="1"/>
  <c r="C102" i="1085"/>
  <c r="F204" i="1085"/>
  <c r="K217" i="1085" a="1"/>
  <c r="K217" i="1085" s="1"/>
  <c r="E207" i="1085"/>
  <c r="F102" i="1085"/>
  <c r="B204" i="1085"/>
  <c r="H206" i="1085"/>
  <c r="F10" i="1085"/>
  <c r="F217" i="1085"/>
  <c r="C207" i="1085"/>
  <c r="E102" i="1085"/>
  <c r="K10" i="1085" a="1"/>
  <c r="K10" i="1085" s="1"/>
  <c r="K26" i="1085" a="1"/>
  <c r="K26" i="1085" s="1"/>
  <c r="E26" i="1085"/>
  <c r="F220" i="1085"/>
  <c r="F88" i="1085"/>
  <c r="D26" i="1085"/>
  <c r="H220" i="1085"/>
  <c r="D88" i="1085"/>
  <c r="C10" i="1085"/>
  <c r="F26" i="1085"/>
  <c r="K220" i="1085" a="1"/>
  <c r="K220" i="1085" s="1"/>
  <c r="L220" i="1085" s="1" a="1"/>
  <c r="L220" i="1085" s="1"/>
  <c r="E88" i="1085"/>
  <c r="B206" i="1085"/>
  <c r="C206" i="1085"/>
  <c r="H26" i="1085"/>
  <c r="B220" i="1085"/>
  <c r="K88" i="1085" a="1"/>
  <c r="K88" i="1085" s="1"/>
  <c r="K206" i="1085" a="1"/>
  <c r="K206" i="1085" s="1"/>
  <c r="B10" i="1085"/>
  <c r="H214" i="1085"/>
  <c r="E220" i="1085"/>
  <c r="B167" i="1085"/>
  <c r="D167" i="1085"/>
  <c r="F233" i="1085"/>
  <c r="E233" i="1085"/>
  <c r="K233" i="1085" a="1"/>
  <c r="K233" i="1085" s="1"/>
  <c r="C233" i="1085"/>
  <c r="H233" i="1085"/>
  <c r="J233" i="1085" a="1"/>
  <c r="J233" i="1085" s="1"/>
  <c r="E228" i="1085"/>
  <c r="J216" i="1085" a="1"/>
  <c r="J216" i="1085" s="1"/>
  <c r="B71" i="1085"/>
  <c r="K228" i="1085" a="1"/>
  <c r="K228" i="1085" s="1"/>
  <c r="H165" i="1085"/>
  <c r="J228" i="1085" a="1"/>
  <c r="J228" i="1085" s="1"/>
  <c r="D238" i="1085"/>
  <c r="F228" i="1085"/>
  <c r="K34" i="1085" a="1"/>
  <c r="K34" i="1085" s="1"/>
  <c r="H157" i="1085"/>
  <c r="F210" i="1085"/>
  <c r="D241" i="1085"/>
  <c r="J157" i="1085" a="1"/>
  <c r="J157" i="1085" s="1"/>
  <c r="L157" i="1085" s="1" a="1"/>
  <c r="L157" i="1085" s="1"/>
  <c r="H34" i="1085"/>
  <c r="B97" i="1085"/>
  <c r="E241" i="1085"/>
  <c r="F34" i="1085"/>
  <c r="J34" i="1085" a="1"/>
  <c r="J34" i="1085" s="1"/>
  <c r="L34" i="1085" s="1" a="1"/>
  <c r="L34" i="1085" s="1"/>
  <c r="B210" i="1085"/>
  <c r="J210" i="1085" a="1"/>
  <c r="J210" i="1085" s="1"/>
  <c r="K31" i="1085" a="1"/>
  <c r="K31" i="1085" s="1"/>
  <c r="K210" i="1085" a="1"/>
  <c r="K210" i="1085" s="1"/>
  <c r="F157" i="1085"/>
  <c r="D210" i="1085"/>
  <c r="C210" i="1085"/>
  <c r="B157" i="1085"/>
  <c r="B31" i="1085"/>
  <c r="E210" i="1085"/>
  <c r="C157" i="1085"/>
  <c r="B34" i="1085"/>
  <c r="D157" i="1085"/>
  <c r="C34" i="1085"/>
  <c r="E157" i="1085"/>
  <c r="D34" i="1085"/>
  <c r="F246" i="1085"/>
  <c r="D246" i="1085"/>
  <c r="F185" i="1085"/>
  <c r="J246" i="1085" a="1"/>
  <c r="J246" i="1085" s="1"/>
  <c r="C185" i="1085"/>
  <c r="H146" i="1085"/>
  <c r="D156" i="1085"/>
  <c r="B29" i="1085"/>
  <c r="C156" i="1085"/>
  <c r="B156" i="1085"/>
  <c r="E156" i="1085"/>
  <c r="J181" i="1085" a="1"/>
  <c r="J181" i="1085" s="1"/>
  <c r="D181" i="1085"/>
  <c r="H225" i="1085"/>
  <c r="H181" i="1085"/>
  <c r="K225" i="1085" a="1"/>
  <c r="K225" i="1085" s="1"/>
  <c r="E246" i="1085"/>
  <c r="F182" i="1085"/>
  <c r="E182" i="1085"/>
  <c r="J209" i="1085" a="1"/>
  <c r="J209" i="1085" s="1"/>
  <c r="E146" i="1085"/>
  <c r="D30" i="1085"/>
  <c r="J146" i="1085" a="1"/>
  <c r="J146" i="1085" s="1"/>
  <c r="H30" i="1085"/>
  <c r="F70" i="1085"/>
  <c r="C146" i="1085"/>
  <c r="J30" i="1085" a="1"/>
  <c r="J30" i="1085" s="1"/>
  <c r="D70" i="1085"/>
  <c r="J70" i="1085" a="1"/>
  <c r="J70" i="1085" s="1"/>
  <c r="D125" i="1085"/>
  <c r="K125" i="1085" a="1"/>
  <c r="K125" i="1085" s="1"/>
  <c r="H182" i="1085"/>
  <c r="D50" i="1085"/>
  <c r="H125" i="1085"/>
  <c r="B225" i="1085"/>
  <c r="K246" i="1085" a="1"/>
  <c r="K246" i="1085" s="1"/>
  <c r="K146" i="1085" a="1"/>
  <c r="K146" i="1085" s="1"/>
  <c r="C246" i="1085"/>
  <c r="C225" i="1085"/>
  <c r="F89" i="1085"/>
  <c r="F134" i="1085"/>
  <c r="E199" i="1085"/>
  <c r="F146" i="1085"/>
  <c r="K105" i="1085" a="1"/>
  <c r="K105" i="1085" s="1"/>
  <c r="L105" i="1085" s="1" a="1"/>
  <c r="L105" i="1085" s="1"/>
  <c r="E30" i="1085"/>
  <c r="J125" i="1085" a="1"/>
  <c r="J125" i="1085" s="1"/>
  <c r="J67" i="1085" a="1"/>
  <c r="J67" i="1085" s="1"/>
  <c r="L67" i="1085" s="1" a="1"/>
  <c r="L67" i="1085" s="1"/>
  <c r="F225" i="1085"/>
  <c r="J89" i="1085" a="1"/>
  <c r="J89" i="1085" s="1"/>
  <c r="K134" i="1085" a="1"/>
  <c r="K134" i="1085" s="1"/>
  <c r="F199" i="1085"/>
  <c r="D146" i="1085"/>
  <c r="D77" i="1085"/>
  <c r="H209" i="1085"/>
  <c r="F123" i="1085"/>
  <c r="F125" i="1085"/>
  <c r="H140" i="1085"/>
  <c r="E225" i="1085"/>
  <c r="B134" i="1085"/>
  <c r="C199" i="1085"/>
  <c r="J77" i="1085" a="1"/>
  <c r="J77" i="1085" s="1"/>
  <c r="F209" i="1085"/>
  <c r="C123" i="1085"/>
  <c r="B125" i="1085"/>
  <c r="J225" i="1085" a="1"/>
  <c r="J225" i="1085" s="1"/>
  <c r="K181" i="1085" a="1"/>
  <c r="K181" i="1085" s="1"/>
  <c r="J199" i="1085" a="1"/>
  <c r="J199" i="1085" s="1"/>
  <c r="L199" i="1085" s="1" a="1"/>
  <c r="L199" i="1085" s="1"/>
  <c r="C189" i="1085"/>
  <c r="D29" i="1085"/>
  <c r="F77" i="1085"/>
  <c r="D209" i="1085"/>
  <c r="H123" i="1085"/>
  <c r="C125" i="1085"/>
  <c r="K189" i="1085" a="1"/>
  <c r="K189" i="1085" s="1"/>
  <c r="K29" i="1085" a="1"/>
  <c r="K29" i="1085" s="1"/>
  <c r="K77" i="1085" a="1"/>
  <c r="K77" i="1085" s="1"/>
  <c r="L77" i="1085" s="1" a="1"/>
  <c r="L77" i="1085" s="1"/>
  <c r="C209" i="1085"/>
  <c r="J140" i="1085" a="1"/>
  <c r="J140" i="1085" s="1"/>
  <c r="L140" i="1085" s="1" a="1"/>
  <c r="L140" i="1085" s="1"/>
  <c r="E185" i="1085"/>
  <c r="B189" i="1085"/>
  <c r="E29" i="1085"/>
  <c r="B77" i="1085"/>
  <c r="K209" i="1085" a="1"/>
  <c r="K209" i="1085" s="1"/>
  <c r="C182" i="1085"/>
  <c r="C70" i="1085"/>
  <c r="B112" i="1085"/>
  <c r="H192" i="1085"/>
  <c r="C181" i="1085"/>
  <c r="D185" i="1085"/>
  <c r="K235" i="1085" a="1"/>
  <c r="K235" i="1085" s="1"/>
  <c r="H189" i="1085"/>
  <c r="H29" i="1085"/>
  <c r="E77" i="1085"/>
  <c r="B209" i="1085"/>
  <c r="J182" i="1085" a="1"/>
  <c r="J182" i="1085" s="1"/>
  <c r="H70" i="1085"/>
  <c r="C112" i="1085"/>
  <c r="C192" i="1085"/>
  <c r="K156" i="1085" a="1"/>
  <c r="K156" i="1085" s="1"/>
  <c r="B181" i="1085"/>
  <c r="F140" i="1085"/>
  <c r="F156" i="1085"/>
  <c r="H156" i="1085"/>
  <c r="E181" i="1085"/>
  <c r="J185" i="1085" a="1"/>
  <c r="J185" i="1085" s="1"/>
  <c r="J189" i="1085" a="1"/>
  <c r="J189" i="1085" s="1"/>
  <c r="L189" i="1085" s="1" a="1"/>
  <c r="L189" i="1085" s="1"/>
  <c r="C29" i="1085"/>
  <c r="K182" i="1085" a="1"/>
  <c r="K182" i="1085" s="1"/>
  <c r="K70" i="1085" a="1"/>
  <c r="K70" i="1085" s="1"/>
  <c r="D112" i="1085"/>
  <c r="H185" i="1085"/>
  <c r="F189" i="1085"/>
  <c r="J29" i="1085" a="1"/>
  <c r="J29" i="1085" s="1"/>
  <c r="H105" i="1085"/>
  <c r="B30" i="1085"/>
  <c r="B182" i="1085"/>
  <c r="E70" i="1085"/>
  <c r="E112" i="1085"/>
  <c r="H51" i="1085"/>
  <c r="J92" i="1085" a="1"/>
  <c r="J92" i="1085" s="1"/>
  <c r="C92" i="1085"/>
  <c r="J243" i="1085" a="1"/>
  <c r="J243" i="1085" s="1"/>
  <c r="D92" i="1085"/>
  <c r="D243" i="1085"/>
  <c r="H92" i="1085"/>
  <c r="B243" i="1085"/>
  <c r="B92" i="1085"/>
  <c r="E243" i="1085"/>
  <c r="F163" i="1085"/>
  <c r="B127" i="1085"/>
  <c r="E92" i="1085"/>
  <c r="H243" i="1085"/>
  <c r="K92" i="1085" a="1"/>
  <c r="K92" i="1085" s="1"/>
  <c r="C243" i="1085"/>
  <c r="E163" i="1085"/>
  <c r="J127" i="1085" a="1"/>
  <c r="J127" i="1085" s="1"/>
  <c r="J166" i="1085" a="1"/>
  <c r="J166" i="1085" s="1"/>
  <c r="H163" i="1085"/>
  <c r="D127" i="1085"/>
  <c r="B166" i="1085"/>
  <c r="D163" i="1085"/>
  <c r="D166" i="1085"/>
  <c r="K163" i="1085" a="1"/>
  <c r="K163" i="1085" s="1"/>
  <c r="C127" i="1085"/>
  <c r="E166" i="1085"/>
  <c r="L166" i="1085" s="1" a="1"/>
  <c r="L166" i="1085" s="1"/>
  <c r="B163" i="1085"/>
  <c r="H166" i="1085"/>
  <c r="K59" i="1085" a="1"/>
  <c r="K59" i="1085" s="1"/>
  <c r="L59" i="1085" s="1" a="1"/>
  <c r="L59" i="1085" s="1"/>
  <c r="E202" i="1085"/>
  <c r="H202" i="1085"/>
  <c r="D17" i="1085"/>
  <c r="D51" i="1085"/>
  <c r="C17" i="1085"/>
  <c r="C51" i="1085"/>
  <c r="E51" i="1085"/>
  <c r="L51" i="1085" s="1" a="1"/>
  <c r="L51" i="1085" s="1"/>
  <c r="B202" i="1085"/>
  <c r="K17" i="1085" a="1"/>
  <c r="K17" i="1085" s="1"/>
  <c r="D59" i="1085"/>
  <c r="E59" i="1085"/>
  <c r="E127" i="1085"/>
  <c r="F202" i="1085"/>
  <c r="F132" i="1085"/>
  <c r="J202" i="1085" a="1"/>
  <c r="J202" i="1085" s="1"/>
  <c r="H132" i="1085"/>
  <c r="D202" i="1085"/>
  <c r="J132" i="1085" a="1"/>
  <c r="J132" i="1085" s="1"/>
  <c r="K202" i="1085" a="1"/>
  <c r="K202" i="1085" s="1"/>
  <c r="K132" i="1085" a="1"/>
  <c r="K132" i="1085" s="1"/>
  <c r="D132" i="1085"/>
  <c r="F51" i="1085"/>
  <c r="B132" i="1085"/>
  <c r="E132" i="1085"/>
  <c r="F17" i="1085"/>
  <c r="H59" i="1085"/>
  <c r="F127" i="1085"/>
  <c r="B51" i="1085"/>
  <c r="E17" i="1085"/>
  <c r="B59" i="1085"/>
  <c r="J163" i="1085" a="1"/>
  <c r="J163" i="1085" s="1"/>
  <c r="H127" i="1085"/>
  <c r="J51" i="1085" a="1"/>
  <c r="J51" i="1085" s="1"/>
  <c r="B17" i="1085"/>
  <c r="C59" i="1085"/>
  <c r="J17" i="1085" a="1"/>
  <c r="J17" i="1085" s="1"/>
  <c r="J59" i="1085" a="1"/>
  <c r="J59" i="1085" s="1"/>
  <c r="H71" i="1085"/>
  <c r="K238" i="1085" a="1"/>
  <c r="K238" i="1085" s="1"/>
  <c r="K71" i="1085" a="1"/>
  <c r="K71" i="1085" s="1"/>
  <c r="E238" i="1085"/>
  <c r="J238" i="1085" a="1"/>
  <c r="J238" i="1085" s="1"/>
  <c r="B50" i="1085"/>
  <c r="C238" i="1085"/>
  <c r="K49" i="1085" a="1"/>
  <c r="K49" i="1085" s="1"/>
  <c r="F238" i="1085"/>
  <c r="D165" i="1085"/>
  <c r="J165" i="1085" a="1"/>
  <c r="J165" i="1085" s="1"/>
  <c r="F165" i="1085"/>
  <c r="B165" i="1085"/>
  <c r="J71" i="1085" a="1"/>
  <c r="J71" i="1085" s="1"/>
  <c r="C165" i="1085"/>
  <c r="D71" i="1085"/>
  <c r="E165" i="1085"/>
  <c r="C228" i="1085"/>
  <c r="C71" i="1085"/>
  <c r="F71" i="1085"/>
  <c r="H238" i="1085"/>
  <c r="D123" i="1085"/>
  <c r="E123" i="1085"/>
  <c r="B123" i="1085"/>
  <c r="K123" i="1085" a="1"/>
  <c r="K123" i="1085" s="1"/>
  <c r="J50" i="1085" a="1"/>
  <c r="J50" i="1085" s="1"/>
  <c r="E50" i="1085"/>
  <c r="B124" i="1085"/>
  <c r="K124" i="1085" a="1"/>
  <c r="K124" i="1085" s="1"/>
  <c r="F124" i="1085"/>
  <c r="E124" i="1085"/>
  <c r="H124" i="1085"/>
  <c r="D24" i="1085"/>
  <c r="E24" i="1085"/>
  <c r="D76" i="1085"/>
  <c r="E190" i="1085"/>
  <c r="F76" i="1085"/>
  <c r="H190" i="1085"/>
  <c r="E76" i="1085"/>
  <c r="F113" i="1085"/>
  <c r="J196" i="1085" a="1"/>
  <c r="J196" i="1085" s="1"/>
  <c r="H76" i="1085"/>
  <c r="K197" i="1085" a="1"/>
  <c r="K197" i="1085" s="1"/>
  <c r="J76" i="1085" a="1"/>
  <c r="J76" i="1085" s="1"/>
  <c r="D196" i="1085"/>
  <c r="F197" i="1085"/>
  <c r="C197" i="1085"/>
  <c r="B79" i="1085"/>
  <c r="F79" i="1085"/>
  <c r="E197" i="1085"/>
  <c r="J197" i="1085" a="1"/>
  <c r="J197" i="1085" s="1"/>
  <c r="J139" i="1085" a="1"/>
  <c r="J139" i="1085" s="1"/>
  <c r="C139" i="1085"/>
  <c r="K139" i="1085" a="1"/>
  <c r="K139" i="1085" s="1"/>
  <c r="D139" i="1085"/>
  <c r="E139" i="1085"/>
  <c r="F139" i="1085"/>
  <c r="B139" i="1085"/>
  <c r="C24" i="1085"/>
  <c r="K24" i="1085" a="1"/>
  <c r="K24" i="1085" s="1"/>
  <c r="J124" i="1085" a="1"/>
  <c r="J124" i="1085" s="1"/>
  <c r="D124" i="1085"/>
  <c r="F24" i="1085"/>
  <c r="B24" i="1085"/>
  <c r="J24" i="1085" a="1"/>
  <c r="J24" i="1085" s="1"/>
  <c r="C81" i="1085"/>
  <c r="J61" i="1085" a="1"/>
  <c r="J61" i="1085" s="1"/>
  <c r="F81" i="1085"/>
  <c r="K61" i="1085" a="1"/>
  <c r="K61" i="1085" s="1"/>
  <c r="J81" i="1085" a="1"/>
  <c r="J81" i="1085" s="1"/>
  <c r="E61" i="1085"/>
  <c r="E81" i="1085"/>
  <c r="C49" i="1085"/>
  <c r="H81" i="1085"/>
  <c r="H49" i="1085"/>
  <c r="K81" i="1085" a="1"/>
  <c r="K81" i="1085" s="1"/>
  <c r="D49" i="1085"/>
  <c r="D81" i="1085"/>
  <c r="J49" i="1085" a="1"/>
  <c r="J49" i="1085" s="1"/>
  <c r="B219" i="1085"/>
  <c r="E49" i="1085"/>
  <c r="E13" i="1085"/>
  <c r="D219" i="1085"/>
  <c r="F219" i="1085"/>
  <c r="F49" i="1085"/>
  <c r="E219" i="1085"/>
  <c r="K216" i="1085" a="1"/>
  <c r="K216" i="1085" s="1"/>
  <c r="H61" i="1085"/>
  <c r="C216" i="1085"/>
  <c r="H219" i="1085"/>
  <c r="D61" i="1085"/>
  <c r="B216" i="1085"/>
  <c r="K219" i="1085" a="1"/>
  <c r="K219" i="1085" s="1"/>
  <c r="J219" i="1085" a="1"/>
  <c r="J219" i="1085" s="1"/>
  <c r="C61" i="1085"/>
  <c r="D216" i="1085"/>
  <c r="B61" i="1085"/>
  <c r="E216" i="1085"/>
  <c r="F91" i="1085"/>
  <c r="H91" i="1085"/>
  <c r="J91" i="1085" a="1"/>
  <c r="J91" i="1085" s="1"/>
  <c r="F227" i="1085"/>
  <c r="C50" i="1085"/>
  <c r="F50" i="1085"/>
  <c r="K50" i="1085" a="1"/>
  <c r="K50" i="1085" s="1"/>
  <c r="B235" i="1085"/>
  <c r="K41" i="1085" a="1"/>
  <c r="K41" i="1085" s="1"/>
  <c r="E162" i="1085"/>
  <c r="F235" i="1085"/>
  <c r="F41" i="1085"/>
  <c r="H162" i="1085"/>
  <c r="J205" i="1085" a="1"/>
  <c r="J205" i="1085" s="1"/>
  <c r="E235" i="1085"/>
  <c r="B41" i="1085"/>
  <c r="C162" i="1085"/>
  <c r="K205" i="1085" a="1"/>
  <c r="K205" i="1085" s="1"/>
  <c r="J162" i="1085" a="1"/>
  <c r="J162" i="1085" s="1"/>
  <c r="F205" i="1085"/>
  <c r="F179" i="1085"/>
  <c r="H164" i="1085"/>
  <c r="K162" i="1085" a="1"/>
  <c r="K162" i="1085" s="1"/>
  <c r="E41" i="1085"/>
  <c r="B205" i="1085"/>
  <c r="D179" i="1085"/>
  <c r="J164" i="1085" a="1"/>
  <c r="J164" i="1085" s="1"/>
  <c r="J60" i="1085" a="1"/>
  <c r="J60" i="1085" s="1"/>
  <c r="C205" i="1085"/>
  <c r="H179" i="1085"/>
  <c r="C164" i="1085"/>
  <c r="H45" i="1085"/>
  <c r="B164" i="1085"/>
  <c r="C116" i="1085"/>
  <c r="J179" i="1085" a="1"/>
  <c r="J179" i="1085" s="1"/>
  <c r="C179" i="1085"/>
  <c r="K45" i="1085" a="1"/>
  <c r="K45" i="1085" s="1"/>
  <c r="E164" i="1085"/>
  <c r="E116" i="1085"/>
  <c r="F45" i="1085"/>
  <c r="D164" i="1085"/>
  <c r="K179" i="1085" a="1"/>
  <c r="K179" i="1085" s="1"/>
  <c r="B179" i="1085"/>
  <c r="C45" i="1085"/>
  <c r="K164" i="1085" a="1"/>
  <c r="K164" i="1085" s="1"/>
  <c r="D45" i="1085"/>
  <c r="J235" i="1085" a="1"/>
  <c r="J235" i="1085" s="1"/>
  <c r="H205" i="1085"/>
  <c r="B45" i="1085"/>
  <c r="C235" i="1085"/>
  <c r="H41" i="1085"/>
  <c r="J45" i="1085" a="1"/>
  <c r="J45" i="1085" s="1"/>
  <c r="D235" i="1085"/>
  <c r="D41" i="1085"/>
  <c r="D162" i="1085"/>
  <c r="C41" i="1085"/>
  <c r="H116" i="1085"/>
  <c r="B162" i="1085"/>
  <c r="J116" i="1085" a="1"/>
  <c r="J116" i="1085" s="1"/>
  <c r="C60" i="1085"/>
  <c r="D60" i="1085"/>
  <c r="D116" i="1085"/>
  <c r="J247" i="1085" a="1"/>
  <c r="J247" i="1085" s="1"/>
  <c r="L247" i="1085" s="1" a="1"/>
  <c r="L247" i="1085" s="1"/>
  <c r="B133" i="1085"/>
  <c r="J234" i="1085" a="1"/>
  <c r="J234" i="1085" s="1"/>
  <c r="C25" i="1085"/>
  <c r="H149" i="1085"/>
  <c r="B237" i="1085"/>
  <c r="K234" i="1085" a="1"/>
  <c r="K234" i="1085" s="1"/>
  <c r="B149" i="1085"/>
  <c r="J237" i="1085" a="1"/>
  <c r="J237" i="1085" s="1"/>
  <c r="E234" i="1085"/>
  <c r="K237" i="1085" a="1"/>
  <c r="K237" i="1085" s="1"/>
  <c r="C108" i="1085"/>
  <c r="C177" i="1085"/>
  <c r="J149" i="1085" a="1"/>
  <c r="J149" i="1085" s="1"/>
  <c r="L149" i="1085" s="1" a="1"/>
  <c r="L149" i="1085" s="1"/>
  <c r="D108" i="1085"/>
  <c r="J177" i="1085" a="1"/>
  <c r="J177" i="1085" s="1"/>
  <c r="L177" i="1085" s="1" a="1"/>
  <c r="L177" i="1085" s="1"/>
  <c r="B247" i="1085"/>
  <c r="J133" i="1085" a="1"/>
  <c r="J133" i="1085" s="1"/>
  <c r="L133" i="1085" s="1" a="1"/>
  <c r="L133" i="1085" s="1"/>
  <c r="B108" i="1085"/>
  <c r="B177" i="1085"/>
  <c r="F128" i="1085"/>
  <c r="H133" i="1085"/>
  <c r="E108" i="1085"/>
  <c r="L108" i="1085" s="1" a="1"/>
  <c r="L108" i="1085" s="1"/>
  <c r="D177" i="1085"/>
  <c r="K128" i="1085" a="1"/>
  <c r="K128" i="1085" s="1"/>
  <c r="F247" i="1085"/>
  <c r="D133" i="1085"/>
  <c r="D128" i="1085"/>
  <c r="H128" i="1085"/>
  <c r="K60" i="1085" a="1"/>
  <c r="K60" i="1085" s="1"/>
  <c r="K116" i="1085" a="1"/>
  <c r="K116" i="1085" s="1"/>
  <c r="E60" i="1085"/>
  <c r="F116" i="1085"/>
  <c r="F60" i="1085"/>
  <c r="B60" i="1085"/>
  <c r="F191" i="1085"/>
  <c r="E223" i="1085"/>
  <c r="E245" i="1085"/>
  <c r="K245" i="1085" a="1"/>
  <c r="K245" i="1085" s="1"/>
  <c r="B12" i="1085"/>
  <c r="F184" i="1085"/>
  <c r="J223" i="1085" a="1"/>
  <c r="J223" i="1085" s="1"/>
  <c r="J232" i="1085" a="1"/>
  <c r="J232" i="1085" s="1"/>
  <c r="C12" i="1085"/>
  <c r="B223" i="1085"/>
  <c r="H245" i="1085"/>
  <c r="B184" i="1085"/>
  <c r="K232" i="1085" a="1"/>
  <c r="K232" i="1085" s="1"/>
  <c r="K12" i="1085" a="1"/>
  <c r="K12" i="1085" s="1"/>
  <c r="H223" i="1085"/>
  <c r="F245" i="1085"/>
  <c r="C184" i="1085"/>
  <c r="K184" i="1085" a="1"/>
  <c r="K184" i="1085" s="1"/>
  <c r="K223" i="1085" a="1"/>
  <c r="K223" i="1085" s="1"/>
  <c r="J245" i="1085" a="1"/>
  <c r="J245" i="1085" s="1"/>
  <c r="H232" i="1085"/>
  <c r="D12" i="1085"/>
  <c r="D223" i="1085"/>
  <c r="B245" i="1085"/>
  <c r="D176" i="1085"/>
  <c r="H215" i="1085"/>
  <c r="J37" i="1085" a="1"/>
  <c r="J37" i="1085" s="1"/>
  <c r="F232" i="1085"/>
  <c r="F12" i="1085"/>
  <c r="D155" i="1085"/>
  <c r="C176" i="1085"/>
  <c r="F215" i="1085"/>
  <c r="F37" i="1085"/>
  <c r="B155" i="1085"/>
  <c r="E176" i="1085"/>
  <c r="J215" i="1085" a="1"/>
  <c r="J215" i="1085" s="1"/>
  <c r="H37" i="1085"/>
  <c r="E12" i="1085"/>
  <c r="D232" i="1085"/>
  <c r="H12" i="1085"/>
  <c r="F155" i="1085"/>
  <c r="J176" i="1085" a="1"/>
  <c r="J176" i="1085" s="1"/>
  <c r="C215" i="1085"/>
  <c r="D37" i="1085"/>
  <c r="B232" i="1085"/>
  <c r="E232" i="1085"/>
  <c r="E155" i="1085"/>
  <c r="K176" i="1085" a="1"/>
  <c r="K176" i="1085" s="1"/>
  <c r="K215" i="1085" a="1"/>
  <c r="K215" i="1085" s="1"/>
  <c r="B37" i="1085"/>
  <c r="J155" i="1085" a="1"/>
  <c r="J155" i="1085" s="1"/>
  <c r="H176" i="1085"/>
  <c r="D215" i="1085"/>
  <c r="K37" i="1085" a="1"/>
  <c r="K37" i="1085" s="1"/>
  <c r="F176" i="1085"/>
  <c r="B215" i="1085"/>
  <c r="C37" i="1085"/>
  <c r="K155" i="1085" a="1"/>
  <c r="K155" i="1085" s="1"/>
  <c r="C155" i="1085"/>
  <c r="D184" i="1085"/>
  <c r="F223" i="1085"/>
  <c r="C245" i="1085"/>
  <c r="J184" i="1085" a="1"/>
  <c r="J184" i="1085" s="1"/>
  <c r="E184" i="1085"/>
  <c r="D227" i="1085"/>
  <c r="F120" i="1085"/>
  <c r="D191" i="1085"/>
  <c r="E227" i="1085"/>
  <c r="C191" i="1085"/>
  <c r="H227" i="1085"/>
  <c r="E191" i="1085"/>
  <c r="J191" i="1085" a="1"/>
  <c r="J191" i="1085" s="1"/>
  <c r="H191" i="1085"/>
  <c r="J248" i="1085" a="1"/>
  <c r="J248" i="1085" s="1"/>
  <c r="K91" i="1085" a="1"/>
  <c r="K91" i="1085" s="1"/>
  <c r="B91" i="1085"/>
  <c r="H248" i="1085"/>
  <c r="D248" i="1085"/>
  <c r="J120" i="1085" a="1"/>
  <c r="J120" i="1085" s="1"/>
  <c r="B248" i="1085"/>
  <c r="E91" i="1085"/>
  <c r="C91" i="1085"/>
  <c r="H120" i="1085"/>
  <c r="E248" i="1085"/>
  <c r="C227" i="1085"/>
  <c r="C120" i="1085"/>
  <c r="J227" i="1085" a="1"/>
  <c r="J227" i="1085" s="1"/>
  <c r="K120" i="1085" a="1"/>
  <c r="K120" i="1085" s="1"/>
  <c r="K227" i="1085" a="1"/>
  <c r="K227" i="1085" s="1"/>
  <c r="B120" i="1085"/>
  <c r="E120" i="1085"/>
  <c r="K191" i="1085" a="1"/>
  <c r="K191" i="1085" s="1"/>
  <c r="E15" i="1085"/>
  <c r="C22" i="1085"/>
  <c r="B15" i="1085"/>
  <c r="J22" i="1085" a="1"/>
  <c r="J22" i="1085" s="1"/>
  <c r="C195" i="1085"/>
  <c r="D195" i="1085"/>
  <c r="F195" i="1085"/>
  <c r="E107" i="1085"/>
  <c r="B195" i="1085"/>
  <c r="K195" i="1085" a="1"/>
  <c r="K195" i="1085" s="1"/>
  <c r="B107" i="1085"/>
  <c r="E195" i="1085"/>
  <c r="H107" i="1085"/>
  <c r="D150" i="1085"/>
  <c r="J195" i="1085" a="1"/>
  <c r="J195" i="1085" s="1"/>
  <c r="K107" i="1085" a="1"/>
  <c r="K107" i="1085" s="1"/>
  <c r="B150" i="1085"/>
  <c r="D107" i="1085"/>
  <c r="E150" i="1085"/>
  <c r="H15" i="1085"/>
  <c r="B22" i="1085"/>
  <c r="D203" i="1085"/>
  <c r="J150" i="1085" a="1"/>
  <c r="J150" i="1085" s="1"/>
  <c r="F15" i="1085"/>
  <c r="D22" i="1085"/>
  <c r="H150" i="1085"/>
  <c r="K15" i="1085" a="1"/>
  <c r="K15" i="1085" s="1"/>
  <c r="K22" i="1085" a="1"/>
  <c r="K22" i="1085" s="1"/>
  <c r="F150" i="1085"/>
  <c r="J15" i="1085" a="1"/>
  <c r="J15" i="1085" s="1"/>
  <c r="H22" i="1085"/>
  <c r="K242" i="1085" a="1"/>
  <c r="K242" i="1085" s="1"/>
  <c r="D180" i="1085"/>
  <c r="K180" i="1085" a="1"/>
  <c r="K180" i="1085" s="1"/>
  <c r="C97" i="1085"/>
  <c r="F31" i="1085"/>
  <c r="J242" i="1085" a="1"/>
  <c r="J242" i="1085" s="1"/>
  <c r="C242" i="1085"/>
  <c r="E31" i="1085"/>
  <c r="H242" i="1085"/>
  <c r="K241" i="1085" a="1"/>
  <c r="K241" i="1085" s="1"/>
  <c r="D31" i="1085"/>
  <c r="B242" i="1085"/>
  <c r="E242" i="1085"/>
  <c r="B241" i="1085"/>
  <c r="C31" i="1085"/>
  <c r="C106" i="1085"/>
  <c r="C241" i="1085"/>
  <c r="K106" i="1085" a="1"/>
  <c r="K106" i="1085" s="1"/>
  <c r="J106" i="1085" a="1"/>
  <c r="J106" i="1085" s="1"/>
  <c r="B63" i="1085"/>
  <c r="K48" i="1085" a="1"/>
  <c r="K48" i="1085" s="1"/>
  <c r="D11" i="1085"/>
  <c r="H97" i="1085"/>
  <c r="H241" i="1085"/>
  <c r="D106" i="1085"/>
  <c r="J63" i="1085" a="1"/>
  <c r="J63" i="1085" s="1"/>
  <c r="J48" i="1085" a="1"/>
  <c r="J48" i="1085" s="1"/>
  <c r="H11" i="1085"/>
  <c r="D97" i="1085"/>
  <c r="J241" i="1085" a="1"/>
  <c r="J241" i="1085" s="1"/>
  <c r="K97" i="1085" a="1"/>
  <c r="K97" i="1085" s="1"/>
  <c r="H106" i="1085"/>
  <c r="H63" i="1085"/>
  <c r="E48" i="1085"/>
  <c r="J97" i="1085" a="1"/>
  <c r="J97" i="1085" s="1"/>
  <c r="F106" i="1085"/>
  <c r="K63" i="1085" a="1"/>
  <c r="K63" i="1085" s="1"/>
  <c r="D48" i="1085"/>
  <c r="B106" i="1085"/>
  <c r="D63" i="1085"/>
  <c r="C48" i="1085"/>
  <c r="C63" i="1085"/>
  <c r="H48" i="1085"/>
  <c r="F97" i="1085"/>
  <c r="D242" i="1085"/>
  <c r="F63" i="1085"/>
  <c r="F48" i="1085"/>
  <c r="C154" i="1085"/>
  <c r="B154" i="1085"/>
  <c r="K154" i="1085" a="1"/>
  <c r="K154" i="1085" s="1"/>
  <c r="F154" i="1085"/>
  <c r="C39" i="1085"/>
  <c r="D39" i="1085"/>
  <c r="D154" i="1085"/>
  <c r="F183" i="1085"/>
  <c r="J154" i="1085" a="1"/>
  <c r="J154" i="1085" s="1"/>
  <c r="B183" i="1085"/>
  <c r="E154" i="1085"/>
  <c r="K183" i="1085" a="1"/>
  <c r="K183" i="1085" s="1"/>
  <c r="F218" i="1085"/>
  <c r="C69" i="1085"/>
  <c r="F69" i="1085"/>
  <c r="K69" i="1085" a="1"/>
  <c r="K69" i="1085" s="1"/>
  <c r="B75" i="1085"/>
  <c r="E47" i="1085"/>
  <c r="E198" i="1085"/>
  <c r="K198" i="1085" a="1"/>
  <c r="K198" i="1085" s="1"/>
  <c r="D198" i="1085"/>
  <c r="C183" i="1085"/>
  <c r="B39" i="1085"/>
  <c r="E183" i="1085"/>
  <c r="F39" i="1085"/>
  <c r="D183" i="1085"/>
  <c r="E39" i="1085"/>
  <c r="F198" i="1085"/>
  <c r="K57" i="1085" a="1"/>
  <c r="K57" i="1085" s="1"/>
  <c r="C198" i="1085"/>
  <c r="B57" i="1085"/>
  <c r="H198" i="1085"/>
  <c r="C57" i="1085"/>
  <c r="J198" i="1085" a="1"/>
  <c r="J198" i="1085" s="1"/>
  <c r="H183" i="1085"/>
  <c r="K39" i="1085" a="1"/>
  <c r="K39" i="1085" s="1"/>
  <c r="H39" i="1085"/>
  <c r="F143" i="1085"/>
  <c r="A8" i="1053"/>
  <c r="C180" i="1085"/>
  <c r="K214" i="1085" a="1"/>
  <c r="K214" i="1085" s="1"/>
  <c r="L214" i="1085" s="1" a="1"/>
  <c r="L214" i="1085" s="1"/>
  <c r="F180" i="1085"/>
  <c r="B214" i="1085"/>
  <c r="E180" i="1085"/>
  <c r="C214" i="1085"/>
  <c r="H180" i="1085"/>
  <c r="D214" i="1085"/>
  <c r="F214" i="1085"/>
  <c r="B13" i="1085"/>
  <c r="H13" i="1085"/>
  <c r="K13" i="1085" a="1"/>
  <c r="K13" i="1085" s="1"/>
  <c r="H216" i="1085"/>
  <c r="D13" i="1085"/>
  <c r="F13" i="1085"/>
  <c r="C13" i="1085"/>
  <c r="C35" i="1085"/>
  <c r="A7" i="1053"/>
  <c r="C143" i="1085"/>
  <c r="K218" i="1085" a="1"/>
  <c r="K218" i="1085" s="1"/>
  <c r="K75" i="1085" a="1"/>
  <c r="K75" i="1085" s="1"/>
  <c r="B47" i="1085"/>
  <c r="B143" i="1085"/>
  <c r="D218" i="1085"/>
  <c r="J75" i="1085" a="1"/>
  <c r="J75" i="1085" s="1"/>
  <c r="E35" i="1085"/>
  <c r="E69" i="1085"/>
  <c r="A83" i="1024"/>
  <c r="D143" i="1085"/>
  <c r="H218" i="1085"/>
  <c r="F75" i="1085"/>
  <c r="J35" i="1085" a="1"/>
  <c r="J35" i="1085" s="1"/>
  <c r="J69" i="1085" a="1"/>
  <c r="J69" i="1085" s="1"/>
  <c r="B213" i="1085"/>
  <c r="J143" i="1085" a="1"/>
  <c r="J143" i="1085" s="1"/>
  <c r="B218" i="1085"/>
  <c r="D75" i="1085"/>
  <c r="B35" i="1085"/>
  <c r="H69" i="1085"/>
  <c r="D213" i="1085"/>
  <c r="K143" i="1085" a="1"/>
  <c r="K143" i="1085" s="1"/>
  <c r="E218" i="1085"/>
  <c r="E75" i="1085"/>
  <c r="H35" i="1085"/>
  <c r="D69" i="1085"/>
  <c r="K213" i="1085" a="1"/>
  <c r="K213" i="1085" s="1"/>
  <c r="E72" i="1085"/>
  <c r="E213" i="1085"/>
  <c r="H72" i="1085"/>
  <c r="H213" i="1085"/>
  <c r="F72" i="1085"/>
  <c r="J213" i="1085" a="1"/>
  <c r="J213" i="1085" s="1"/>
  <c r="B72" i="1085"/>
  <c r="F213" i="1085"/>
  <c r="H47" i="1085"/>
  <c r="K72" i="1085" a="1"/>
  <c r="K72" i="1085" s="1"/>
  <c r="F47" i="1085"/>
  <c r="J72" i="1085" a="1"/>
  <c r="J72" i="1085" s="1"/>
  <c r="C47" i="1085"/>
  <c r="D72" i="1085"/>
  <c r="D47" i="1085"/>
  <c r="A78" i="890"/>
  <c r="E143" i="1085"/>
  <c r="C218" i="1085"/>
  <c r="C75" i="1085"/>
  <c r="J47" i="1085" a="1"/>
  <c r="J47" i="1085" s="1"/>
  <c r="A171" i="1023"/>
  <c r="A96" i="1024"/>
  <c r="A58" i="1071"/>
  <c r="A54" i="890"/>
  <c r="A9" i="1078"/>
  <c r="A160" i="890"/>
  <c r="A15" i="1018"/>
  <c r="A165" i="1024"/>
  <c r="C113" i="1085"/>
  <c r="H17" i="1030"/>
  <c r="I17" i="1030" s="1"/>
  <c r="D79" i="1085"/>
  <c r="C196" i="1085"/>
  <c r="A146" i="1024"/>
  <c r="D9" i="1085"/>
  <c r="A17" i="1048"/>
  <c r="A198" i="890"/>
  <c r="A9" i="1024"/>
  <c r="A8" i="1071"/>
  <c r="J113" i="1085" a="1"/>
  <c r="J113" i="1085" s="1"/>
  <c r="B190" i="1085"/>
  <c r="E196" i="1085"/>
  <c r="L196" i="1085" s="1" a="1"/>
  <c r="L196" i="1085" s="1"/>
  <c r="J190" i="1085" a="1"/>
  <c r="J190" i="1085" s="1"/>
  <c r="A33" i="1024"/>
  <c r="A39" i="1024"/>
  <c r="A152" i="890"/>
  <c r="A15" i="1048"/>
  <c r="A17" i="1024"/>
  <c r="A180" i="890"/>
  <c r="K113" i="1085" a="1"/>
  <c r="K113" i="1085" s="1"/>
  <c r="K79" i="1085" a="1"/>
  <c r="K79" i="1085" s="1"/>
  <c r="E79" i="1085"/>
  <c r="H196" i="1085"/>
  <c r="K190" i="1085" a="1"/>
  <c r="K190" i="1085" s="1"/>
  <c r="A74" i="1071"/>
  <c r="A72" i="890"/>
  <c r="A32" i="890"/>
  <c r="K9" i="1085" a="1"/>
  <c r="K9" i="1085" s="1"/>
  <c r="A21" i="1024"/>
  <c r="A183" i="1023"/>
  <c r="A15" i="1023"/>
  <c r="B113" i="1085"/>
  <c r="J79" i="1085" a="1"/>
  <c r="J79" i="1085" s="1"/>
  <c r="C9" i="1085"/>
  <c r="A137" i="1024"/>
  <c r="A131" i="890"/>
  <c r="A22" i="1071"/>
  <c r="A42" i="1071"/>
  <c r="A170" i="1024"/>
  <c r="A23" i="1053"/>
  <c r="F196" i="1085"/>
  <c r="F190" i="1085"/>
  <c r="A18" i="1053"/>
  <c r="E9" i="1085"/>
  <c r="A24" i="1053"/>
  <c r="A104" i="1023"/>
  <c r="A26" i="1023"/>
  <c r="A13" i="1024"/>
  <c r="A19" i="1053"/>
  <c r="A81" i="1071"/>
  <c r="A243" i="890"/>
  <c r="A17" i="1018"/>
  <c r="A9" i="1053"/>
  <c r="A230" i="890"/>
  <c r="B78" i="1085"/>
  <c r="A13" i="1078"/>
  <c r="A11" i="1048"/>
  <c r="A73" i="1024"/>
  <c r="A97" i="890"/>
  <c r="A239" i="890"/>
  <c r="A92" i="1024"/>
  <c r="D78" i="1085"/>
  <c r="A16" i="1018"/>
  <c r="A62" i="890"/>
  <c r="A21" i="1053"/>
  <c r="A78" i="1024"/>
  <c r="A119" i="1024"/>
  <c r="A28" i="1071"/>
  <c r="J78" i="1085" a="1"/>
  <c r="J78" i="1085" s="1"/>
  <c r="C78" i="1085"/>
  <c r="A20" i="1018"/>
  <c r="A20" i="1053"/>
  <c r="A153" i="1023"/>
  <c r="A25" i="1053"/>
  <c r="A13" i="1018"/>
  <c r="A101" i="890"/>
  <c r="K78" i="1085" a="1"/>
  <c r="K78" i="1085" s="1"/>
  <c r="A97" i="1023"/>
  <c r="B9" i="1085"/>
  <c r="A22" i="1053"/>
  <c r="A111" i="1024"/>
  <c r="F9" i="1085"/>
  <c r="A122" i="890"/>
  <c r="J9" i="1085" a="1"/>
  <c r="J9" i="1085" s="1"/>
  <c r="A29" i="1024"/>
  <c r="A66" i="1071"/>
  <c r="A82" i="890"/>
  <c r="A12" i="1018"/>
  <c r="A14" i="1018"/>
  <c r="F78" i="1085"/>
  <c r="A21" i="1078"/>
  <c r="A93" i="890"/>
  <c r="A10" i="1053"/>
  <c r="A108" i="1023"/>
  <c r="A202" i="890"/>
  <c r="A92" i="1023"/>
  <c r="D113" i="1085"/>
  <c r="B196" i="1085"/>
  <c r="C190" i="1085"/>
  <c r="A23" i="1048"/>
  <c r="A19" i="1018"/>
  <c r="A18" i="1071"/>
  <c r="A78" i="1023"/>
  <c r="A166" i="890"/>
  <c r="A15" i="1053"/>
  <c r="E113" i="1085"/>
  <c r="A26" i="1053"/>
  <c r="A40" i="1023"/>
  <c r="A103" i="1024"/>
  <c r="A18" i="1018"/>
  <c r="A142" i="1024"/>
  <c r="E78" i="1085"/>
  <c r="H160" i="1085"/>
  <c r="B160" i="1085"/>
  <c r="D160" i="1085"/>
  <c r="H15" i="1030"/>
  <c r="I15" i="1030" s="1"/>
  <c r="K160" i="1085" a="1"/>
  <c r="K160" i="1085" s="1"/>
  <c r="H13" i="1030"/>
  <c r="I13" i="1030" s="1"/>
  <c r="J160" i="1085" a="1"/>
  <c r="J160" i="1085" s="1"/>
  <c r="H18" i="1030"/>
  <c r="I18" i="1030" s="1"/>
  <c r="F160" i="1085"/>
  <c r="F35" i="1085"/>
  <c r="H16" i="1030"/>
  <c r="I16" i="1030" s="1"/>
  <c r="E160" i="1085"/>
  <c r="D57" i="1085"/>
  <c r="C220" i="1085"/>
  <c r="D220" i="1085"/>
  <c r="E57" i="1085"/>
  <c r="F57" i="1085"/>
  <c r="H57" i="1085"/>
  <c r="B11" i="1085"/>
  <c r="J11" i="1085" a="1"/>
  <c r="J11" i="1085" s="1"/>
  <c r="C11" i="1085"/>
  <c r="F11" i="1085"/>
  <c r="K11" i="1085" a="1"/>
  <c r="K11" i="1085" s="1"/>
  <c r="K84" i="1085" a="1"/>
  <c r="K84" i="1085" s="1"/>
  <c r="F248" i="1085"/>
  <c r="B103" i="1085"/>
  <c r="B212" i="1085"/>
  <c r="D212" i="1085"/>
  <c r="F174" i="1085"/>
  <c r="K35" i="1085" a="1"/>
  <c r="K35" i="1085" s="1"/>
  <c r="E240" i="1085"/>
  <c r="J240" i="1085" a="1"/>
  <c r="J240" i="1085" s="1"/>
  <c r="C240" i="1085"/>
  <c r="B240" i="1085"/>
  <c r="F240" i="1085"/>
  <c r="A49" i="1071"/>
  <c r="A17" i="1053"/>
  <c r="A189" i="1023"/>
  <c r="A11" i="890"/>
  <c r="A86" i="1071"/>
  <c r="A24" i="1018"/>
  <c r="A13" i="1048"/>
  <c r="A54" i="1024"/>
  <c r="A115" i="1024"/>
  <c r="A16" i="1053"/>
  <c r="A49" i="1024"/>
  <c r="A11" i="1018"/>
  <c r="K248" i="1085" a="1"/>
  <c r="K248" i="1085" s="1"/>
  <c r="C187" i="1085"/>
  <c r="B53" i="1085"/>
  <c r="C84" i="1085"/>
  <c r="F103" i="1085"/>
  <c r="F118" i="1085"/>
  <c r="F84" i="1085"/>
  <c r="K103" i="1085" a="1"/>
  <c r="K103" i="1085" s="1"/>
  <c r="J118" i="1085" a="1"/>
  <c r="J118" i="1085" s="1"/>
  <c r="D84" i="1085"/>
  <c r="H187" i="1085"/>
  <c r="C53" i="1085"/>
  <c r="H118" i="1085"/>
  <c r="E84" i="1085"/>
  <c r="H212" i="1085"/>
  <c r="D187" i="1085"/>
  <c r="K53" i="1085" a="1"/>
  <c r="K53" i="1085" s="1"/>
  <c r="K118" i="1085" a="1"/>
  <c r="K118" i="1085" s="1"/>
  <c r="D103" i="1085"/>
  <c r="K212" i="1085" a="1"/>
  <c r="K212" i="1085" s="1"/>
  <c r="J187" i="1085" a="1"/>
  <c r="J187" i="1085" s="1"/>
  <c r="H53" i="1085"/>
  <c r="D118" i="1085"/>
  <c r="C103" i="1085"/>
  <c r="C212" i="1085"/>
  <c r="K187" i="1085" a="1"/>
  <c r="K187" i="1085" s="1"/>
  <c r="J53" i="1085" a="1"/>
  <c r="J53" i="1085" s="1"/>
  <c r="J84" i="1085" a="1"/>
  <c r="J84" i="1085" s="1"/>
  <c r="E103" i="1085"/>
  <c r="F212" i="1085"/>
  <c r="E118" i="1085"/>
  <c r="H84" i="1085"/>
  <c r="J103" i="1085" a="1"/>
  <c r="J103" i="1085" s="1"/>
  <c r="J212" i="1085" a="1"/>
  <c r="J212" i="1085" s="1"/>
  <c r="E174" i="1085"/>
  <c r="J174" i="1085" a="1"/>
  <c r="J174" i="1085" s="1"/>
  <c r="H174" i="1085"/>
  <c r="K174" i="1085" a="1"/>
  <c r="K174" i="1085" s="1"/>
  <c r="C118" i="1085"/>
  <c r="B174" i="1085"/>
  <c r="D174" i="1085"/>
  <c r="F111" i="1085"/>
  <c r="E46" i="1085"/>
  <c r="L46" i="1085" s="1" a="1"/>
  <c r="L46" i="1085" s="1"/>
  <c r="H240" i="1085"/>
  <c r="B101" i="1085"/>
  <c r="D66" i="1085"/>
  <c r="K240" i="1085" a="1"/>
  <c r="K240" i="1085" s="1"/>
  <c r="J101" i="1085" a="1"/>
  <c r="J101" i="1085" s="1"/>
  <c r="C66" i="1085"/>
  <c r="E101" i="1085"/>
  <c r="F66" i="1085"/>
  <c r="F101" i="1085"/>
  <c r="B66" i="1085"/>
  <c r="H101" i="1085"/>
  <c r="E66" i="1085"/>
  <c r="D101" i="1085"/>
  <c r="H66" i="1085"/>
  <c r="C101" i="1085"/>
  <c r="J66" i="1085" a="1"/>
  <c r="J66" i="1085" s="1"/>
  <c r="E18" i="1085"/>
  <c r="A13" i="1071"/>
  <c r="A179" i="1023"/>
  <c r="A86" i="1023"/>
  <c r="A154" i="1024"/>
  <c r="A88" i="1024"/>
  <c r="A14" i="1053"/>
  <c r="A43" i="1024"/>
  <c r="A144" i="1023"/>
  <c r="A226" i="890"/>
  <c r="A9" i="1048"/>
  <c r="A21" i="1048"/>
  <c r="A126" i="1023"/>
  <c r="A140" i="890"/>
  <c r="A22" i="1018"/>
  <c r="A13" i="1053"/>
  <c r="A233" i="1023"/>
  <c r="J128" i="1085" a="1"/>
  <c r="J128" i="1085" s="1"/>
  <c r="H25" i="1085"/>
  <c r="H18" i="1085"/>
  <c r="J25" i="1085" a="1"/>
  <c r="J25" i="1085" s="1"/>
  <c r="B18" i="1085"/>
  <c r="K25" i="1085" a="1"/>
  <c r="K25" i="1085" s="1"/>
  <c r="J18" i="1085" a="1"/>
  <c r="J18" i="1085" s="1"/>
  <c r="B128" i="1085"/>
  <c r="E25" i="1085"/>
  <c r="C18" i="1085"/>
  <c r="B25" i="1085"/>
  <c r="F18" i="1085"/>
  <c r="F25" i="1085"/>
  <c r="D18" i="1085"/>
  <c r="A150" i="1024"/>
  <c r="A19" i="1048"/>
  <c r="A117" i="1023"/>
  <c r="A12" i="1053"/>
  <c r="A107" i="1024"/>
  <c r="A162" i="1023"/>
  <c r="A11" i="1053"/>
  <c r="A64" i="1024"/>
  <c r="A33" i="1071"/>
  <c r="A17" i="1078"/>
  <c r="A38" i="1071"/>
  <c r="A191" i="890"/>
  <c r="A222" i="890"/>
  <c r="A59" i="1023"/>
  <c r="A58" i="890"/>
  <c r="A112" i="890"/>
  <c r="J20" i="1030"/>
  <c r="L64" i="1085" a="1"/>
  <c r="L64" i="1085" s="1"/>
  <c r="L244" i="1085" a="1"/>
  <c r="L244" i="1085" s="1"/>
  <c r="L23" i="1085" a="1"/>
  <c r="L23" i="1085" s="1"/>
  <c r="L141" i="1085" a="1"/>
  <c r="L141" i="1085" s="1"/>
  <c r="L175" i="1085" a="1"/>
  <c r="L175" i="1085" s="1"/>
  <c r="L144" i="1085" a="1"/>
  <c r="L144" i="1085" s="1"/>
  <c r="L217" i="1085" a="1"/>
  <c r="L217" i="1085" s="1"/>
  <c r="L142" i="1085" a="1"/>
  <c r="L142" i="1085" s="1"/>
  <c r="L122" i="1085" a="1"/>
  <c r="L122" i="1085" s="1"/>
  <c r="L28" i="1085" a="1"/>
  <c r="L28" i="1085" s="1"/>
  <c r="L167" i="1085" a="1"/>
  <c r="L167" i="1085" s="1"/>
  <c r="L55" i="1085" a="1"/>
  <c r="L55" i="1085" s="1"/>
  <c r="L62" i="1085" a="1"/>
  <c r="L62" i="1085" s="1"/>
  <c r="L229" i="1085" a="1"/>
  <c r="L229" i="1085" s="1"/>
  <c r="L129" i="1085" a="1"/>
  <c r="L129" i="1085" s="1"/>
  <c r="L43" i="1085" a="1"/>
  <c r="L43" i="1085" s="1"/>
  <c r="L171" i="1085" a="1"/>
  <c r="L171" i="1085" s="1"/>
  <c r="L126" i="1085" a="1"/>
  <c r="L126" i="1085" s="1"/>
  <c r="L54" i="1085" a="1"/>
  <c r="L54" i="1085" s="1"/>
  <c r="L40" i="1085" a="1"/>
  <c r="L40" i="1085" s="1"/>
  <c r="L161" i="1085" a="1"/>
  <c r="L161" i="1085" s="1"/>
  <c r="L99" i="1085" a="1"/>
  <c r="L99" i="1085" s="1"/>
  <c r="L68" i="1085" a="1"/>
  <c r="L68" i="1085" s="1"/>
  <c r="L87" i="1085" a="1"/>
  <c r="L87" i="1085" s="1"/>
  <c r="L211" i="1085" a="1"/>
  <c r="L211" i="1085" s="1"/>
  <c r="L32" i="1085" a="1"/>
  <c r="L32" i="1085" s="1"/>
  <c r="L203" i="1085" a="1"/>
  <c r="L203" i="1085" s="1"/>
  <c r="L44" i="1085" a="1"/>
  <c r="L44" i="1085" s="1"/>
  <c r="L222" i="1085" a="1"/>
  <c r="L222" i="1085" s="1"/>
  <c r="L88" i="1085" a="1"/>
  <c r="L88" i="1085" s="1"/>
  <c r="L14" i="1085" a="1"/>
  <c r="L14" i="1085" s="1"/>
  <c r="L200" i="1085" a="1"/>
  <c r="L200" i="1085" s="1"/>
  <c r="L172" i="1085" a="1"/>
  <c r="L172" i="1085" s="1"/>
  <c r="L135" i="1085" a="1"/>
  <c r="L135" i="1085" s="1"/>
  <c r="L20" i="1085" a="1"/>
  <c r="L20" i="1085" s="1"/>
  <c r="L153" i="1085" a="1"/>
  <c r="L153" i="1085" s="1"/>
  <c r="L58" i="1085" a="1"/>
  <c r="L58" i="1085" s="1"/>
  <c r="L82" i="1085" a="1"/>
  <c r="L82" i="1085" s="1"/>
  <c r="L93" i="1085" a="1"/>
  <c r="L93" i="1085" s="1"/>
  <c r="L42" i="1085" a="1"/>
  <c r="L42" i="1085" s="1"/>
  <c r="L145" i="1085" a="1"/>
  <c r="L145" i="1085" s="1"/>
  <c r="L74" i="1085" a="1"/>
  <c r="L74" i="1085" s="1"/>
  <c r="L192" i="1085" a="1"/>
  <c r="L192" i="1085" s="1"/>
  <c r="L33" i="1085" a="1"/>
  <c r="L33" i="1085" s="1"/>
  <c r="L173" i="1085" a="1"/>
  <c r="L173" i="1085" s="1"/>
  <c r="L52" i="1085" a="1"/>
  <c r="L52" i="1085" s="1"/>
  <c r="L147" i="1085" a="1"/>
  <c r="L147" i="1085" s="1"/>
  <c r="L230" i="1085" a="1"/>
  <c r="L230" i="1085" s="1"/>
  <c r="L148" i="1085" a="1"/>
  <c r="L148" i="1085" s="1"/>
  <c r="L38" i="1085" a="1"/>
  <c r="L38" i="1085" s="1"/>
  <c r="L95" i="1085" a="1"/>
  <c r="L95" i="1085" s="1"/>
  <c r="L158" i="1085" a="1"/>
  <c r="L158" i="1085" s="1"/>
  <c r="L117" i="1085" a="1"/>
  <c r="L117" i="1085" s="1"/>
  <c r="L137" i="1085" a="1"/>
  <c r="L137" i="1085" s="1"/>
  <c r="L65" i="1085" a="1"/>
  <c r="L65" i="1085" s="1"/>
  <c r="L152" i="1085" a="1"/>
  <c r="L152" i="1085" s="1"/>
  <c r="L89" i="1085" a="1"/>
  <c r="L89" i="1085" s="1"/>
  <c r="L98" i="1085" a="1"/>
  <c r="L98" i="1085" s="1"/>
  <c r="L239" i="1085" a="1"/>
  <c r="L239" i="1085" s="1"/>
  <c r="L226" i="1085" a="1"/>
  <c r="L226" i="1085" s="1"/>
  <c r="L96" i="1085" a="1"/>
  <c r="L96" i="1085" s="1"/>
  <c r="L130" i="1085" a="1"/>
  <c r="L130" i="1085" s="1"/>
  <c r="L246" i="1085" a="1"/>
  <c r="L246" i="1085" s="1"/>
  <c r="L102" i="1085" a="1"/>
  <c r="L102" i="1085" s="1"/>
  <c r="L109" i="1085" a="1"/>
  <c r="L109" i="1085" s="1"/>
  <c r="L19" i="1085" a="1"/>
  <c r="L19" i="1085" s="1"/>
  <c r="L136" i="1085" a="1"/>
  <c r="L136" i="1085" s="1"/>
  <c r="L90" i="1085" a="1"/>
  <c r="L90" i="1085" s="1"/>
  <c r="L151" i="1085" a="1"/>
  <c r="L151" i="1085" s="1"/>
  <c r="L221" i="1085" a="1"/>
  <c r="L221" i="1085" s="1"/>
  <c r="L231" i="1085" a="1"/>
  <c r="L231" i="1085" s="1"/>
  <c r="L170" i="1085" a="1"/>
  <c r="L170" i="1085" s="1"/>
  <c r="L111" i="1085" a="1"/>
  <c r="L111" i="1085" s="1"/>
  <c r="L112" i="1085" a="1"/>
  <c r="L112" i="1085" s="1"/>
  <c r="L138" i="1085" a="1"/>
  <c r="L138" i="1085" s="1"/>
  <c r="L121" i="1085" a="1"/>
  <c r="L121" i="1085" s="1"/>
  <c r="L228" i="1085" a="1"/>
  <c r="L228" i="1085" s="1"/>
  <c r="L104" i="1085" a="1"/>
  <c r="L104" i="1085" s="1"/>
  <c r="L83" i="1085" a="1"/>
  <c r="L83" i="1085" s="1"/>
  <c r="L224" i="1085" a="1"/>
  <c r="L224" i="1085" s="1"/>
  <c r="L16" i="1085" a="1"/>
  <c r="L16" i="1085" s="1"/>
  <c r="L119" i="1085" a="1"/>
  <c r="L119" i="1085" s="1"/>
  <c r="L168" i="1085" a="1"/>
  <c r="L168" i="1085" s="1"/>
  <c r="L236" i="1085" a="1"/>
  <c r="L236" i="1085" s="1"/>
  <c r="L208" i="1085" a="1"/>
  <c r="L208" i="1085" s="1"/>
  <c r="L27" i="1085" a="1"/>
  <c r="L27" i="1085" s="1"/>
  <c r="L178" i="1085" a="1"/>
  <c r="L178" i="1085" s="1"/>
  <c r="L10" i="1085" a="1"/>
  <c r="L10" i="1085" s="1"/>
  <c r="L193" i="1085" a="1"/>
  <c r="L193" i="1085" s="1"/>
  <c r="L100" i="1085" a="1"/>
  <c r="L100" i="1085" s="1"/>
  <c r="L188" i="1085" a="1"/>
  <c r="L188" i="1085" s="1"/>
  <c r="L169" i="1085" a="1"/>
  <c r="L169" i="1085" s="1"/>
  <c r="L207" i="1085" a="1"/>
  <c r="L207" i="1085" s="1"/>
  <c r="L131" i="1085" a="1"/>
  <c r="L131" i="1085" s="1"/>
  <c r="L56" i="1085" a="1"/>
  <c r="L56" i="1085" s="1"/>
  <c r="L186" i="1085" a="1"/>
  <c r="L186" i="1085" s="1"/>
  <c r="L194" i="1085" a="1"/>
  <c r="L194" i="1085" s="1"/>
  <c r="L80" i="1085" a="1"/>
  <c r="L80" i="1085" s="1"/>
  <c r="L146" i="1085" a="1"/>
  <c r="L146" i="1085" s="1"/>
  <c r="L21" i="1085" a="1"/>
  <c r="L21" i="1085" s="1"/>
  <c r="L159" i="1085" a="1"/>
  <c r="L159" i="1085" s="1"/>
  <c r="L210" i="1085" a="1"/>
  <c r="L210" i="1085" s="1"/>
  <c r="L134" i="1085" a="1"/>
  <c r="L134" i="1085" s="1"/>
  <c r="L73" i="1085" a="1"/>
  <c r="L73" i="1085" s="1"/>
  <c r="L110" i="1085" a="1"/>
  <c r="L110" i="1085" s="1"/>
  <c r="L114" i="1085" a="1"/>
  <c r="L114" i="1085" s="1"/>
  <c r="L201" i="1085" a="1"/>
  <c r="L201" i="1085" s="1"/>
  <c r="L36" i="1085" a="1"/>
  <c r="L36" i="1085" s="1"/>
  <c r="L70" i="1085" a="1"/>
  <c r="L70" i="1085" s="1"/>
  <c r="L85" i="1085" a="1"/>
  <c r="L85" i="1085" s="1"/>
  <c r="I95" i="1085"/>
  <c r="I135" i="1085"/>
  <c r="I115" i="1085"/>
  <c r="I46" i="1085"/>
  <c r="I83" i="1085"/>
  <c r="I111" i="1085"/>
  <c r="I36" i="1085"/>
  <c r="I159" i="1085"/>
  <c r="I99" i="1085"/>
  <c r="I33" i="1085"/>
  <c r="I161" i="1085"/>
  <c r="I23" i="1085"/>
  <c r="I28" i="1085"/>
  <c r="I168" i="1085"/>
  <c r="I86" i="1085"/>
  <c r="I10" i="1085"/>
  <c r="I217" i="1085"/>
  <c r="I228" i="1085"/>
  <c r="I146" i="1085"/>
  <c r="I51" i="1085"/>
  <c r="I70" i="1085"/>
  <c r="I45" i="1085"/>
  <c r="I204" i="1085"/>
  <c r="I22" i="1085"/>
  <c r="I202" i="1085"/>
  <c r="I25" i="1085"/>
  <c r="I180" i="1085"/>
  <c r="I182" i="1085"/>
  <c r="I243" i="1085"/>
  <c r="I179" i="1085"/>
  <c r="I216" i="1085"/>
  <c r="I39" i="1085"/>
  <c r="I84" i="1085"/>
  <c r="I220" i="1085"/>
  <c r="I125" i="1085"/>
  <c r="I59" i="1085"/>
  <c r="I205" i="1085"/>
  <c r="I183" i="1085"/>
  <c r="I15" i="1085"/>
  <c r="I88" i="1085"/>
  <c r="I105" i="1085"/>
  <c r="I132" i="1085"/>
  <c r="I41" i="1085"/>
  <c r="I241" i="1085"/>
  <c r="I191" i="1085"/>
  <c r="I57" i="1085"/>
  <c r="I157" i="1085"/>
  <c r="I29" i="1085"/>
  <c r="I61" i="1085"/>
  <c r="I232" i="1085"/>
  <c r="I34" i="1085"/>
  <c r="I185" i="1085"/>
  <c r="I72" i="1085"/>
  <c r="I196" i="1085"/>
  <c r="I187" i="1085"/>
  <c r="I225" i="1085"/>
  <c r="I163" i="1085"/>
  <c r="I49" i="1085"/>
  <c r="I133" i="1085"/>
  <c r="I107" i="1085"/>
  <c r="I198" i="1085"/>
  <c r="I102" i="1085"/>
  <c r="I209" i="1085"/>
  <c r="I127" i="1085"/>
  <c r="I164" i="1085"/>
  <c r="I128" i="1085"/>
  <c r="I214" i="1085"/>
  <c r="I123" i="1085"/>
  <c r="I124" i="1085"/>
  <c r="I213" i="1085"/>
  <c r="I63" i="1085"/>
  <c r="I150" i="1085"/>
  <c r="I233" i="1085"/>
  <c r="I140" i="1085"/>
  <c r="I190" i="1085"/>
  <c r="I53" i="1085"/>
  <c r="I215" i="1085"/>
  <c r="I48" i="1085"/>
  <c r="I92" i="1085"/>
  <c r="I160" i="1085"/>
  <c r="I174" i="1085"/>
  <c r="I30" i="1085"/>
  <c r="I166" i="1085"/>
  <c r="I162" i="1085"/>
  <c r="I120" i="1085"/>
  <c r="I218" i="1085"/>
  <c r="I37" i="1085"/>
  <c r="I206" i="1085"/>
  <c r="I192" i="1085"/>
  <c r="I71" i="1085"/>
  <c r="I116" i="1085"/>
  <c r="I248" i="1085"/>
  <c r="I35" i="1085"/>
  <c r="I12" i="1085"/>
  <c r="I26" i="1085"/>
  <c r="I156" i="1085"/>
  <c r="I238" i="1085"/>
  <c r="I106" i="1085"/>
  <c r="I242" i="1085"/>
  <c r="I245" i="1085"/>
  <c r="I181" i="1085"/>
  <c r="I91" i="1085"/>
  <c r="I47" i="1085"/>
  <c r="I165" i="1085"/>
  <c r="I189" i="1085"/>
  <c r="I149" i="1085"/>
  <c r="I97" i="1085"/>
  <c r="I223" i="1085"/>
  <c r="I227" i="1085"/>
  <c r="I76" i="1085"/>
  <c r="I81" i="1085"/>
  <c r="I219" i="1085"/>
  <c r="I11" i="1085"/>
  <c r="I240" i="1085"/>
  <c r="I66" i="1085"/>
  <c r="I69" i="1085"/>
  <c r="I118" i="1085"/>
  <c r="I176" i="1085"/>
  <c r="I212" i="1085"/>
  <c r="I18" i="1085"/>
  <c r="I13" i="1085"/>
  <c r="I101" i="1085"/>
  <c r="L26" i="1085" l="1" a="1"/>
  <c r="L26" i="1085" s="1"/>
  <c r="L94" i="1085" a="1"/>
  <c r="L94" i="1085" s="1"/>
  <c r="L233" i="1085" a="1"/>
  <c r="L233" i="1085" s="1"/>
  <c r="L209" i="1085" a="1"/>
  <c r="L209" i="1085" s="1"/>
  <c r="L123" i="1085" a="1"/>
  <c r="L123" i="1085" s="1"/>
  <c r="L30" i="1085" a="1"/>
  <c r="L30" i="1085" s="1"/>
  <c r="L225" i="1085" a="1"/>
  <c r="L225" i="1085" s="1"/>
  <c r="L86" i="1085" a="1"/>
  <c r="L86" i="1085" s="1"/>
  <c r="L206" i="1085" a="1"/>
  <c r="L206" i="1085" s="1"/>
  <c r="L29" i="1085" a="1"/>
  <c r="L29" i="1085" s="1"/>
  <c r="L39" i="1085" a="1"/>
  <c r="L39" i="1085" s="1"/>
  <c r="L243" i="1085" a="1"/>
  <c r="L243" i="1085" s="1"/>
  <c r="L156" i="1085" a="1"/>
  <c r="L156" i="1085" s="1"/>
  <c r="L185" i="1085" a="1"/>
  <c r="L185" i="1085" s="1"/>
  <c r="L165" i="1085" a="1"/>
  <c r="L165" i="1085" s="1"/>
  <c r="L204" i="1085" a="1"/>
  <c r="L204" i="1085" s="1"/>
  <c r="L31" i="1085" a="1"/>
  <c r="L31" i="1085" s="1"/>
  <c r="L92" i="1085" a="1"/>
  <c r="L92" i="1085" s="1"/>
  <c r="L181" i="1085" a="1"/>
  <c r="L181" i="1085" s="1"/>
  <c r="L127" i="1085" a="1"/>
  <c r="L127" i="1085" s="1"/>
  <c r="L76" i="1085" a="1"/>
  <c r="L76" i="1085" s="1"/>
  <c r="L125" i="1085" a="1"/>
  <c r="L125" i="1085" s="1"/>
  <c r="L139" i="1085" a="1"/>
  <c r="L139" i="1085" s="1"/>
  <c r="L238" i="1085" a="1"/>
  <c r="L238" i="1085" s="1"/>
  <c r="L17" i="1085" a="1"/>
  <c r="L17" i="1085" s="1"/>
  <c r="L81" i="1085" a="1"/>
  <c r="L81" i="1085" s="1"/>
  <c r="L182" i="1085" a="1"/>
  <c r="L182" i="1085" s="1"/>
  <c r="L61" i="1085" a="1"/>
  <c r="L61" i="1085" s="1"/>
  <c r="L71" i="1085" a="1"/>
  <c r="L71" i="1085" s="1"/>
  <c r="L132" i="1085" a="1"/>
  <c r="L132" i="1085" s="1"/>
  <c r="L219" i="1085" a="1"/>
  <c r="L219" i="1085" s="1"/>
  <c r="L202" i="1085" a="1"/>
  <c r="L202" i="1085" s="1"/>
  <c r="L163" i="1085" a="1"/>
  <c r="L163" i="1085" s="1"/>
  <c r="L164" i="1085" a="1"/>
  <c r="L164" i="1085" s="1"/>
  <c r="L124" i="1085" a="1"/>
  <c r="L124" i="1085" s="1"/>
  <c r="L41" i="1085" a="1"/>
  <c r="L41" i="1085" s="1"/>
  <c r="L13" i="1085" a="1"/>
  <c r="L13" i="1085" s="1"/>
  <c r="L50" i="1085" a="1"/>
  <c r="L50" i="1085" s="1"/>
  <c r="L197" i="1085" a="1"/>
  <c r="L197" i="1085" s="1"/>
  <c r="L60" i="1085" a="1"/>
  <c r="L60" i="1085" s="1"/>
  <c r="L205" i="1085" a="1"/>
  <c r="L205" i="1085" s="1"/>
  <c r="L179" i="1085" a="1"/>
  <c r="L179" i="1085" s="1"/>
  <c r="L216" i="1085" a="1"/>
  <c r="L216" i="1085" s="1"/>
  <c r="L45" i="1085" a="1"/>
  <c r="L45" i="1085" s="1"/>
  <c r="L24" i="1085" a="1"/>
  <c r="L24" i="1085" s="1"/>
  <c r="L235" i="1085" a="1"/>
  <c r="L235" i="1085" s="1"/>
  <c r="L49" i="1085" a="1"/>
  <c r="L49" i="1085" s="1"/>
  <c r="L162" i="1085" a="1"/>
  <c r="L162" i="1085" s="1"/>
  <c r="L155" i="1085" a="1"/>
  <c r="L155" i="1085" s="1"/>
  <c r="L107" i="1085" a="1"/>
  <c r="L107" i="1085" s="1"/>
  <c r="L245" i="1085" a="1"/>
  <c r="L245" i="1085" s="1"/>
  <c r="L12" i="1085" a="1"/>
  <c r="L12" i="1085" s="1"/>
  <c r="L116" i="1085" a="1"/>
  <c r="L116" i="1085" s="1"/>
  <c r="L63" i="1085" a="1"/>
  <c r="L63" i="1085" s="1"/>
  <c r="L241" i="1085" a="1"/>
  <c r="L241" i="1085" s="1"/>
  <c r="L128" i="1085" a="1"/>
  <c r="L128" i="1085" s="1"/>
  <c r="L106" i="1085" a="1"/>
  <c r="L106" i="1085" s="1"/>
  <c r="L180" i="1085" a="1"/>
  <c r="L180" i="1085" s="1"/>
  <c r="L223" i="1085" a="1"/>
  <c r="L223" i="1085" s="1"/>
  <c r="L232" i="1085" a="1"/>
  <c r="L232" i="1085" s="1"/>
  <c r="L237" i="1085" a="1"/>
  <c r="L237" i="1085" s="1"/>
  <c r="L191" i="1085" a="1"/>
  <c r="L191" i="1085" s="1"/>
  <c r="L234" i="1085" a="1"/>
  <c r="L234" i="1085" s="1"/>
  <c r="L248" i="1085" a="1"/>
  <c r="L248" i="1085" s="1"/>
  <c r="L227" i="1085" a="1"/>
  <c r="L227" i="1085" s="1"/>
  <c r="L154" i="1085" a="1"/>
  <c r="L154" i="1085" s="1"/>
  <c r="L176" i="1085" a="1"/>
  <c r="L176" i="1085" s="1"/>
  <c r="L22" i="1085" a="1"/>
  <c r="L22" i="1085" s="1"/>
  <c r="L183" i="1085" a="1"/>
  <c r="L183" i="1085" s="1"/>
  <c r="L184" i="1085" a="1"/>
  <c r="L184" i="1085" s="1"/>
  <c r="L143" i="1085" a="1"/>
  <c r="L143" i="1085" s="1"/>
  <c r="L37" i="1085" a="1"/>
  <c r="L37" i="1085" s="1"/>
  <c r="L91" i="1085" a="1"/>
  <c r="L91" i="1085" s="1"/>
  <c r="L215" i="1085" a="1"/>
  <c r="L215" i="1085" s="1"/>
  <c r="L48" i="1085" a="1"/>
  <c r="L48" i="1085" s="1"/>
  <c r="L195" i="1085" a="1"/>
  <c r="L195" i="1085" s="1"/>
  <c r="L15" i="1085" a="1"/>
  <c r="L15" i="1085" s="1"/>
  <c r="L120" i="1085" a="1"/>
  <c r="L120" i="1085" s="1"/>
  <c r="L97" i="1085" a="1"/>
  <c r="L97" i="1085" s="1"/>
  <c r="L57" i="1085" a="1"/>
  <c r="L57" i="1085" s="1"/>
  <c r="L242" i="1085" a="1"/>
  <c r="L242" i="1085" s="1"/>
  <c r="L150" i="1085" a="1"/>
  <c r="L150" i="1085" s="1"/>
  <c r="L218" i="1085" a="1"/>
  <c r="L218" i="1085" s="1"/>
  <c r="L198" i="1085" a="1"/>
  <c r="L198" i="1085" s="1"/>
  <c r="L47" i="1085" a="1"/>
  <c r="L47" i="1085" s="1"/>
  <c r="L9" i="1085" a="1"/>
  <c r="L9" i="1085" s="1"/>
  <c r="L69" i="1085" a="1"/>
  <c r="L69" i="1085" s="1"/>
  <c r="L72" i="1085" a="1"/>
  <c r="L72" i="1085" s="1"/>
  <c r="L75" i="1085" a="1"/>
  <c r="L75" i="1085" s="1"/>
  <c r="L35" i="1085" a="1"/>
  <c r="L35" i="1085" s="1"/>
  <c r="L213" i="1085" a="1"/>
  <c r="L213" i="1085" s="1"/>
  <c r="L190" i="1085" a="1"/>
  <c r="L190" i="1085" s="1"/>
  <c r="L79" i="1085" a="1"/>
  <c r="L79" i="1085" s="1"/>
  <c r="L78" i="1085" a="1"/>
  <c r="L78" i="1085" s="1"/>
  <c r="L113" i="1085" a="1"/>
  <c r="L113" i="1085" s="1"/>
  <c r="L160" i="1085" a="1"/>
  <c r="L160" i="1085" s="1"/>
  <c r="L212" i="1085" a="1"/>
  <c r="L212" i="1085" s="1"/>
  <c r="L11" i="1085" a="1"/>
  <c r="L11" i="1085" s="1"/>
  <c r="L53" i="1085" a="1"/>
  <c r="L53" i="1085" s="1"/>
  <c r="L240" i="1085" a="1"/>
  <c r="L240" i="1085" s="1"/>
  <c r="L103" i="1085" a="1"/>
  <c r="L103" i="1085" s="1"/>
  <c r="L84" i="1085" a="1"/>
  <c r="L84" i="1085" s="1"/>
  <c r="L18" i="1085" a="1"/>
  <c r="L18" i="1085" s="1"/>
  <c r="L118" i="1085" a="1"/>
  <c r="L118" i="1085" s="1"/>
  <c r="L187" i="1085" a="1"/>
  <c r="L187" i="1085" s="1"/>
  <c r="L174" i="1085" a="1"/>
  <c r="L174" i="1085" s="1"/>
  <c r="L66" i="1085" a="1"/>
  <c r="L66" i="1085" s="1"/>
  <c r="L101" i="1085" a="1"/>
  <c r="L101" i="1085" s="1"/>
  <c r="L25" i="1085" a="1"/>
  <c r="L25" i="1085" s="1"/>
  <c r="I33" i="1046"/>
  <c r="I35" i="1046" s="1"/>
  <c r="I40" i="1030"/>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<sst xmlns="http://schemas.openxmlformats.org/spreadsheetml/2006/main" count="24719" uniqueCount="4082">
  <si>
    <t>Quantity</t>
  </si>
  <si>
    <t>SY</t>
  </si>
  <si>
    <t>EA</t>
  </si>
  <si>
    <t>SF</t>
  </si>
  <si>
    <t>CY</t>
  </si>
  <si>
    <t>GRAVEL BORROW</t>
  </si>
  <si>
    <t>FINE GRADING AND COMPACTING</t>
  </si>
  <si>
    <t>TON</t>
  </si>
  <si>
    <t>CALC'D BY:</t>
  </si>
  <si>
    <t>DATE:</t>
  </si>
  <si>
    <t>CHK'D BY:</t>
  </si>
  <si>
    <t>PROJECT:</t>
  </si>
  <si>
    <t>Ton/sy/in</t>
  </si>
  <si>
    <t>Tons</t>
  </si>
  <si>
    <t>Depth (in.)</t>
  </si>
  <si>
    <t>Area (SY)</t>
  </si>
  <si>
    <t>AREA (SY)</t>
  </si>
  <si>
    <t>FT</t>
  </si>
  <si>
    <t>Total</t>
  </si>
  <si>
    <t>UNCLASSIFIED EXCAVATION</t>
  </si>
  <si>
    <t>GAL</t>
  </si>
  <si>
    <t>Description</t>
  </si>
  <si>
    <t>LS</t>
  </si>
  <si>
    <t>STREET NAME SIGN</t>
  </si>
  <si>
    <t>HR</t>
  </si>
  <si>
    <t>6 INCH REFLECTORIZED WHITE LINE (THERMOPLASTIC)</t>
  </si>
  <si>
    <t>CRUSHED STONE</t>
  </si>
  <si>
    <t>HIGH EARLY STRENGTH CEMENT CONCRETE BASE COURSE</t>
  </si>
  <si>
    <t>REFLECTORIZED DRUM</t>
  </si>
  <si>
    <t>FRAME AND GRATE (OR COVER) MUNICIPAL STANDARD</t>
  </si>
  <si>
    <t>CEMENT CONCRETE WHEELCHAIR RAMP</t>
  </si>
  <si>
    <t>ASPHALT EMULSION FOR TACK COAT</t>
  </si>
  <si>
    <t>HMA JOINT SEALANT</t>
  </si>
  <si>
    <t>LOAM BORROW</t>
  </si>
  <si>
    <t>SEEDING</t>
  </si>
  <si>
    <t>TREE REMOVED - DIAMETER UNDER 24 INCHES</t>
  </si>
  <si>
    <t>HMA FOR PATCHING</t>
  </si>
  <si>
    <t>SUPERPAVE BASE COURSE - 37.5 (SBC - 37.5)</t>
  </si>
  <si>
    <t>GRANITE CURB INLET - STRAIGHT</t>
  </si>
  <si>
    <t>SERVICE BOX REMOVED AND RESET</t>
  </si>
  <si>
    <t>GRANITE CURB TYPE VB - STRAIGHT</t>
  </si>
  <si>
    <t>GRANITE CURB TYPE VB - CURVED</t>
  </si>
  <si>
    <t>DAY</t>
  </si>
  <si>
    <t>SAWCUTTING ASPHALT PAVEMENT FOR BOX WIDENING</t>
  </si>
  <si>
    <t>BOUND REMOVED AND STACKED</t>
  </si>
  <si>
    <t>GRANITE CURB INLET - CURVED</t>
  </si>
  <si>
    <t>MISCELLANEOUS SIGNS REMOVED AND STACKED</t>
  </si>
  <si>
    <t>GRANITE CURB CORNER TYPE A</t>
  </si>
  <si>
    <t>BOUND - LETTERED GRANITE</t>
  </si>
  <si>
    <t>SAFETY SIGNING FOR TRAFFIC MANAGEMENT</t>
  </si>
  <si>
    <t>12 INCH REFLECTORIZED YELLOW LINE (THERMOPLASTIC)</t>
  </si>
  <si>
    <t>SCHEDULE OF OPERATIONS - FIXED PRICE $__________</t>
  </si>
  <si>
    <t>GRAVEL BORROW FOR BACKFILLING STRUCTURES AND PIPES</t>
  </si>
  <si>
    <t>SUPERPAVE INTERMEDIATE COURSE - 12.5 (SIC -12.5)</t>
  </si>
  <si>
    <t>CLEARING AND GRUBBING</t>
  </si>
  <si>
    <t>A</t>
  </si>
  <si>
    <t>CURB REMOVED AND RESET</t>
  </si>
  <si>
    <t>Units</t>
  </si>
  <si>
    <t>DISPOSAL OF UNREGULATED SOIL</t>
  </si>
  <si>
    <t>DISPOSAL OF HAZARDOUS WASTE</t>
  </si>
  <si>
    <t>PARK BENCH</t>
  </si>
  <si>
    <t>BICYCLE RACK</t>
  </si>
  <si>
    <t>TOPSOIL REHANDLED AND SPREAD</t>
  </si>
  <si>
    <t>GEOTEXTILE FABRIC FOR SUBSURFACE DRAINAGE</t>
  </si>
  <si>
    <t>WIRE TYPE 8 NO. 10 DIRECT BURIAL</t>
  </si>
  <si>
    <t>WIRE TYPE 8 NO. 4 DIRECT BURIAL</t>
  </si>
  <si>
    <t>=</t>
  </si>
  <si>
    <t>DOLLARS</t>
  </si>
  <si>
    <t>Asphalt</t>
  </si>
  <si>
    <t xml:space="preserve">What year is the project expected to begin construction? </t>
  </si>
  <si>
    <t>Drainage</t>
  </si>
  <si>
    <t>Open Drainage</t>
  </si>
  <si>
    <t>Closed Drainage</t>
  </si>
  <si>
    <t>Yes</t>
  </si>
  <si>
    <t>No</t>
  </si>
  <si>
    <t>Yes/No</t>
  </si>
  <si>
    <t>Location</t>
  </si>
  <si>
    <t>Item #</t>
  </si>
  <si>
    <t># of Projects</t>
  </si>
  <si>
    <t>Median Price</t>
  </si>
  <si>
    <t>Mean Price</t>
  </si>
  <si>
    <t>All Districts</t>
  </si>
  <si>
    <t>ELECTRICIAN</t>
  </si>
  <si>
    <t>LABORER</t>
  </si>
  <si>
    <t>EQUIPMENT OPERATOR</t>
  </si>
  <si>
    <t>BASE LABOR RATE</t>
  </si>
  <si>
    <t>HVAC WORK</t>
  </si>
  <si>
    <t>ROOFING AND FLASHING WORK</t>
  </si>
  <si>
    <t>MASONRY WORK</t>
  </si>
  <si>
    <t>PAINTING</t>
  </si>
  <si>
    <t>MISCELLANEOUS AND ORNAMENTAL IRON WORK</t>
  </si>
  <si>
    <t>ELEVATORS</t>
  </si>
  <si>
    <t>SELECTIVE CLEARING AND THINNING</t>
  </si>
  <si>
    <t>TREE TRIMMING</t>
  </si>
  <si>
    <t>TREE REMOVED - DIAMETER 24 INCHES AND OVER</t>
  </si>
  <si>
    <t>STUMP REMOVED</t>
  </si>
  <si>
    <t>BRIDGE CURB REMOVED AND RESET</t>
  </si>
  <si>
    <t>BLEEDER (BRIDGE DECK) PVC</t>
  </si>
  <si>
    <t>JACKING AND SHORING</t>
  </si>
  <si>
    <t>LOW ALLOY STEEL PLATES</t>
  </si>
  <si>
    <t>LB</t>
  </si>
  <si>
    <t>PREFORMED JOINT FILLER</t>
  </si>
  <si>
    <t>PRESSURE INJECTION OF CRACKS</t>
  </si>
  <si>
    <t>STRUCTURAL STEEL REPAIRS</t>
  </si>
  <si>
    <t>DEMOLITION OF SUPERSTRUCTURE OF BRIDGE NO. _____</t>
  </si>
  <si>
    <t>DEMOLITION OF BRIDGE NO. _____</t>
  </si>
  <si>
    <t>RODENT CONTROL</t>
  </si>
  <si>
    <t>EARTH EXCAVATION</t>
  </si>
  <si>
    <t>CLASS A ROCK EXCAVATION</t>
  </si>
  <si>
    <t>MUCK EXCAVATION</t>
  </si>
  <si>
    <t>TOPSOIL EXCAVATED AND STACKED</t>
  </si>
  <si>
    <t>CONCRETE EXCAVATION</t>
  </si>
  <si>
    <t>REINFORCED CONCRETE EXCAVATION</t>
  </si>
  <si>
    <t>REINFORCED CONCRETE DECK EXCAVATION (FULL DEPTH)</t>
  </si>
  <si>
    <t>REINFORCED CONCRETE DECK EXCAVATION (PARTIAL DEPTH)</t>
  </si>
  <si>
    <t>OLD PAVEMENT EXCAVATION</t>
  </si>
  <si>
    <t>TRACK EXCAVATION</t>
  </si>
  <si>
    <t>BRIDGE PAVEMENT EXCAVATION</t>
  </si>
  <si>
    <t>BRIDGE EXCAVATION</t>
  </si>
  <si>
    <t>BRIDGE EXCAVATION WITHIN COFFERDAM</t>
  </si>
  <si>
    <t>CLASS A TRENCH EXCAVATION</t>
  </si>
  <si>
    <t>TEST PIT FOR EXPLORATION</t>
  </si>
  <si>
    <t>CLASS B TRENCH EXCAVATION</t>
  </si>
  <si>
    <t>CHANNEL EXCAVATION</t>
  </si>
  <si>
    <t>CLASS B ROCK EXCAVATION</t>
  </si>
  <si>
    <t>DRAINAGE STRUCTURE ABANDONED</t>
  </si>
  <si>
    <t>DRAINAGE STRUCTURE REMOVED</t>
  </si>
  <si>
    <t>DREDGING AND DISPOSING OF MATERIAL</t>
  </si>
  <si>
    <t>ORDINARY BORROW</t>
  </si>
  <si>
    <t>SPECIAL BORROW</t>
  </si>
  <si>
    <t>GRAVEL BORROW - TYPE C</t>
  </si>
  <si>
    <t>GRAVEL BORROW FOR BRIDGE FOUNDATION</t>
  </si>
  <si>
    <t>PROCESSED GRAVEL</t>
  </si>
  <si>
    <t>PEASTONE</t>
  </si>
  <si>
    <t>CONTROLLED DENSITY FILL - EXCAVATABLE</t>
  </si>
  <si>
    <t>CONTROLLED DENSITY FILL - NON-EXCAVATABLE</t>
  </si>
  <si>
    <t>SAND BORROW</t>
  </si>
  <si>
    <t>CRUSHED STONE FOR BRIDGE FOUNDATIONS</t>
  </si>
  <si>
    <t>CRUSHED STONE FOR FILTER BLANKET</t>
  </si>
  <si>
    <t>GABIONS</t>
  </si>
  <si>
    <t>RENO MATTRESS</t>
  </si>
  <si>
    <t>DISPOSAL OF REGULATED SOIL - IN-STATE FACILITY</t>
  </si>
  <si>
    <t>DISPOSAL OF REGULATED SOIL - OUT-OF-STATE FACILITY</t>
  </si>
  <si>
    <t>INSPECTION AND TESTING FOR ASBESTOS</t>
  </si>
  <si>
    <t>REMOVAL OF ASBESTOS</t>
  </si>
  <si>
    <t>ASBESTOS ABATEMENT FOR BUILDING DEMOLITION</t>
  </si>
  <si>
    <t>TREATMENT OF CONTAMINATED GROUNDWATER</t>
  </si>
  <si>
    <t>DISPOSAL OF GRANULAR ACTIVATED CARBON</t>
  </si>
  <si>
    <t>DISPOSAL OF TREATED WOOD PRODUCTS</t>
  </si>
  <si>
    <t>DISPOSAL OF PCB BALLASTS</t>
  </si>
  <si>
    <t>DISPOSAL OF MERCURY CONTAINING LAMPS</t>
  </si>
  <si>
    <t>DRIVE SAMPLE BORING</t>
  </si>
  <si>
    <t>HOLLOW STEM AUGER BORINGS</t>
  </si>
  <si>
    <t>CORE BORING</t>
  </si>
  <si>
    <t>MOBILIZATION AND DISMANTLING OF BORING EQUIPMENT</t>
  </si>
  <si>
    <t>CATCH BASIN</t>
  </si>
  <si>
    <t>SPECIAL CATCH BASIN</t>
  </si>
  <si>
    <t>MANHOLE</t>
  </si>
  <si>
    <t>MANHOLE (9 TO 14 FOOT DEPTH)</t>
  </si>
  <si>
    <t>SPECIAL MANHOLE</t>
  </si>
  <si>
    <t>GUTTER INLET</t>
  </si>
  <si>
    <t>LEACHING BASIN</t>
  </si>
  <si>
    <t>DROP INLET, TYPE A</t>
  </si>
  <si>
    <t>DROP INLET, TYPE AF</t>
  </si>
  <si>
    <t>DROP INLET, TYPE B</t>
  </si>
  <si>
    <t>DROP INLET, TYPE BF</t>
  </si>
  <si>
    <t>DROP INLET, TYPE DF</t>
  </si>
  <si>
    <t>SPECIAL DROP INLET</t>
  </si>
  <si>
    <t>DROP INLET CHANGE IN TYPE</t>
  </si>
  <si>
    <t>SANITARY SEWER MANHOLE</t>
  </si>
  <si>
    <t>SANITARY SEWER MANHOLE REMOVED</t>
  </si>
  <si>
    <t>SANITARY SEWER MANHOLE MUNICIPAL STANDARD</t>
  </si>
  <si>
    <t>DRAINAGE STRUCTURE ADJUSTED</t>
  </si>
  <si>
    <t>DRAINAGE STRUCTURE REBUILT</t>
  </si>
  <si>
    <t>DRAINAGE STRUCTURE CHANGE IN TYPE</t>
  </si>
  <si>
    <t>DRAINAGE STRUCTURE REMODELED</t>
  </si>
  <si>
    <t>SANITARY STRUCTURE REBUILT</t>
  </si>
  <si>
    <t>SANITARY STRUCTURE ADJUSTED</t>
  </si>
  <si>
    <t>SANITARY STRUCTURE REMODELED</t>
  </si>
  <si>
    <t>SANITARY STRUCTURE ABANDONED</t>
  </si>
  <si>
    <t>FRAME AND COVER</t>
  </si>
  <si>
    <t>FRAME AND GRATE - MASSDOT BAR TYPE</t>
  </si>
  <si>
    <t>FRAME AND GRATE - MASSDOT CASCADE TYPE</t>
  </si>
  <si>
    <t>FRAME AND GRATE - MASSDOT DROP INLET</t>
  </si>
  <si>
    <t>FRAME AND GRATE (OR COVER) REMOVED AND STACKED</t>
  </si>
  <si>
    <t>FRAME AND GRATE (OR COVER) REMOVED AND DISCARDED</t>
  </si>
  <si>
    <t>10 INCH HOOD</t>
  </si>
  <si>
    <t>12 INCH HOOD</t>
  </si>
  <si>
    <t>18 INCH HOOD</t>
  </si>
  <si>
    <t>REMOVAL OF DRAINAGE STRUCTURE SEDIMENT</t>
  </si>
  <si>
    <t>REMOVAL OF DRAINAGE PIPE SEDIMENT</t>
  </si>
  <si>
    <t>MASONRY PLUG</t>
  </si>
  <si>
    <t>12 INCH CORRUGATED METAL PIPE END SECTION</t>
  </si>
  <si>
    <t>15 INCH CORRUGATED METAL PIPE END SECTION</t>
  </si>
  <si>
    <t>18 INCH CORRUGATED METAL PIPE END SECTION</t>
  </si>
  <si>
    <t>12 INCH DRAINAGE PIPE - OPTION</t>
  </si>
  <si>
    <t>15 INCH DRAINAGE PIPE - OPTION</t>
  </si>
  <si>
    <t>18 INCH DRAINAGE PIPE - OPTION</t>
  </si>
  <si>
    <t>24 INCH DRAINAGE PIPE - OPTION</t>
  </si>
  <si>
    <t>30 INCH DRAINAGE PIPE - OPTION</t>
  </si>
  <si>
    <t>36 INCH DRAINAGE PIPE - OPTION</t>
  </si>
  <si>
    <t>12 INCH DRAINAGE PIPE FLARED END - OPTION</t>
  </si>
  <si>
    <t>15 INCH DRAINAGE PIPE FLARED END - OPTION</t>
  </si>
  <si>
    <t>18 INCH DRAINAGE PIPE FLARED END - OPTION</t>
  </si>
  <si>
    <t>24 INCH DRAINAGE PIPE FLARED END - OPTION</t>
  </si>
  <si>
    <t>30 INCH DRAINAGE PIPE FLARED END - OPTION</t>
  </si>
  <si>
    <t>36 INCH DRAINAGE PIPE FLARED END - OPTION</t>
  </si>
  <si>
    <t>10 INCH DUCTILE IRON PIPE</t>
  </si>
  <si>
    <t>12 INCH DUCTILE IRON PIPE</t>
  </si>
  <si>
    <t>16 INCH DUCTILE IRON PIPE</t>
  </si>
  <si>
    <t>24 INCH DUCTILE IRON PIPE</t>
  </si>
  <si>
    <t>12 INCH REINFORCED CONCRETE PIPE</t>
  </si>
  <si>
    <t>15 INCH REINFORCED CONCRETE PIPE</t>
  </si>
  <si>
    <t>18 INCH REINFORCED CONCRETE PIPE</t>
  </si>
  <si>
    <t>24 INCH REINFORCED CONCRETE PIPE</t>
  </si>
  <si>
    <t>30 INCH REINFORCED CONCRETE PIPE</t>
  </si>
  <si>
    <t>36 INCH REINFORCED CONCRETE PIPE</t>
  </si>
  <si>
    <t>42 INCH REINFORCED CONCRETE PIPE</t>
  </si>
  <si>
    <t>48 INCH REINFORCED CONCRETE PIPE</t>
  </si>
  <si>
    <t>12 INCH REINFORCED CONCRETE PIPE FLARED END</t>
  </si>
  <si>
    <t>15 INCH REINFORCED CONCRETE PIPE FLARED END</t>
  </si>
  <si>
    <t>18 INCH REINFORCED CONCRETE PIPE FLARED END</t>
  </si>
  <si>
    <t>24 INCH REINFORCED CONCRETE PIPE FLARED END</t>
  </si>
  <si>
    <t>30 INCH REINFORCED CONCRETE PIPE FLARED END</t>
  </si>
  <si>
    <t>36 INCH REINFORCED CONCRETE PIPE FLARED END</t>
  </si>
  <si>
    <t>48 INCH REINFORCED CONCRETE PIPE FLARED END</t>
  </si>
  <si>
    <t>12 INCH REINFORCED CONCRETE PIPE CLASS IV</t>
  </si>
  <si>
    <t>18 INCH REINFORCED CONCRETE PIPE CLASS IV</t>
  </si>
  <si>
    <t>24 INCH REINFORCED CONCRETE PIPE CLASS IV</t>
  </si>
  <si>
    <t>12 INCH REINFORCED CONCRETE PIPE CLASS V</t>
  </si>
  <si>
    <t>15 INCH REINFORCED CONCRETE PIPE CLASS V</t>
  </si>
  <si>
    <t>18 INCH REINFORCED CONCRETE PIPE CLASS V</t>
  </si>
  <si>
    <t>24 INCH REINFORCED CONCRETE PIPE CLASS V</t>
  </si>
  <si>
    <t>30 INCH REINFORCED CONCRETE PIPE CLASS V</t>
  </si>
  <si>
    <t>36 INCH REINFORCED CONCRETE PIPE CLASS V</t>
  </si>
  <si>
    <t>6 INCH POLYVINYL CHLORIDE SANITARY SEWER PIPE</t>
  </si>
  <si>
    <t>8 INCH POLYVINYL CHLORIDE SANITARY SEWER PIPE</t>
  </si>
  <si>
    <t>12 INCH CORRUGATED PLASTIC PIPE FLARED END</t>
  </si>
  <si>
    <t>STONE FOR PIPE ENDS</t>
  </si>
  <si>
    <t>6 INCH PIPE SUBDRAIN - OPTION</t>
  </si>
  <si>
    <t>6 INCH SLOT-PERFORATED CORRUGATED PLASTIC PIPE (SUBDRAIN)</t>
  </si>
  <si>
    <t>8 INCH SLOT-PERFORATED CORRUGATED PLASTIC PIPE (SUBDRAIN)</t>
  </si>
  <si>
    <t>10 INCH SLOT-PERFORATED CORRUGATED PLASTIC PIPE (SUBDRAIN)</t>
  </si>
  <si>
    <t>12 INCH AND UNDER PIPE REMOVED AND STACKED</t>
  </si>
  <si>
    <t>HOT MIX ASPHALT WATERWAY</t>
  </si>
  <si>
    <t>CEMENT CONCRETE PAVING (WATERWAY)</t>
  </si>
  <si>
    <t>4 INCH DUCTILE IRON WATER PIPE (RUBBER GASKET)</t>
  </si>
  <si>
    <t>6 INCH DUCTILE IRON WATER PIPE (RUBBER GASKET)</t>
  </si>
  <si>
    <t>8 INCH DUCTILE IRON WATER PIPE (RUBBER GASKET)</t>
  </si>
  <si>
    <t>10 INCH DUCTILE IRON WATER PIPE (RUBBER GASKET)</t>
  </si>
  <si>
    <t>12 INCH DUCTILE IRON WATER PIPE (RUBBER GASKET)</t>
  </si>
  <si>
    <t>6 INCH DUCTILE IRON WATER PIPE (MECHANICAL JOINT)</t>
  </si>
  <si>
    <t>8 INCH DUCTILE IRON WATER PIPE (MECHANICAL JOINT)</t>
  </si>
  <si>
    <t>10 INCH DUCTILE IRON WATER PIPE (MECHANICAL JOINT)</t>
  </si>
  <si>
    <t>12 INCH DUCTILE IRON WATER PIPE (MECHANICAL JOINT)</t>
  </si>
  <si>
    <t>16 INCH DUCTILE IRON WATER PIPE (MECHANICAL JOINT)</t>
  </si>
  <si>
    <t>DUCTILE IRON FITTINGS FOR WATER PIPE</t>
  </si>
  <si>
    <t>6 INCH WATER MAIN REMOVED AND STACKED</t>
  </si>
  <si>
    <t>1 INCH PLASTIC WATER PIPE</t>
  </si>
  <si>
    <t>3/4 INCH COPPER TUBING TYPE K</t>
  </si>
  <si>
    <t>1 INCH COPPER TUBING TYPE K</t>
  </si>
  <si>
    <t>2 INCH COPPER TUBING TYPE K</t>
  </si>
  <si>
    <t>6 INCH GATE VALVE</t>
  </si>
  <si>
    <t>4 INCH GATE AND GATE BOX</t>
  </si>
  <si>
    <t>6 INCH GATE AND GATE BOX</t>
  </si>
  <si>
    <t>8 INCH GATE AND GATE BOX</t>
  </si>
  <si>
    <t>10 INCH GATE AND GATE BOX</t>
  </si>
  <si>
    <t>12 INCH GATE AND GATE BOX</t>
  </si>
  <si>
    <t>6 INCH GATE BOX</t>
  </si>
  <si>
    <t>8 INCH GATE BOX</t>
  </si>
  <si>
    <t>10 INCH GATE BOX</t>
  </si>
  <si>
    <t>12 INCH GATE BOX</t>
  </si>
  <si>
    <t>16 INCH GATE BOX</t>
  </si>
  <si>
    <t>24 INCH GATE BOX</t>
  </si>
  <si>
    <t>GATE BOX ADJUSTED</t>
  </si>
  <si>
    <t>GATE BOX REMOVED AND STACKED</t>
  </si>
  <si>
    <t>1 INCH CORPORATION COCK</t>
  </si>
  <si>
    <t>2 INCH CORPORATION COCK</t>
  </si>
  <si>
    <t>6 INCH CAST IRON PLUG</t>
  </si>
  <si>
    <t>8 INCH CAST IRON PLUG</t>
  </si>
  <si>
    <t>8 X 8 INCH TAPPING SLEEVE, VALVE AND BOX</t>
  </si>
  <si>
    <t>12 X 12 INCH TAPPING SLEEVE, VALVE AND BOX</t>
  </si>
  <si>
    <t>8 X 6 INCH TAPPING SLEEVE, VALVE AND BOX</t>
  </si>
  <si>
    <t>12 X 6 INCH TAPPING SLEEVE, VALVE AND BOX</t>
  </si>
  <si>
    <t>4 INCH COUPLING</t>
  </si>
  <si>
    <t>6 INCH COUPLING</t>
  </si>
  <si>
    <t>8 INCH COUPLING</t>
  </si>
  <si>
    <t>12 INCH COUPLING</t>
  </si>
  <si>
    <t>8 INCH WATER PIPE INSULATION</t>
  </si>
  <si>
    <t>12 INCH WATER PIPE INSULATION</t>
  </si>
  <si>
    <t>HYDRANT</t>
  </si>
  <si>
    <t>HYDRANT - EXCLUDING COST OF HYDRANT</t>
  </si>
  <si>
    <t>HYDRANT - REMOVED AND RESET</t>
  </si>
  <si>
    <t>HYDRANT - REMOVED AND STACKED</t>
  </si>
  <si>
    <t>HYDRANT - ADJUSTED</t>
  </si>
  <si>
    <t>SERVICE BOX</t>
  </si>
  <si>
    <t>SERVICE BOX (MUNICIPAL STANDARD)</t>
  </si>
  <si>
    <t>SERVICE BOX REMOVED AND STACKED</t>
  </si>
  <si>
    <t>SERVICE BOX ADJUSTED</t>
  </si>
  <si>
    <t>CURB STOP</t>
  </si>
  <si>
    <t>BLOW-OFF CHAMBER</t>
  </si>
  <si>
    <t>DENSE GRADED CRUSHED STONE FOR SUB-BASE</t>
  </si>
  <si>
    <t>DENSE GRADED CRUSHED STONE FOR SHOULDERS</t>
  </si>
  <si>
    <t>RECLAIMED PAVEMENT FOR BASE COURSE AND/OR SUB-BASE</t>
  </si>
  <si>
    <t>CRUSHED STONE FOR BLENDING</t>
  </si>
  <si>
    <t>CALCIUM CHLORIDE FOR ROADWAY DUST CONTROL</t>
  </si>
  <si>
    <t>WATER FOR ROADWAY DUST CONTROL</t>
  </si>
  <si>
    <t>MGL</t>
  </si>
  <si>
    <t>SUPERPAVE SURFACE COURSE - 12.5 (SSC - 12.5)</t>
  </si>
  <si>
    <t>SUPERPAVE INTERMEDIATE COURSE - 19.0 (SIC - 19.0)</t>
  </si>
  <si>
    <t>SUPERPAVE LEVELING COURSE - 9.5 (SLC - 9.5)</t>
  </si>
  <si>
    <t>SUPERPAVE BRIDGE SURFACE COURSE - 9.5 (SSC-B - 9.5)</t>
  </si>
  <si>
    <t>SUPERPAVE BRIDGE SURFACE COURSE - 12.5 (SSC-B - 12.5)</t>
  </si>
  <si>
    <t>SUPERPAVE BRIDGE PROTECTIVE COURSE - 9.5 (SPC-B - 9.5)</t>
  </si>
  <si>
    <t>HOT MIX ASPHALT BERM, TYPE A</t>
  </si>
  <si>
    <t>HOT MIX ASPHALT FOR MISCELLANEOUS WORK</t>
  </si>
  <si>
    <t>CEMENT CONCRETE PAVEMENT</t>
  </si>
  <si>
    <t>POLYMER MODIFIED CONCRETE OVERLAYMENT</t>
  </si>
  <si>
    <t>HOT APPLIED RUBBERIZED ASPHALTIC CRACK FILLER</t>
  </si>
  <si>
    <t>SAWCUTTING ASPHALT PAVEMENT</t>
  </si>
  <si>
    <t>SAWING &amp; SEALING JOINTS IN ASPHALT PAVEMENT AT BRIDGES</t>
  </si>
  <si>
    <t>SAWCUTTING PORTLAND CEMENT CONCRETE</t>
  </si>
  <si>
    <t>SCORED CEMENT CONCRETE PAVEMENT</t>
  </si>
  <si>
    <t>GRANITE CURB TYPE VA3 - STRAIGHT</t>
  </si>
  <si>
    <t>GRANITE CURB TYPE VA3 - CURVED</t>
  </si>
  <si>
    <t>GRANITE CURB TYPE VA4 - STRAIGHT</t>
  </si>
  <si>
    <t>GRANITE CURB TYPE VA4 - CURVED</t>
  </si>
  <si>
    <t>GRANITE CURB TYPE VA4 - SPLAYED END</t>
  </si>
  <si>
    <t>GRANITE CURB TYPE VA5 - STRAIGHT</t>
  </si>
  <si>
    <t>GRANITE CURB TYPE VA5 - CURVED</t>
  </si>
  <si>
    <t>GRANITE EDGING TYPE SA</t>
  </si>
  <si>
    <t>GRANITE EDGING TYPE SA (RADIUS 10 FEET OR LESS)</t>
  </si>
  <si>
    <t>GRANITE EDGING TYPE SB - STRAIGHT</t>
  </si>
  <si>
    <t>GRANITE EDGING TYPE SB (RADIUS 10 FEET OR LESS)</t>
  </si>
  <si>
    <t>GRANITE CURB CORNER TYPE B</t>
  </si>
  <si>
    <t>GRANITE CURB CORNER - TYPE C</t>
  </si>
  <si>
    <t>CONCRETE CURB TYPE VA</t>
  </si>
  <si>
    <t>HOT MIX ASPHALT CURB - OPTION</t>
  </si>
  <si>
    <t>HOT MIX ASPHALT CURB TYPE 2</t>
  </si>
  <si>
    <t>HOT MIX ASPHALT CURB TYPE 3</t>
  </si>
  <si>
    <t>CURB INLET REMOVED AND RESET</t>
  </si>
  <si>
    <t>CURB CORNER REMOVED AND RESET</t>
  </si>
  <si>
    <t>EDGING REMOVED AND RESET</t>
  </si>
  <si>
    <t>CURB REMOVED AND STACKED</t>
  </si>
  <si>
    <t>CURB INLET REMOVED AND STACKED</t>
  </si>
  <si>
    <t>CURB CORNER REMOVED AND STACKED</t>
  </si>
  <si>
    <t>CURB REMOVED AND DISCARDED</t>
  </si>
  <si>
    <t>CURB INLET REMOVED AND DISCARDED</t>
  </si>
  <si>
    <t>CURB CORNER REMOVED AND DISCARDED</t>
  </si>
  <si>
    <t>EDGING REMOVED AND DISCARDED</t>
  </si>
  <si>
    <t>IMPACT ATTENUATOR FOR SHOULDER, INCAPABLE OF REDIRECTION</t>
  </si>
  <si>
    <t>IMPACT ATTENUATOR FOR MEDIAN, INCAPABLE OF REDIRECTION</t>
  </si>
  <si>
    <t>IMPACT ATTENUATOR FOR MEDIAN, CAPABLE OF REDIRECTION</t>
  </si>
  <si>
    <t>PRECAST CONCRETE BARRIER - SINGLE FACED</t>
  </si>
  <si>
    <t>PRECAST CONCRETE MEDIAN BARRIER - DOUBLE FACED</t>
  </si>
  <si>
    <t>CAST-IN-PLACE CONCRETE MEDIAN BARRIER - DOUBLE FACED</t>
  </si>
  <si>
    <t>HIGHWAY GUARD REMOVED AND RESET</t>
  </si>
  <si>
    <t>HIGHWAY GUARD REMOVED AND STACKED</t>
  </si>
  <si>
    <t>HIGHWAY GUARD REMOVED AND DISCARDED</t>
  </si>
  <si>
    <t>GUARDRAIL POST - STEEL</t>
  </si>
  <si>
    <t>GUARDRAIL POST - WOOD</t>
  </si>
  <si>
    <t>INDIVIDUAL POST REMOVED AND DISCARDED</t>
  </si>
  <si>
    <t>GUARDRAIL OFFSET BLOCK - W BEAM</t>
  </si>
  <si>
    <t>GUARDRAIL OFFSET BLOCK - THRIE BEAM</t>
  </si>
  <si>
    <t>W BEAM GUARD PANEL</t>
  </si>
  <si>
    <t>THRIE BEAM GUARD PANEL</t>
  </si>
  <si>
    <t>PROTECTIVE SCREEN (CHAIN LINK)</t>
  </si>
  <si>
    <t>60 INCH CHAIN LINK FENCE (SPRING TENSION WIRE) (LINE POST OPTION)</t>
  </si>
  <si>
    <t>72 INCH CHAIN LINK FENCE (SPRING TENSION WIRE) (LINE POST OPTION)</t>
  </si>
  <si>
    <t>48 INCH CHAIN LINK FENCE (SPRING TENSION WIRE) VINYL COATED (LINE POST OPTION)</t>
  </si>
  <si>
    <t>60 INCH CHAIN LINK FENCE (SPRING TENSION WIRE) VINYL COATED (LINE POST OPTION)</t>
  </si>
  <si>
    <t>72 INCH CHAIN LINK FENCE (SPRING TENSION WIRE) VINYL COATED (LINE POST OPTION)</t>
  </si>
  <si>
    <t>96 INCH CHAIN LINK FENCE (SPRING TENSION WIRE) VINYL COATED (LINE POST OPTION)</t>
  </si>
  <si>
    <t>48 INCH CHAIN LINK FENCE (PIPE TOP RAIL) (LINE POST OPTION)</t>
  </si>
  <si>
    <t>72 INCH CHAIN LINK FENCE (PIPE TOP RAIL) (LINE POST OPTION)</t>
  </si>
  <si>
    <t>48 INCH CHAIN LINK FENCE (PIPE TOP RAIL) VINYL COATED (LINE POST OPTION)</t>
  </si>
  <si>
    <t>72 INCH CHAIN LINK FENCE (PIPE TOP RAIL) VINYL COATED (LINE POST OPTION)</t>
  </si>
  <si>
    <t>48 INCH CHAIN LINK GATE WITH GATE POSTS</t>
  </si>
  <si>
    <t>72 INCH CHAIN LINK GATE WITH GATE POSTS</t>
  </si>
  <si>
    <t>72 INCH CHAIN LINK GATE WITH GATE POSTS AND BARBED WIRE</t>
  </si>
  <si>
    <t>48 INCH CHAIN LINK FENCE END POST</t>
  </si>
  <si>
    <t>72 INCH CHAIN LINK FENCE END POST</t>
  </si>
  <si>
    <t>48 INCH CHAIN LINK FENCE CORNER OR INTERMEDIATE BRACE POST</t>
  </si>
  <si>
    <t>72 INCH CHAIN LINK FENCE CORNER OR INTERMEDIATE BRACE POST</t>
  </si>
  <si>
    <t>96 INCH CHAIN LINK FENCE CORNER OR INTERMEDIATE BRACE POST</t>
  </si>
  <si>
    <t>72 INCH CHAIN LINK FENCE FABRIC</t>
  </si>
  <si>
    <t>CEDAR RAIL FENCE</t>
  </si>
  <si>
    <t>TEMPORARY FENCE</t>
  </si>
  <si>
    <t>TEMPORARY FENCE REMOVED AND RESET</t>
  </si>
  <si>
    <t>METAL PIPE RAIL</t>
  </si>
  <si>
    <t>CHAIN LINK FENCE REMOVED AND STACKED</t>
  </si>
  <si>
    <t>CHAIN LINK FENCE REMOVED AND RESET</t>
  </si>
  <si>
    <t>CHAIN LINK FENCE GATE W/GATE POSTS REMOVED &amp; RESET</t>
  </si>
  <si>
    <t>FENCE REMOVED AND STACKED</t>
  </si>
  <si>
    <t>FENCE REMOVED AND RESET</t>
  </si>
  <si>
    <t>FENCE GATE AND GATE POSTS REMOVED AND RESET</t>
  </si>
  <si>
    <t>STONE MASONRY WALL IN CEMENT MORTAR</t>
  </si>
  <si>
    <t>STONE MASONRY WALL REMOVED AND REBUILT IN CEMENT MORTAR</t>
  </si>
  <si>
    <t>STONE MASONRY WALL REMOVED AND REBUILT DRY</t>
  </si>
  <si>
    <t>BALANCE STONE WALL REMOVED AND REBUILT</t>
  </si>
  <si>
    <t>SEDIMENTATION FENCE</t>
  </si>
  <si>
    <t>SILT SACK</t>
  </si>
  <si>
    <t>FLOATING SILT FENCE</t>
  </si>
  <si>
    <t>GEOTEXTILE FABRIC FOR STABILIZATION</t>
  </si>
  <si>
    <t>GEOTEXTILE FABRIC FOR SEPARATION</t>
  </si>
  <si>
    <t>GEOTEXTILE FABRIC FOR PERMANENT EROSION CONTROL</t>
  </si>
  <si>
    <t>CEMENT CONCRETE SIDEWALK</t>
  </si>
  <si>
    <t>CEMENT CONCRETE SIDEWALK AT DRIVEWAYS</t>
  </si>
  <si>
    <t>CONCRETE WHEEL STOP</t>
  </si>
  <si>
    <t>FLAGSTONE WALK REMOVED AND RESET</t>
  </si>
  <si>
    <t>BRICK WALK</t>
  </si>
  <si>
    <t>BRICK WALK REMOVED AND RELAID</t>
  </si>
  <si>
    <t>GRANITE STEPS REMOVED AND RESET</t>
  </si>
  <si>
    <t>FIELD STONE WALK REMOVED AND RESET</t>
  </si>
  <si>
    <t>PARK BENCH REMOVED AND RESET</t>
  </si>
  <si>
    <t>TRASH RECEPTACLE</t>
  </si>
  <si>
    <t>STEEL BOLLARD</t>
  </si>
  <si>
    <t>BOUND - PLAIN GRANITE</t>
  </si>
  <si>
    <t>BOUND REMOVED AND RESET</t>
  </si>
  <si>
    <t>PROPERTY BOUND REMOVED AND RESET</t>
  </si>
  <si>
    <t>MONUMENT REMOVED AND RESET</t>
  </si>
  <si>
    <t>MONUMENTS REMOVED AND RESET</t>
  </si>
  <si>
    <t>RURAL MAIL BOX REMOVED AND RESET</t>
  </si>
  <si>
    <t>MAIL BOX REMOVED AND RESET</t>
  </si>
  <si>
    <t>FLAGPOLE</t>
  </si>
  <si>
    <t>FLAGPOLE REMOVED AND RESET</t>
  </si>
  <si>
    <t>SIGN REMOVED AND RESET</t>
  </si>
  <si>
    <t>ENGINEERS FIELD OFFICE AND EQUIPMENT (TYPE A)</t>
  </si>
  <si>
    <t>MO</t>
  </si>
  <si>
    <t>EQUIPMENT FOR ENGINEERS FIELD OFFICE</t>
  </si>
  <si>
    <t>MOBILIZATION</t>
  </si>
  <si>
    <t>EMERGENCY RESPONSE</t>
  </si>
  <si>
    <t>NPDES STORMWATER POLLUTION PREVENTION PLAN</t>
  </si>
  <si>
    <t>IMPERVIOUS SOIL BORROW</t>
  </si>
  <si>
    <t>Concrete</t>
  </si>
  <si>
    <t>ESTIMATED PRICE</t>
  </si>
  <si>
    <t>Lighting</t>
  </si>
  <si>
    <t>SEED FOR EROSION CONTROL</t>
  </si>
  <si>
    <t>HAY MULCH</t>
  </si>
  <si>
    <t>STRAW MULCH</t>
  </si>
  <si>
    <t>WOOD CHIP MULCH</t>
  </si>
  <si>
    <t>AGED PINE BARK MULCH</t>
  </si>
  <si>
    <t>BALES OF HAY FOR EROSION CONTROL</t>
  </si>
  <si>
    <t>PAVEMENT MILLING MULCH UNDER GUARD RAIL</t>
  </si>
  <si>
    <t>CEDAR - RED 5-6 FEET</t>
  </si>
  <si>
    <t>PINE - WHITE 5-6 FEET</t>
  </si>
  <si>
    <t>SPRUCE - NORWAY 5-6 FEET</t>
  </si>
  <si>
    <t>SPRUCE - WHITE 5-6 FEET</t>
  </si>
  <si>
    <t>LOCUST - HONEY - 'SHADEMASTER' 2-2.5 INCH CALIPER</t>
  </si>
  <si>
    <t>MAPLE - RED - 'ARMSTRONG' 2-2.5 INCH CALIPER</t>
  </si>
  <si>
    <t>MAPLE - RED - 'OCTOBER GLORY' 2-2.5 INCH CALIPER</t>
  </si>
  <si>
    <t>MAPLE - RED - 'RED SUNSET' 2-2.5 INCH CALIPER</t>
  </si>
  <si>
    <t>OAK - NORTHERN RED 2-2.5 INCH CALIPER</t>
  </si>
  <si>
    <t>OAK - PIN 2-2.5 INCH CALIPER</t>
  </si>
  <si>
    <t>OAK - SWAMP WHITE 1.5-2 INCH CALIPER</t>
  </si>
  <si>
    <t>PLANETREE - LONDON 2-2.5 INCH CALIPER</t>
  </si>
  <si>
    <t>SWEETGUM 2-2.5 INCH CALIPER</t>
  </si>
  <si>
    <t>BIRCH - RIVER 'HERITAGE' 8-10 FOOT CLUMP</t>
  </si>
  <si>
    <t>BIRCH - RIVER 'HERITAGE' 12-14 FOOT CLUMP</t>
  </si>
  <si>
    <t>HAWTHORN - 'WINTER KING' 2.5-3 INCH CALIPER</t>
  </si>
  <si>
    <t>LILAC TREE - JAPANESE 2-2.5 INCH CALIPER</t>
  </si>
  <si>
    <t>REDBUD - EASTERN 1.5-2 INCH CALIPER</t>
  </si>
  <si>
    <t>TULIP TREE 2.5-3 INCH CALIPER</t>
  </si>
  <si>
    <t>TUPELO 2-2.5 INCH CALIPER</t>
  </si>
  <si>
    <t>ZELKOVA - 'GREEN VASE' 2-2.5 INCH CALIPER</t>
  </si>
  <si>
    <t>INKBERRY 2-3 FEET</t>
  </si>
  <si>
    <t>INKBERRY - COMPACT 24-30 INCH</t>
  </si>
  <si>
    <t>JUNIPER - BAR HARBOR 15-18 INCH</t>
  </si>
  <si>
    <t>ALDER SHRUB - SPECKLED 2 GALLON</t>
  </si>
  <si>
    <t>BAYBERRY SHRUB - NORTHERN 2-3 FEET</t>
  </si>
  <si>
    <t>BLUEBERRY - HIGHBUSH 2-3 FEET</t>
  </si>
  <si>
    <t>DOGWOOD - GRAY TWIG 18-24 INCH</t>
  </si>
  <si>
    <t>DOGWOOD - SILKY 2-3 FEET</t>
  </si>
  <si>
    <t>FOTHERGILLA - DWARF 18-24 INCH SPREAD</t>
  </si>
  <si>
    <t>SPIREA - 'ANTHONY WATERER' 2-3 FEET</t>
  </si>
  <si>
    <t>SUMAC SHRUB - FRAGRANT 2-3 FEET</t>
  </si>
  <si>
    <t>SWEETFERN 1 GALLON</t>
  </si>
  <si>
    <t>SWEETFERN 2 GALLON</t>
  </si>
  <si>
    <t>VIBURNUM - ARROWWOOD 18-24 INCHES</t>
  </si>
  <si>
    <t>DWARF FOUNTAIN GRASS - 'HAMELN' 1 GALLON</t>
  </si>
  <si>
    <t>FEATHER REED GRASS 2 GALLON</t>
  </si>
  <si>
    <t>DAYLILY - 'STELLA D'ORO' 1 GALLON</t>
  </si>
  <si>
    <t>SEDUM 'AUTUMN JOY' 2 QUART</t>
  </si>
  <si>
    <t>3 INCH ELECTRICAL CONDUIT - TYPE NM (DOUBLE)</t>
  </si>
  <si>
    <t>4 INCH ELECTRICAL CONDUIT - TYPE NM (DOUBLE)</t>
  </si>
  <si>
    <t>6 INCH ELECTRICAL CONDUIT - TYPE NM (DOUBLE)</t>
  </si>
  <si>
    <t>1 INCH ELECTRICAL CONDUIT TYPE NM - PLASTIC -(UL)</t>
  </si>
  <si>
    <t>2 INCH ELECTRICAL CONDUIT TYPE NM - PLASTIC (UL)</t>
  </si>
  <si>
    <t>3 INCH ELECTRICAL CONDUIT TYPE NM - PLASTIC -(UL)</t>
  </si>
  <si>
    <t>4 INCH ELECTRICAL CONDUIT TYPE NM - PLASTIC -(UL)</t>
  </si>
  <si>
    <t>2 INCH ELECTRICAL CONDUIT TYPE RM - GALVANIZED STEEL</t>
  </si>
  <si>
    <t>3 INCH ELECTRICAL CONDUIT TYPE RM - GALVANIZED STEEL</t>
  </si>
  <si>
    <t>4 INCH ELECTRICAL CONDUIT TYPE RM - GALVANIZED STEEL</t>
  </si>
  <si>
    <t>CONDUIT ENCASED IN CONCRETE - SD 4.041</t>
  </si>
  <si>
    <t>ELECTRIC MANHOLE - SD2.010</t>
  </si>
  <si>
    <t>ELECTRIC HANDHOLE - SD2.021</t>
  </si>
  <si>
    <t>ELECTRIC HANDHOLE - SD2.022</t>
  </si>
  <si>
    <t>ELECTRIC HANDHOLE - SD2.023</t>
  </si>
  <si>
    <t>ELECTRIC HANDHOLE - SD2.024</t>
  </si>
  <si>
    <t>ELECTRIC HANDHOLE - (MUNICIPAL STANDARD)</t>
  </si>
  <si>
    <t>PULL BOX 8 X 23 INCHES - SD2.030</t>
  </si>
  <si>
    <t>PULL BOX 12 X 12 INCHES - SD2.031</t>
  </si>
  <si>
    <t>PULL BOX ADJUSTED</t>
  </si>
  <si>
    <t>ELECTRIC MANHOLE ADJUSTED</t>
  </si>
  <si>
    <t>ELECTRIC HANDHOLE ADJUSTED</t>
  </si>
  <si>
    <t>ELECTRIC HANDHOLE REMOVED AND STACKED</t>
  </si>
  <si>
    <t>LIGHT STANDARD FOUNDATION PRECAST</t>
  </si>
  <si>
    <t>LIGHT STANDARD FOUNDATION SD3.010</t>
  </si>
  <si>
    <t>LIGHT STANDARD FOUNDATION SD3.013</t>
  </si>
  <si>
    <t>LIGHTING LOAD CENTER FOUNDATION</t>
  </si>
  <si>
    <t>SIGNAL MAST ARM FOUNDATION</t>
  </si>
  <si>
    <t>WIRE TYPE 7 NO. 10 GENERAL PURPOSE</t>
  </si>
  <si>
    <t>WIRE TYPE 7 NO. 8 GENERAL PURPOSE</t>
  </si>
  <si>
    <t>WIRE TYPE 7 NO. 6 GENERAL PURPOSE</t>
  </si>
  <si>
    <t>WIRE TYPE 7 NO. 4 GENERAL PURPOSE</t>
  </si>
  <si>
    <t>WIRE TYPE 7 NO. 2 GENERAL PURPOSE</t>
  </si>
  <si>
    <t>WIRE TYPE 7 NO. 1 GENERAL PURPOSE</t>
  </si>
  <si>
    <t>WIRE TYPE 7 NO. 1/0 GENERAL PURPOSE</t>
  </si>
  <si>
    <t>WIRE TYPE 8 NO. 8 DIRECT BURIAL</t>
  </si>
  <si>
    <t>WIRE TYPE 8 NO. 6 DIRECT BURIAL</t>
  </si>
  <si>
    <t>WIRE TYPE 8 NO. 2 DIRECT BURIAL</t>
  </si>
  <si>
    <t>WIRE TYPE 10 - #8 GROUNDING AND BONDING</t>
  </si>
  <si>
    <t>EQUIPMENT GROUNDING</t>
  </si>
  <si>
    <t>GROUND ROD 10 FEET LONG</t>
  </si>
  <si>
    <t>INTERCONNECT CABLE SYSTEM</t>
  </si>
  <si>
    <t>SERVICE CONNECTION (UNDERGROUND)</t>
  </si>
  <si>
    <t>TRAFFIC CONTROL SIGNAL LOCATION NO. 1</t>
  </si>
  <si>
    <t>TRAFFIC CONTROL SIGNAL LOCATION NO. 2</t>
  </si>
  <si>
    <t>TRAFFIC CONTROL SIGNAL LOCATION NO. 3</t>
  </si>
  <si>
    <t>FOOTING COST ADJUSTMENT</t>
  </si>
  <si>
    <t>TRAFFIC SIGNAL REMOVED AND RESET</t>
  </si>
  <si>
    <t>TRAFFIC SIGNAL RECONSTRUCTION LOCATION NO. 1</t>
  </si>
  <si>
    <t>TRAFFIC SIGNAL RECONSTRUCTION LOCATION NO. 2</t>
  </si>
  <si>
    <t>TRAFFIC SIGNAL RECONSTRUCTION LOCATION NO. 3</t>
  </si>
  <si>
    <t>TRAFFIC CONTROL SIGNAL REMOVED AND STACKED</t>
  </si>
  <si>
    <t>TEMPORARY TRAFFIC CONTROL SIGNAL</t>
  </si>
  <si>
    <t>TRAFFIC CONTROL SIGNAL REMOVED AND TRANSPORTED</t>
  </si>
  <si>
    <t>SIGNAL POST AND BASE STANDARD - 8 FOOT</t>
  </si>
  <si>
    <t>SIGNAL POST AND BASE STANDARD - 10 FOOT</t>
  </si>
  <si>
    <t>SIGNAL MAST ARM 30 FEET - STEEL</t>
  </si>
  <si>
    <t>WIRE LOOP INSTALLED IN ROADWAY</t>
  </si>
  <si>
    <t>HIGHWAY LIGHTING - ROADWAY</t>
  </si>
  <si>
    <t>HIGHWAY LIGHTING POLE (ANCHOR BASE) TWIN 6 FOOT BRACKET</t>
  </si>
  <si>
    <t>HIGH MAST TOWER (100 FOOT MOUNTING HEIGHT)</t>
  </si>
  <si>
    <t>HIGHWAY LIGHTING LOAD CENTER</t>
  </si>
  <si>
    <t>HIGHWAY LIGHTING LOAD CENTER NO.1</t>
  </si>
  <si>
    <t>HIGHWAY LIGHTING LOAD CENTER NO.2</t>
  </si>
  <si>
    <t>HIGHWAY LIGHTING POLE AND LUMINAIRE REMOVED AND RESET</t>
  </si>
  <si>
    <t>HIGHWAY LIGHTING POLE AND LUMINAIRE REMOVED AND STACKED</t>
  </si>
  <si>
    <t>FLASHING WARNING BEACON TYPE D</t>
  </si>
  <si>
    <t>FLASHING WARNING BEACON REMOVED AND STACKED</t>
  </si>
  <si>
    <t>24 INCH WARNING CLUSTER (H1-2) - ALUMINUM PANEL (TYPE A)</t>
  </si>
  <si>
    <t>OVERHEAD GUIDE SIGN REMOVED</t>
  </si>
  <si>
    <t>OVERHEAD GUIDE SIGN - ALUMINUM PANEL (TYPE B)</t>
  </si>
  <si>
    <t>ROADSIDE GUIDE SIGN (G) - ALUMINUM PANEL (TYPE B)</t>
  </si>
  <si>
    <t>ROADSIDE GUIDE SIGN (D6/D8) - ALUMINUM PANEL (TYPE A)</t>
  </si>
  <si>
    <t>WARNING-REGULATORY AND ROUTE MARKER - ALUMINUM PANEL (TYPE A)</t>
  </si>
  <si>
    <t>DEMOUNTABLE REFLECTORIZED DELINEATOR - GUARD RAIL</t>
  </si>
  <si>
    <t>DELINEATION FOR GUARD RAIL TERMINI</t>
  </si>
  <si>
    <t>DEMOUNTABLE REFLECTORIZED REFERENCE LOCATION SIGN</t>
  </si>
  <si>
    <t>REFLECTORIZED FLEXIBLE DELINEATOR POST (AMBER)</t>
  </si>
  <si>
    <t>REFLECTORIZED FLEXIBLE DELINEATOR POST (WHITE)</t>
  </si>
  <si>
    <t>DEMOUNTABLE REFLECTORIZED STATION MARKER</t>
  </si>
  <si>
    <t>SUPPORTS FOR OVERHEAD GUIDE SIGN (OD-2) STEEL</t>
  </si>
  <si>
    <t>SUPPORTS FOR OVERHEAD GUIDE SIGN (OD-3) STEEL</t>
  </si>
  <si>
    <t>SUPPORTS FOR OVERHEAD GUIDE SIGN (OD-4) STEEL</t>
  </si>
  <si>
    <t>SUPPORTS FOR GUIDE SIGN (D6 W/ D8-5 INCH TUBULAR POST) STEEL</t>
  </si>
  <si>
    <t>SUPPORTS FOR GUIDE SIGN (D6-5 INCH TUBULAR POST) STEEL</t>
  </si>
  <si>
    <t>SUPPORTS FOR GUIDE SIGN (D8-4 INCH TUBULAR POST) STEEL</t>
  </si>
  <si>
    <t>SUPPORTS FOR GUIDE SIGN (I-2A-5 INCH TUBULAR POST) STEEL</t>
  </si>
  <si>
    <t>SUPPORTS FOR GUIDE SIGN (D6 WITH D8 - SPECIAL DESIGN) STEEL</t>
  </si>
  <si>
    <t>SUPPORTS FOR GUIDE SIGN (D6 - SPECIAL DESIGN) STEEL</t>
  </si>
  <si>
    <t>SUPPORTS FOR GUIDE SIGN (G1) STEEL</t>
  </si>
  <si>
    <t>SUPPORTS FOR GUIDE SIGN (G2) STEEL</t>
  </si>
  <si>
    <t>SUPPORTS FOR GUIDE SIGN (G3) STEEL</t>
  </si>
  <si>
    <t>SUPPORTS FOR GUIDE SIGN (G4) STEEL</t>
  </si>
  <si>
    <t>SUPPORT FOR GUIDE SIGN (E5-1) STEEL</t>
  </si>
  <si>
    <t>SUPPORT FOR GUIDE SIGN (E5-1A) STEEL</t>
  </si>
  <si>
    <t>SIGN SUP (N/GUIDE)+RTE MKR W/1 BRKWAY POST ASSEMBLY - STEEL</t>
  </si>
  <si>
    <t>SIGN SUP (N/GUIDE)+RTE MKR W/2 BRKWAY POST ASSEMBLIES-STEEL</t>
  </si>
  <si>
    <t>ROADWAY FLAGGER</t>
  </si>
  <si>
    <t>TRAFFIC CONES FOR TRAFFIC MANAGEMENT</t>
  </si>
  <si>
    <t>PORTABLE BREAKAWAY BARRICADE TYPE III</t>
  </si>
  <si>
    <t>TEMPORARY BARRIER REMOVED AND RESET</t>
  </si>
  <si>
    <t>TEMPORARY BARRIER (TL-3)</t>
  </si>
  <si>
    <t>TEMPORARY RESTRAINED BARRIER</t>
  </si>
  <si>
    <t>TEMPORARY RESTRAINED BARRIER REMOVED AND RESET</t>
  </si>
  <si>
    <t>TEMPORARY BARRIER - LIMITED DEFLECTION (TL-3)</t>
  </si>
  <si>
    <t>TRUCK MOUNTED ATTENUATOR</t>
  </si>
  <si>
    <t>TEMPORARY ILLUMINATION FOR WORK ZONE</t>
  </si>
  <si>
    <t>TEMPORARY RAISED PAVEMENT MARKER</t>
  </si>
  <si>
    <t>TEMPORARY PAVING MARKINGS - 6 INCH (PAINTED)</t>
  </si>
  <si>
    <t>TEMPORARY PAVING MARKINGS - 6 INCH (TAPE)</t>
  </si>
  <si>
    <t>PAVEMENT MARKING REMOVAL</t>
  </si>
  <si>
    <t>RAISED PAVEMENT MARKER REMOVAL</t>
  </si>
  <si>
    <t>ARROW BOARD</t>
  </si>
  <si>
    <t>PORTABLE CHANGEABLE MESSAGE SIGN</t>
  </si>
  <si>
    <t>6 INCH REFLECTORIZED WHITE LINE (PAINTED)</t>
  </si>
  <si>
    <t>12 INCH REFLECTORIZED WHITE LINE (PAINTED)</t>
  </si>
  <si>
    <t>6 INCH REFLECTORIZED YELLOW LINE (PAINTED)</t>
  </si>
  <si>
    <t>12 INCH REFLECTORIZED YELLOW LINE (PAINTED)</t>
  </si>
  <si>
    <t>PAVEMENT ARROW REFLECTORIZED WHITE (PAINTED)</t>
  </si>
  <si>
    <t>PAVEMENT ARROW AND LEGENDS REFLECTORIZED WHITE - INLAY TAPE</t>
  </si>
  <si>
    <t>PAVEMENT ARROW AND LEGENDS - TAPE</t>
  </si>
  <si>
    <t>PAVEMENT ARROW AND LEGENDS (EPOXY)</t>
  </si>
  <si>
    <t>SLOTTED PAVEMENT MARKER ONE-WAY WHITE</t>
  </si>
  <si>
    <t>SLOTTED PAVEMENT MARKER ONE-WAY YELLOW</t>
  </si>
  <si>
    <t>SLOTTED PAVEMENT MARKER TWO-WAY WHITE/RED</t>
  </si>
  <si>
    <t>SLOTTED PAVEMENT MARKER TWO-WAY YELLOW/RED</t>
  </si>
  <si>
    <t>SLOTTED PAVEMENT MARKER TWO-WAY YELLOW/YELLOW</t>
  </si>
  <si>
    <t>12 INCH REFLECTORIZED WHITE LINE (THERMOPLASTIC)</t>
  </si>
  <si>
    <t>6 INCH REFLECTORIZED WHITE LINE (POLYUREA) (RECESSED)</t>
  </si>
  <si>
    <t>12 INCH REFLECTORIZED WHITE LINE (POLYUREA) (RECESSED)</t>
  </si>
  <si>
    <t>6 INCH REFLECTORIZED YELLOW LINE (THERMOPLASTIC)</t>
  </si>
  <si>
    <t>6 INCH REFLECTORIZED YELLOW LINE (POLYUREA) (RECESSED)</t>
  </si>
  <si>
    <t>12 INCH REFLECTORIZED WHITE LINE (EPOXY)</t>
  </si>
  <si>
    <t>12 INCH REFLECTORIZED YELLOW LINE (EPOXY)</t>
  </si>
  <si>
    <t>STREET SIGN REMOVED AND RESET</t>
  </si>
  <si>
    <t>TRAFFIC SIGN REMOVED AND RESET</t>
  </si>
  <si>
    <t>TRAFFIC SIGNS REMOVED AND STACKED</t>
  </si>
  <si>
    <t>TRAFFIC SIGN REMOVED AND STACKED</t>
  </si>
  <si>
    <t>SIGN POST REMOVED AND RESET</t>
  </si>
  <si>
    <t>SIGN POST REMOVED AND DISCARDED</t>
  </si>
  <si>
    <t>SIGN POST REMOVED AND STACKED</t>
  </si>
  <si>
    <t>4000 PSI, 1.5 INCH, 565 CEMENT CONCRETE</t>
  </si>
  <si>
    <t>4000 PSI, 1.5 INCH, 565 CEMENT CONCRETE FOR POST FOUNDATION</t>
  </si>
  <si>
    <t>3000 PSI, 1.5 INCH, 470 CEMENT CONCRETE</t>
  </si>
  <si>
    <t>4000 PSI, 3/4 INCH, 610 CEMENT CONCRETE</t>
  </si>
  <si>
    <t>5000 PSI, 3/4 INCH, 685 HP CEMENT CONCRETE</t>
  </si>
  <si>
    <t>4000 PSI, 3/4 INCH, 585 HP CEMENT CONCRETE</t>
  </si>
  <si>
    <t>4000 PSI, 3/8 INCH, 660 CEMENT CONCRETE</t>
  </si>
  <si>
    <t>5000 PSI, 3/8 INCH, 710 HP CEMENT CONCRETE</t>
  </si>
  <si>
    <t>SAWCUT GROOVES IN CONCRETE BRIDGE DECK</t>
  </si>
  <si>
    <t>CEMENT FOR POINTING</t>
  </si>
  <si>
    <t>BAG</t>
  </si>
  <si>
    <t>CEMENTITIOUS MORTAR FOR PATCHING</t>
  </si>
  <si>
    <t>STEEL REINFORCEMENT FOR STRUCTURES</t>
  </si>
  <si>
    <t>STEEL REINFORCEMENT FOR STRUCTURES - EPOXY COATED</t>
  </si>
  <si>
    <t>STEEL REINFORCEMENT FOR STRUCTURES - COATED</t>
  </si>
  <si>
    <t>MECHANICAL REINFORCING BAR SPLICER</t>
  </si>
  <si>
    <t>SHEAR CONNECTORS</t>
  </si>
  <si>
    <t>DRILLING AND GROUTING DOWELS</t>
  </si>
  <si>
    <t>DRILLED AND GROUTED #5 DOWELS</t>
  </si>
  <si>
    <t>DRILLED AND GROUTED #6 DOWELS</t>
  </si>
  <si>
    <t>CORING AND GROUTING ANCHOR BOLTS</t>
  </si>
  <si>
    <t>CORING AND GROUTING DOWELS</t>
  </si>
  <si>
    <t>STEEL PILE HP 10 X 57</t>
  </si>
  <si>
    <t>STEEL PILE HP 12 X 84</t>
  </si>
  <si>
    <t>STEEL PILE SPLICE HP 12 X 84</t>
  </si>
  <si>
    <t>ROCK SOCKET EXCAVATION 3.5 FOOT DIAMETER</t>
  </si>
  <si>
    <t>DRILLED SHAFT 3.5 FOOT DIAMETER</t>
  </si>
  <si>
    <t>CROSS HOLE SONIC TESTING ACCESS PIPES</t>
  </si>
  <si>
    <t>CROSS HOLE SONIC TEST</t>
  </si>
  <si>
    <t>OSTERBERG LOAD CELL AXIAL LOAD TEST</t>
  </si>
  <si>
    <t>DYNAMIC LOAD TEST BY CONTRACTOR</t>
  </si>
  <si>
    <t>PILE SHOES</t>
  </si>
  <si>
    <t>TEMPORARY SHORING</t>
  </si>
  <si>
    <t>TREATED TIMBER</t>
  </si>
  <si>
    <t>MBF</t>
  </si>
  <si>
    <t>STRUCTURAL STEEL - COATED STEEL</t>
  </si>
  <si>
    <t>CLEAN (FULL REMOVAL) AND PAINT STEEL BRIDGE NO. ________</t>
  </si>
  <si>
    <t>CLEAN (FULL REMOVAL) AND PAINT STEEL BRIDGE NO. _______</t>
  </si>
  <si>
    <t>CLEAN (FULL REMOVAL) AND PAINT STEEL BRIDGE NO. _____</t>
  </si>
  <si>
    <t>EPOXY BONDING COMPOUND</t>
  </si>
  <si>
    <t>EPOXY MORTAR FOR PATCHING</t>
  </si>
  <si>
    <t>MEMBRANE WATERPROOFING FOR BRIDGE DECKS</t>
  </si>
  <si>
    <t>BITUMINOUS DAMP-PROOFING</t>
  </si>
  <si>
    <t>ASPHALTIC BRIDGE JOINT SYSTEM</t>
  </si>
  <si>
    <t>CF</t>
  </si>
  <si>
    <t>STRIP SEAL BRIDGE JOINT SYSTEM</t>
  </si>
  <si>
    <t>ALUMINUM HANDRAIL</t>
  </si>
  <si>
    <t>DUMPED RIPRAP</t>
  </si>
  <si>
    <t>RIPRAP</t>
  </si>
  <si>
    <t>MODIFIED RIPRAP</t>
  </si>
  <si>
    <t>RIPRAP REMOVED AND RELAID</t>
  </si>
  <si>
    <t>MODIFIED ROCKFILL</t>
  </si>
  <si>
    <t>SPECIAL SLOPE PAVING UNDER BRIDGE REMOVED AND RESET</t>
  </si>
  <si>
    <t>SPECIAL SLOPE PAVING UNDER BRIDGE - CEMENT CONCRETE</t>
  </si>
  <si>
    <t>CONTROL OF WATER - STRUCTURE NO. ______</t>
  </si>
  <si>
    <t>ALTERATION TO BRIDGE STRUCTURE NO. ______</t>
  </si>
  <si>
    <t>TEMPORARY SUPPORTS FOR PIPING</t>
  </si>
  <si>
    <t>TEMPORARY BRIDGE NO. ______</t>
  </si>
  <si>
    <t>TEMPORARY PROTECTIVE SHIELDING BRIDGE NO. _______________</t>
  </si>
  <si>
    <t>TEMPORARY PROTECTIVE SHIELDING</t>
  </si>
  <si>
    <t>BRIDGE SUPERSTRUCTURE, BRIDGE NO._______</t>
  </si>
  <si>
    <t>BRIDGE STRUCTURE, BRIDGE NO. ______</t>
  </si>
  <si>
    <t>CULVERT STRUCTURE, CULVERT NO. _______</t>
  </si>
  <si>
    <t>BRIDGE STRUCTURE, BRIDGE NO. _______</t>
  </si>
  <si>
    <t>WALL STRUCTURE, WALL NO. ________________</t>
  </si>
  <si>
    <t># Lights</t>
  </si>
  <si>
    <t>GRANITE TRANSITION CURB FOR WCR - STRAIGHT</t>
  </si>
  <si>
    <t>SUBTOTAL</t>
  </si>
  <si>
    <t>PROJECT TOTAL</t>
  </si>
  <si>
    <t># WCRs</t>
  </si>
  <si>
    <t>CONSTRUCTION COST</t>
  </si>
  <si>
    <t>Design</t>
  </si>
  <si>
    <t>Cost Escalation</t>
  </si>
  <si>
    <t>Construction Year:</t>
  </si>
  <si>
    <t>DESIGN COST</t>
  </si>
  <si>
    <t>INPUT</t>
  </si>
  <si>
    <t>Traffic Control</t>
  </si>
  <si>
    <t>TTCP COST</t>
  </si>
  <si>
    <t>Design/TTCP</t>
  </si>
  <si>
    <t>Both</t>
  </si>
  <si>
    <t>Neither</t>
  </si>
  <si>
    <t>Survey</t>
  </si>
  <si>
    <t>**</t>
  </si>
  <si>
    <t>Total Construction Cost:</t>
  </si>
  <si>
    <t>Base design fee based on construction cost</t>
  </si>
  <si>
    <t>to</t>
  </si>
  <si>
    <t>Design Fee</t>
  </si>
  <si>
    <t>and</t>
  </si>
  <si>
    <t>over</t>
  </si>
  <si>
    <t>Roadway</t>
  </si>
  <si>
    <t>Type</t>
  </si>
  <si>
    <t>Landscaping</t>
  </si>
  <si>
    <t>SURVEY COST</t>
  </si>
  <si>
    <t>Should the estimate include cost of engineering design and/or traffic control?</t>
  </si>
  <si>
    <t>PROJECT COST SUMMARY</t>
  </si>
  <si>
    <t># Segments:</t>
  </si>
  <si>
    <t>Project Name:</t>
  </si>
  <si>
    <t>Project Location:</t>
  </si>
  <si>
    <t>Length:</t>
  </si>
  <si>
    <t>**Use this estimated cost on PIF forms - escalation is already included on the MassDOT Website</t>
  </si>
  <si>
    <t>NON-CONSTRUCTION COSTS (NOT ESCALATED)</t>
  </si>
  <si>
    <t>CONSTRUCTION TOTAL</t>
  </si>
  <si>
    <t>Stabilized Aggregate</t>
  </si>
  <si>
    <t>No lighting required</t>
  </si>
  <si>
    <t>Porous Pavement</t>
  </si>
  <si>
    <t>RRFB</t>
  </si>
  <si>
    <t>INSTRUCTIONS &amp; INFORMATION SEEN BELOW - WILL NOT PRINT</t>
  </si>
  <si>
    <t xml:space="preserve">What is the proposed pavement treatment? </t>
  </si>
  <si>
    <t>What is the existing drainage condition?</t>
  </si>
  <si>
    <t>What is the proposed drainage condition?</t>
  </si>
  <si>
    <t>Will the roadway project include lighting?</t>
  </si>
  <si>
    <t>Chapter 90/Complete Streets/Safe Routes to School</t>
  </si>
  <si>
    <t>How many pedestrian refuge islands are proposed?</t>
  </si>
  <si>
    <t>Guardrail</t>
  </si>
  <si>
    <t>Pavement Treatment</t>
  </si>
  <si>
    <t>Full Depth Reconstruction</t>
  </si>
  <si>
    <t>Mixed Treatment</t>
  </si>
  <si>
    <t>None</t>
  </si>
  <si>
    <t>Resurfacing</t>
  </si>
  <si>
    <t>Adjust Drainage</t>
  </si>
  <si>
    <t>Relocate Drainage</t>
  </si>
  <si>
    <t>No Updates</t>
  </si>
  <si>
    <t>New Closed Drainage</t>
  </si>
  <si>
    <t>Ped Accom</t>
  </si>
  <si>
    <t>Bike Accom</t>
  </si>
  <si>
    <t>Curbing</t>
  </si>
  <si>
    <t>What is the material of the pedestrian facilities?</t>
  </si>
  <si>
    <t>What is the material of the bicycle facilities?</t>
  </si>
  <si>
    <t>Winchester</t>
  </si>
  <si>
    <t>Hawk</t>
  </si>
  <si>
    <t>Detection?</t>
  </si>
  <si>
    <t>Video</t>
  </si>
  <si>
    <t>Loop</t>
  </si>
  <si>
    <t>Intersection Legs</t>
  </si>
  <si>
    <t xml:space="preserve">How many roadways are there? </t>
  </si>
  <si>
    <t>Unsignalized</t>
  </si>
  <si>
    <t>What is the existing intersection control type?</t>
  </si>
  <si>
    <t>What is the proposed intersection control type?</t>
  </si>
  <si>
    <t>Existing Signal Inventory</t>
  </si>
  <si>
    <t xml:space="preserve">Traffic Signal Posts </t>
  </si>
  <si>
    <t>Mast Arms</t>
  </si>
  <si>
    <t>How many legs are proposed?</t>
  </si>
  <si>
    <t>Proposed Conditions/Upgrades</t>
  </si>
  <si>
    <t>Upgrade/Retrofit</t>
  </si>
  <si>
    <t>Construction?</t>
  </si>
  <si>
    <t>Work to be done?</t>
  </si>
  <si>
    <t>Condition</t>
  </si>
  <si>
    <t>To be replaced</t>
  </si>
  <si>
    <t>Signal Timing Changes?</t>
  </si>
  <si>
    <t>Signal Timing</t>
  </si>
  <si>
    <t>Yes - Pedestrian Phase</t>
  </si>
  <si>
    <t>Signal Timing Updates</t>
  </si>
  <si>
    <t>How many approach lanes are proposed? (Major Streets)</t>
  </si>
  <si>
    <t>How many approach lanes are proposed? (Minor Streets)</t>
  </si>
  <si>
    <t>Total equipment needs assumed below, override if other information is available</t>
  </si>
  <si>
    <t>Yes - Optimize/Re-time</t>
  </si>
  <si>
    <t>Yes - New Signal</t>
  </si>
  <si>
    <t>Traffic Signal Indicators</t>
  </si>
  <si>
    <t>Municipal Aid Cost Estimating Tool (MACET)</t>
  </si>
  <si>
    <t>Signalized</t>
  </si>
  <si>
    <t>Location 1</t>
  </si>
  <si>
    <t>Location 2</t>
  </si>
  <si>
    <t>Location 3</t>
  </si>
  <si>
    <t>Location 4</t>
  </si>
  <si>
    <t>Midblock</t>
  </si>
  <si>
    <t>Civil Lists</t>
  </si>
  <si>
    <t>Traffic Control Lists</t>
  </si>
  <si>
    <t>Intersection</t>
  </si>
  <si>
    <t>How many crosswalks will there be?</t>
  </si>
  <si>
    <t>New Construction</t>
  </si>
  <si>
    <t>B</t>
  </si>
  <si>
    <t>C</t>
  </si>
  <si>
    <t>D</t>
  </si>
  <si>
    <t>Sheet Names</t>
  </si>
  <si>
    <t>Civil</t>
  </si>
  <si>
    <t>Pavement</t>
  </si>
  <si>
    <t>Complete Streets</t>
  </si>
  <si>
    <t>Return Arrays</t>
  </si>
  <si>
    <t>G9:J35</t>
  </si>
  <si>
    <t>UNIT</t>
  </si>
  <si>
    <t>UNIT PRICE</t>
  </si>
  <si>
    <t>QUANTITY</t>
  </si>
  <si>
    <t>COST</t>
  </si>
  <si>
    <t>Furnish &amp; Install 3 Section 12" Lens Vehicle Head</t>
  </si>
  <si>
    <t>Furnish &amp; Install 3 Section 8" Bicycle Head</t>
  </si>
  <si>
    <t>Furnish &amp; Install Traffic Signal Cable - Type 1</t>
  </si>
  <si>
    <t>Furnish &amp; Install Pedestrian Signal Head</t>
  </si>
  <si>
    <t>Furnish &amp; Install APS Pedestrian Pushbuttons</t>
  </si>
  <si>
    <t>Furnish &amp; Install  8' Traffic Signal Post &amp; Base</t>
  </si>
  <si>
    <t>Traffic Signal Post Foundation</t>
  </si>
  <si>
    <t>Remove &amp; Stack Signal Post, Base, &amp; Housings</t>
  </si>
  <si>
    <t>Remove &amp; Dispose Traffic Signal Cabinet Foundation</t>
  </si>
  <si>
    <t>Furnish &amp; Install Traffic Signal Cabinet Foundation</t>
  </si>
  <si>
    <t>Furnish &amp; Install Traffic Signal Cabinet</t>
  </si>
  <si>
    <t>Furnish &amp; Install NEMA TS2 Type 1 - 8DW Controller</t>
  </si>
  <si>
    <t>Remove &amp; Dispose Mast Arm Foundation</t>
  </si>
  <si>
    <t>Remove &amp; Stack Mast Arm Assembly &amp; Housings</t>
  </si>
  <si>
    <t>Mast Arm Pole Foundation</t>
  </si>
  <si>
    <t>Type II 55' Steel Mast Arm</t>
  </si>
  <si>
    <t>Type II 40' Steel Mast Arm</t>
  </si>
  <si>
    <t>Furnish &amp; Install Video Detector System</t>
  </si>
  <si>
    <t>Emergency Pre-Emption System</t>
  </si>
  <si>
    <t>TOTAL</t>
  </si>
  <si>
    <t>Modify Controller Settings</t>
  </si>
  <si>
    <t>Replace Wire Loop in Roadway</t>
  </si>
  <si>
    <t>Assumptions</t>
  </si>
  <si>
    <t>Assumed 1 for new construction</t>
  </si>
  <si>
    <t>Equal to mast arm calc</t>
  </si>
  <si>
    <t>Delta of Signal Posts Existing vs New</t>
  </si>
  <si>
    <t>If upgrading and replacing signal cabinet</t>
  </si>
  <si>
    <t>Delta of Mast arms Ex vs New</t>
  </si>
  <si>
    <t>Type II 25' Steel Mast Arm</t>
  </si>
  <si>
    <t>Comment</t>
  </si>
  <si>
    <t>Location Name:</t>
  </si>
  <si>
    <t>TRAFFIC CONTROL PROJECT INPUTS</t>
  </si>
  <si>
    <t>This sheet includes many of the common elements often funded by the Complete Streets Funding Program.</t>
  </si>
  <si>
    <t>Bicycle Racks</t>
  </si>
  <si>
    <t>Wayfinding Signs</t>
  </si>
  <si>
    <t>Benches</t>
  </si>
  <si>
    <t>Bus Shelters</t>
  </si>
  <si>
    <t>ROADWAY PROJECT INPUTS</t>
  </si>
  <si>
    <t>Bicycle Friendly Drain Grates</t>
  </si>
  <si>
    <t>Survey Cost:</t>
  </si>
  <si>
    <t>Design Cost:</t>
  </si>
  <si>
    <t>Loam and Seed</t>
  </si>
  <si>
    <t>INPUT SUMMARY</t>
  </si>
  <si>
    <t>Municipality</t>
  </si>
  <si>
    <t>MassDOT District</t>
  </si>
  <si>
    <t>General Lists</t>
  </si>
  <si>
    <t>Project Type</t>
  </si>
  <si>
    <t>Chapter 90</t>
  </si>
  <si>
    <t>Safe Routes to Schools</t>
  </si>
  <si>
    <t>District</t>
  </si>
  <si>
    <t>SELECT</t>
  </si>
  <si>
    <t>--</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</si>
  <si>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</si>
  <si>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</si>
  <si>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</si>
  <si>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</si>
  <si>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</si>
  <si>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</si>
  <si>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</si>
  <si>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</si>
  <si>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</si>
  <si>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</si>
  <si>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</si>
  <si>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</si>
  <si>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</si>
  <si>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</si>
  <si>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</si>
  <si>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</si>
  <si>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</si>
  <si>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</si>
  <si>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</si>
  <si>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</si>
  <si>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Barnstable</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</si>
  <si>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</si>
  <si>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</si>
  <si>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</si>
  <si>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</si>
  <si>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</si>
  <si>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</si>
  <si>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</si>
  <si>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</si>
  <si>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</si>
  <si>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</si>
  <si>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</si>
  <si>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</si>
  <si>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</si>
  <si>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</si>
  <si>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</si>
  <si>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</si>
  <si>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</si>
  <si>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</si>
  <si>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</si>
  <si>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</si>
  <si>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</si>
  <si>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</si>
  <si>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</si>
  <si>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</si>
  <si>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</si>
  <si>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</si>
  <si>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</si>
  <si>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</si>
  <si>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</si>
  <si>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</si>
  <si>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</si>
  <si>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</si>
  <si>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</si>
  <si>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</si>
  <si>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</si>
  <si>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</si>
  <si>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</si>
  <si>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</si>
  <si>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</si>
  <si>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</si>
  <si>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</si>
  <si>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</si>
  <si>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</si>
  <si>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</si>
  <si>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</si>
  <si>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</si>
  <si>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</si>
  <si>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</si>
  <si>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</si>
  <si>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</si>
  <si>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</si>
  <si>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</si>
  <si>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</si>
  <si>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</si>
  <si>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</si>
  <si>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Devens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</si>
  <si>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</si>
  <si>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</si>
  <si>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</si>
  <si>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</si>
  <si>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</si>
  <si>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</si>
  <si>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</si>
  <si>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</si>
  <si>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</si>
  <si>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</si>
  <si>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</si>
  <si>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</si>
  <si>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</si>
  <si>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</si>
  <si>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</si>
  <si>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</si>
  <si>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Essex</t>
  </si>
  <si>
    <t>Everett</t>
  </si>
  <si>
    <t>Fairhaven</t>
  </si>
  <si>
    <t>Fall River</t>
  </si>
  <si>
    <t>Falmouth</t>
  </si>
  <si>
    <t>Fitchburg</t>
  </si>
  <si>
    <t>Florida</t>
  </si>
  <si>
    <t>Foxborough</t>
  </si>
  <si>
    <t>Framingham</t>
  </si>
  <si>
    <t>Franklin</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</si>
  <si>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</si>
  <si>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</si>
  <si>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</si>
  <si>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</si>
  <si>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</si>
  <si>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</si>
  <si>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</si>
  <si>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</si>
  <si>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</si>
  <si>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</si>
  <si>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</si>
  <si>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</si>
  <si>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</si>
  <si>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</si>
  <si>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</si>
  <si>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</si>
  <si>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</si>
  <si>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Hampden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</si>
  <si>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</si>
  <si>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</si>
  <si>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</si>
  <si>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</si>
  <si>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</si>
  <si>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</si>
  <si>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</si>
  <si>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</si>
  <si>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</si>
  <si>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</si>
  <si>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</si>
  <si>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</si>
  <si>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</si>
  <si>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</si>
  <si>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</si>
  <si>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</si>
  <si>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</si>
  <si>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</si>
  <si>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</si>
  <si>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</si>
  <si>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</si>
  <si>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</si>
  <si>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</si>
  <si>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</si>
  <si>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</si>
  <si>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</si>
  <si>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</si>
  <si>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</si>
  <si>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</si>
  <si>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</si>
  <si>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</si>
  <si>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</si>
  <si>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</si>
  <si>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</si>
  <si>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</si>
  <si>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</si>
  <si>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</si>
  <si>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</si>
  <si>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</si>
  <si>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</si>
  <si>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</si>
  <si>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</si>
  <si>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</si>
  <si>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</si>
  <si>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</si>
  <si>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Manchester-by-the-Sea</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</si>
  <si>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</si>
  <si>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</si>
  <si>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</si>
  <si>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</si>
  <si>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</si>
  <si>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</si>
  <si>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</si>
  <si>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</si>
  <si>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</si>
  <si>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</si>
  <si>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</si>
  <si>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</si>
  <si>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</si>
  <si>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</si>
  <si>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</si>
  <si>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</si>
  <si>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</si>
  <si>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</si>
  <si>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</si>
  <si>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</si>
  <si>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</si>
  <si>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</si>
  <si>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</si>
  <si>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</si>
  <si>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</si>
  <si>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</si>
  <si>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</si>
  <si>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</si>
  <si>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</si>
  <si>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</si>
  <si>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Nantucket</t>
  </si>
  <si>
    <t>Natick</t>
  </si>
  <si>
    <t>Needham</t>
  </si>
  <si>
    <t>New Ashford</t>
  </si>
  <si>
    <t>New Bedford</t>
  </si>
  <si>
    <t>New Braintree</t>
  </si>
  <si>
    <t>New Marlborough</t>
  </si>
  <si>
    <t>New Salem</t>
  </si>
  <si>
    <t>Newbury</t>
  </si>
  <si>
    <t>Newburyport</t>
  </si>
  <si>
    <t>Newton</t>
  </si>
  <si>
    <t>Norfolk</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</si>
  <si>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</si>
  <si>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</si>
  <si>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</si>
  <si>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</si>
  <si>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</si>
  <si>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</si>
  <si>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</si>
  <si>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</si>
  <si>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</si>
  <si>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</si>
  <si>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</si>
  <si>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</si>
  <si>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</si>
  <si>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</si>
  <si>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</si>
  <si>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</si>
  <si>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</si>
  <si>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</si>
  <si>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</si>
  <si>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</si>
  <si>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</si>
  <si>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</si>
  <si>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</si>
  <si>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</si>
  <si>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</si>
  <si>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</si>
  <si>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</si>
  <si>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</si>
  <si>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</si>
  <si>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</si>
  <si>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Plymouth</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</si>
  <si>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</si>
  <si>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</si>
  <si>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</si>
  <si>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</si>
  <si>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</si>
  <si>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</si>
  <si>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</si>
  <si>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</si>
  <si>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</si>
  <si>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</si>
  <si>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</si>
  <si>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</si>
  <si>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</si>
  <si>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</si>
  <si>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</si>
  <si>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</si>
  <si>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</si>
  <si>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</si>
  <si>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</si>
  <si>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</si>
  <si>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</si>
  <si>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</si>
  <si>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</si>
  <si>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</si>
  <si>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</si>
  <si>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</si>
  <si>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</si>
  <si>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</si>
  <si>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</si>
  <si>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</si>
  <si>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</si>
  <si>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</si>
  <si>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</si>
  <si>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</si>
  <si>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</si>
  <si>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</si>
  <si>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</si>
  <si>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</si>
  <si>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</si>
  <si>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</si>
  <si>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</si>
  <si>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</si>
  <si>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</si>
  <si>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</si>
  <si>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</si>
  <si>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</si>
  <si>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</si>
  <si>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</si>
  <si>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</si>
  <si>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</si>
  <si>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</si>
  <si>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</si>
  <si>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</si>
  <si>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</si>
  <si>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</si>
  <si>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</si>
  <si>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</si>
  <si>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</si>
  <si>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</si>
  <si>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</si>
  <si>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</si>
  <si>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</si>
  <si>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</si>
  <si>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</si>
  <si>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</si>
  <si>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</si>
  <si>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</si>
  <si>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</si>
  <si>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</si>
  <si>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</si>
  <si>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</si>
  <si>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</si>
  <si>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</si>
  <si>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</si>
  <si>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</si>
  <si>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</si>
  <si>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</si>
  <si>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</si>
  <si>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</si>
  <si>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</si>
  <si>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</si>
  <si>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</si>
  <si>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</si>
  <si>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</si>
  <si>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</si>
  <si>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</si>
  <si>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</si>
  <si>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</si>
  <si>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</si>
  <si>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</si>
  <si>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</si>
  <si>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</si>
  <si>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</si>
  <si>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</si>
  <si>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</si>
  <si>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</si>
  <si>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</si>
  <si>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</si>
  <si>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</si>
  <si>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</si>
  <si>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</si>
  <si>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</si>
  <si>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</si>
  <si>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</si>
  <si>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Windsor</t>
  </si>
  <si>
    <t>Winthrop</t>
  </si>
  <si>
    <t>Woburn</t>
  </si>
  <si>
    <t>Worcester</t>
  </si>
  <si>
    <t>Worthington</t>
  </si>
  <si>
    <t>Wrentham</t>
  </si>
  <si>
    <t>Yarmouth</t>
  </si>
  <si>
    <t>Where is the project located?</t>
  </si>
  <si>
    <t>What is the average width of the pedestrian facilities?</t>
  </si>
  <si>
    <t>What is the average width of the bicycle facilities?</t>
  </si>
  <si>
    <t>Flex Posts</t>
  </si>
  <si>
    <t>Paint</t>
  </si>
  <si>
    <t>Bike Separation</t>
  </si>
  <si>
    <t>Other</t>
  </si>
  <si>
    <t>How many of the following amenities will be included in the project?</t>
  </si>
  <si>
    <t>CONCEPTUAL CONSTRUCTION ESTIMATE</t>
  </si>
  <si>
    <t>Volume (CY)</t>
  </si>
  <si>
    <t>Area (SY) x</t>
  </si>
  <si>
    <t>Depth (ft)</t>
  </si>
  <si>
    <t>Full Depth:</t>
  </si>
  <si>
    <t>Full Depth &lt;4':</t>
  </si>
  <si>
    <t>Cem Conc Sidewalks:</t>
  </si>
  <si>
    <t>HMA Driveways:</t>
  </si>
  <si>
    <t>Wheelchair Ramps:</t>
  </si>
  <si>
    <t>| From Area Summary</t>
  </si>
  <si>
    <t>Full Depth :</t>
  </si>
  <si>
    <t>| 4" deep crushed stone</t>
  </si>
  <si>
    <t>PAVEMENT MICRO MILLING</t>
  </si>
  <si>
    <t>Dust Control:</t>
  </si>
  <si>
    <t>| Estimate 1.5 LB per SY</t>
  </si>
  <si>
    <t>Full Depth &lt;4' :</t>
  </si>
  <si>
    <t>SUPERPAVE INTERMEDIATE COURSE – 19.0 (SIC –19.0)</t>
  </si>
  <si>
    <t>GAL/SY</t>
  </si>
  <si>
    <t>Limits of Work:</t>
  </si>
  <si>
    <t>Area of patch:</t>
  </si>
  <si>
    <t>WCR:</t>
  </si>
  <si>
    <t>Loam Volume :</t>
  </si>
  <si>
    <t>| Compost Topsoil - 4" deep</t>
  </si>
  <si>
    <t>Seed :</t>
  </si>
  <si>
    <t>CIVIL ROADWAY MATERIALS</t>
  </si>
  <si>
    <t>Total curb:</t>
  </si>
  <si>
    <t>Straight curb:</t>
  </si>
  <si>
    <t>Curved curb:</t>
  </si>
  <si>
    <t>Total WCR curb:</t>
  </si>
  <si>
    <t>Straight WCR curb:</t>
  </si>
  <si>
    <t xml:space="preserve">| Maintain same assumption </t>
  </si>
  <si>
    <t>as above</t>
  </si>
  <si>
    <t>GRANITE TRANSITION CURB FOR WCR - CURVED</t>
  </si>
  <si>
    <t>Curved WCR curb:</t>
  </si>
  <si>
    <t>GUARDRAIL, TL-2 (SINGLE FACED)</t>
  </si>
  <si>
    <t>GUARDRAIL - CURVED, TL-2 (SINGLE FACED)</t>
  </si>
  <si>
    <t>Length of Walls :</t>
  </si>
  <si>
    <t>Wall Volume :</t>
  </si>
  <si>
    <t>| Assume 6' tall x 2.5' wide</t>
  </si>
  <si>
    <t>Berm Area* =</t>
  </si>
  <si>
    <t>Volume =</t>
  </si>
  <si>
    <t>Area (CF)</t>
  </si>
  <si>
    <t>Ton/CF</t>
  </si>
  <si>
    <t>EDGING ROADWAY MATERIALS</t>
  </si>
  <si>
    <t># New Catch Basins :</t>
  </si>
  <si>
    <t>Catch Basins:</t>
  </si>
  <si>
    <t>| Item 201</t>
  </si>
  <si>
    <t>CBs Adjusted:</t>
  </si>
  <si>
    <t>DRAINAGE ROADWAY MATERIALS</t>
  </si>
  <si>
    <t>Temporary Traffic Control</t>
  </si>
  <si>
    <t># Intersections:</t>
  </si>
  <si>
    <t># midblocks:</t>
  </si>
  <si>
    <t>PLUMBER</t>
  </si>
  <si>
    <t>STORAGE FACILITY OR BUILDING</t>
  </si>
  <si>
    <t>ELECTRICAL WORK</t>
  </si>
  <si>
    <t>CLEARING</t>
  </si>
  <si>
    <t>HERBICIDE TREATMENT FOR INVASIVE PLANTS</t>
  </si>
  <si>
    <t>INVASIVE PLANT MANAGEMENT STRATEGY</t>
  </si>
  <si>
    <t>TREE AND PLANT PROTECTION FENCE</t>
  </si>
  <si>
    <t>ARBORIST</t>
  </si>
  <si>
    <t>JACKING SUPERSTRUCTURE</t>
  </si>
  <si>
    <t>JOINT FILLER COMPOUND</t>
  </si>
  <si>
    <t>SEALING RANDOM CRACKS IN CEMENT CONCRETE PAVEMENT</t>
  </si>
  <si>
    <t>TEMPORARY CONSTRUCTION ACCESS ROAD</t>
  </si>
  <si>
    <t>REINFORCED CONCRETE SURFACE EXCAVATION</t>
  </si>
  <si>
    <t>DREDGING, MOBILIZATION AND DEMOBILIZATION</t>
  </si>
  <si>
    <t>PUBLIC OUTREACH</t>
  </si>
  <si>
    <t>GRAVEL BORROW FOR RIPRAP</t>
  </si>
  <si>
    <t>GRAVEL BORROW FOR SLOPE TREATMENT</t>
  </si>
  <si>
    <t>FINE GRADING AND COMPACTING - SUBGRADE AREA</t>
  </si>
  <si>
    <t>ENVIRONMENTAL HEALTH AND SAFETY PROGRAM</t>
  </si>
  <si>
    <t>PERSONAL PROTECTION LEVEL C UPGRADE</t>
  </si>
  <si>
    <t>LICENSED SITE PROFESSIONAL SERVICES</t>
  </si>
  <si>
    <t>DISPOSAL OF RECLAIMABLE - RECYCLABLE WASTE LIQUID</t>
  </si>
  <si>
    <t>DISPOSAL OF MERCURY CONTAINING DEVICES</t>
  </si>
  <si>
    <t>SPECIAL MANHOLE - MUNICIPAL STANDARD</t>
  </si>
  <si>
    <t>GUTTER INLET - SPECIAL</t>
  </si>
  <si>
    <t>DROP INLET, TYPE C</t>
  </si>
  <si>
    <t>DROP INLET, TYPE D</t>
  </si>
  <si>
    <t>SANITARY SEWER MANHOLE (9 TO 14 FOOT DEPTH)</t>
  </si>
  <si>
    <t>SANITARY SEWER MANHOLE (14 TO 18 FOOT DEPTH)</t>
  </si>
  <si>
    <t>SPECIAL SANITARY SEWER MANHOLE</t>
  </si>
  <si>
    <t>FRAME AND COVER - SECURED</t>
  </si>
  <si>
    <t>LARGE HOOK LOCK BAR GRATE – FURNISHED AND INSTALLED</t>
  </si>
  <si>
    <t>8 INCH HOOD</t>
  </si>
  <si>
    <t>TRAP AND HOOD MUNICIPAL STANDARD</t>
  </si>
  <si>
    <t>TIDE GATE</t>
  </si>
  <si>
    <t>12 INCH CORRUGATED METAL PIPE 16 GAGE</t>
  </si>
  <si>
    <t>15 INCH CORRUGATED METAL PIPE 16 GAGE</t>
  </si>
  <si>
    <t>18 INCH CORRUGATED METAL PIPE 16 GAGE</t>
  </si>
  <si>
    <t>43 X 27 INCH ACCM PIPE-ARCH 12 GAGE</t>
  </si>
  <si>
    <t>50 X 31 INCH ACCM PIPE-ARCH 12 GAGE</t>
  </si>
  <si>
    <t>42 INCH REINFORCED CONCRETE PIPE FLARED END</t>
  </si>
  <si>
    <t>15 INCH REINFORCED CONCRETE PIPE CLASS IV</t>
  </si>
  <si>
    <t>10 INCH POLYVINYLCHLORIDE SANITARY SEWER PIPE</t>
  </si>
  <si>
    <t>12 INCH CORRUGATED PLASTIC PIPE</t>
  </si>
  <si>
    <t>15 INCH CORRUGATED PLASTIC PIPE</t>
  </si>
  <si>
    <t>18 INCH CORRUGATED PLASTIC PIPE</t>
  </si>
  <si>
    <t>24 INCH CORRUGATED PLASTIC PIPE</t>
  </si>
  <si>
    <t>30 INCH CORRUGATED PLASTIC PIPE</t>
  </si>
  <si>
    <t>CRUSHED STONE FOR BLEEDERS</t>
  </si>
  <si>
    <t>JUTE MESH (WATERWAYS)</t>
  </si>
  <si>
    <t>16 INCH DUCTILE IRON WATER PIPE (RUBBER GASKET)</t>
  </si>
  <si>
    <t>18 INCH DUCTILE IRON WATER PIPE (MECHANICAL JOINT)</t>
  </si>
  <si>
    <t>24 INCH DUCTILE IRON WATER PIPE (MECHANICAL JOINT)</t>
  </si>
  <si>
    <t>4 INCH WATER MAIN REMOVED AND STACKED</t>
  </si>
  <si>
    <t>8 INCH WATER MAIN REMOVED AND STACKED</t>
  </si>
  <si>
    <t>12 INCH WATER MAIN REMOVED AND STACKED</t>
  </si>
  <si>
    <t>16 INCH WATER MAIN REMOVED AND STACKED</t>
  </si>
  <si>
    <t>1 INCH TEMPORARY SERVICE PIPE</t>
  </si>
  <si>
    <t>1-1/4 INCH COPPER TUBING TYPE K</t>
  </si>
  <si>
    <t>1-1/2 INCH COPPER TUBING TYPE K</t>
  </si>
  <si>
    <t>4 INCH GATE VALVE</t>
  </si>
  <si>
    <t>8 INCH GATE VALVE</t>
  </si>
  <si>
    <t>12 INCH GATE VALVE</t>
  </si>
  <si>
    <t>16 INCH GATE VALVE</t>
  </si>
  <si>
    <t>6 INCH GATE AND GATE BOX REMOVED AND STACKED</t>
  </si>
  <si>
    <t>8 INCH GATE AND GATE BOX REMOVED AND STACKED</t>
  </si>
  <si>
    <t>24 INCH BUTTERFLY VALVE AND BOX</t>
  </si>
  <si>
    <t>3/4 INCH CORPORATION COCK</t>
  </si>
  <si>
    <t>1-1/4 INCH CORPORATION COCK</t>
  </si>
  <si>
    <t>1-1/2 INCH CORPORATION COCK</t>
  </si>
  <si>
    <t>1-3/4 INCH CORPORATION COCK</t>
  </si>
  <si>
    <t>12 INCH CAST IRON PLUG</t>
  </si>
  <si>
    <t>24 X 24 INCH TAPPING SLEEVE, VALVE AND BOX</t>
  </si>
  <si>
    <t>10 X 6 INCH TAPPING SLEEVE, VALVE AND BOX</t>
  </si>
  <si>
    <t>12 X 8 INCH TAPPING SLEEVE, VALVE AND BOX</t>
  </si>
  <si>
    <t>16 INCH COUPLING</t>
  </si>
  <si>
    <t>18 INCH COUPLING</t>
  </si>
  <si>
    <t>24 INCH COUPLING</t>
  </si>
  <si>
    <t>4 INCH WATER PIPE INSULATION</t>
  </si>
  <si>
    <t>6 INCH WATER PIPE INSULATION</t>
  </si>
  <si>
    <t>24 INCH WATER PIPE INSULATION</t>
  </si>
  <si>
    <t>4 INCH INSERTION VALVE AND BOX</t>
  </si>
  <si>
    <t>6 INCH INSERTION VALVE AND BOX</t>
  </si>
  <si>
    <t>8 INCH INSERTION VALVE AND BOX</t>
  </si>
  <si>
    <t>12 INCH INSERTION VALVE AND BOX</t>
  </si>
  <si>
    <t>1 INCH AIR RELEASE VALVE</t>
  </si>
  <si>
    <t>CURB STOP REMOVED AND RESET</t>
  </si>
  <si>
    <t>CURB STOP BOX ADJUSTED</t>
  </si>
  <si>
    <t>AIR VALVE CHAMBER</t>
  </si>
  <si>
    <t>PAVEMENT MILLING MULCH FOR SHOULDERS</t>
  </si>
  <si>
    <t>PAVEMENT STANDARD MILLING</t>
  </si>
  <si>
    <t>PAVEMENT FINE MILLING</t>
  </si>
  <si>
    <t>BRIDGE PAVEMENT MILLING</t>
  </si>
  <si>
    <t>CEMENT CONCRETE BASE COURSE</t>
  </si>
  <si>
    <t>OPEN GRADED FRICTION COURSE - 9.5 - POLYMER MODIFIED (OGFC – P)</t>
  </si>
  <si>
    <t>SUPERPAVE SURFACE COURSE – 9.5 (SSC – 9.5)</t>
  </si>
  <si>
    <t>SUPERPAVE SURFACE COURSE – 9.5 POLYMER (SSC – 9.5 - P)</t>
  </si>
  <si>
    <t>SUPERPAVE SURFACE COURSE - 12.5 POLYMER (SSC - 12.5 - P)</t>
  </si>
  <si>
    <t>SUPERPAVE SURFACE COURSE – 19.0 (SSC – 19.0)</t>
  </si>
  <si>
    <t>SUPERPAVE INTERMEDIATE COURSE - 12.5 POLYMER (SIC -12.5 - P)</t>
  </si>
  <si>
    <t>SUPERPAVE INTERMEDIATE COURSE - 19.0 POLYMER (SIC - 19.0 - P)</t>
  </si>
  <si>
    <t>SUPERPAVE BASE COURSE - 25.0 (SBC - 25.0)</t>
  </si>
  <si>
    <t>SUPERPAVE LEVELING COURSE - 12.5 (SLC - 12.5)</t>
  </si>
  <si>
    <t>SUPERPAVE BRIDGE SURFACE COURSE - 9.5 POLYMER (SSC-B - 9.5 - P)</t>
  </si>
  <si>
    <t>SUPERPAVE BRIDGE SURFACE COURSE - 12.5 POLYMER (SSC-B - 12.5 - P)</t>
  </si>
  <si>
    <t>SUPERPAVE BRIDGE PROTECTIVE COURSE - 9.5 POLYMER (SPC-B - 9.5 - P)</t>
  </si>
  <si>
    <t>SUPERPAVE BRIDGE PROTECTIVE COURSE – 12.5 (SPC-B - 12.5)</t>
  </si>
  <si>
    <t>ASPHALT RUBBER GAP GRADED - 12.5 (ARGG - 12.5)</t>
  </si>
  <si>
    <t>SUPERPAVE WATERPROOFING SURFACE COURSE - 9.5 (SSC-W-9.5)</t>
  </si>
  <si>
    <t>SUPERPAVE WATERPROOFING SURFACE COURSE - 12.5 (SSC-W-12.5)</t>
  </si>
  <si>
    <t>SUPERPAVE HIGH PERFORMANCE (HP-12.5)</t>
  </si>
  <si>
    <t>LIGHTWEIGHT AGGREGATE</t>
  </si>
  <si>
    <t>HOT MIX ASPHALT BERM</t>
  </si>
  <si>
    <t>TEMPORARY ASPHALT PATCHING</t>
  </si>
  <si>
    <t>MILLED RUMBLE STRIP (TYPE A)</t>
  </si>
  <si>
    <t>MILLED RUMBLE STRIP (TYPE B)</t>
  </si>
  <si>
    <t>MILLED RUMBLE STRIP (TYPE C)</t>
  </si>
  <si>
    <t>HOT APPLIED ASPHALTIC CRACK FILLER</t>
  </si>
  <si>
    <t>HOT APPLIED ASPHALTIC CRACK FILLER (POLYESTER FIBERS)</t>
  </si>
  <si>
    <t>GRANITE RUBBLE BLOCK PAVEMENT</t>
  </si>
  <si>
    <t>GRANITE RUBBLE BLOCK PAVEMENT EXCL. COST OF CONCRETE BASE</t>
  </si>
  <si>
    <t>GRANITE CURB TYPE VA1 - STRAIGHT</t>
  </si>
  <si>
    <t>GRANITE CURB TYPE VA2 - STRAIGHT</t>
  </si>
  <si>
    <t>GRANITE CURB TYPE VA2 - CURVED</t>
  </si>
  <si>
    <t>GRANITE TRANSITION CURB FOR PEDESTRIAN CURB RAMPS - STRAIGHT</t>
  </si>
  <si>
    <t>GRANITE TRANSITION CURB FOR PEDESTRIAN CURB RAMPS - CURVED</t>
  </si>
  <si>
    <t>HOT MIX ASPHALT CURB TYPE 1</t>
  </si>
  <si>
    <t>CURB REMOVED, RELOCATED AND RESET</t>
  </si>
  <si>
    <t>GUARDRAIL, TL-3 (SINGLE FACED)</t>
  </si>
  <si>
    <t>GUARDRAIL, DEEP POST (SINGLE FACED)</t>
  </si>
  <si>
    <t>GUARDRAIL - CURVED, TL-3 (SINGLE FACED)</t>
  </si>
  <si>
    <t>GUARDRAIL, TL-2 (DOUBLE FACED)</t>
  </si>
  <si>
    <t>GUARDRAIL, TL-3 (DOUBLE FACED)</t>
  </si>
  <si>
    <t>TRAILING ANCHORAGE</t>
  </si>
  <si>
    <t>GUARDRAIL END TREATMENT, TL-2 (DOUBLE FACED)</t>
  </si>
  <si>
    <t>GUARDRAIL END TREATMENT, TL-3 (DOUBLE FACED)</t>
  </si>
  <si>
    <t>GUARDRAIL TANGENT END TREATMENT, TL-2</t>
  </si>
  <si>
    <t>GUARDRAIL TANGENT END TREATMENT, TL-3</t>
  </si>
  <si>
    <t>GUARDRAIL FLARED END TREATMENT, TL-2</t>
  </si>
  <si>
    <t>GUARDRAIL FLARED END TREATMENT, TL-3</t>
  </si>
  <si>
    <t>TRANSITION TO NCHRP 350 GUARDRAIL</t>
  </si>
  <si>
    <t>TRANSITION TO RIGID BARRIER (SINGLE FACED)</t>
  </si>
  <si>
    <t>TRANSITION TO RIGID BARRIER (DOUBLE FACED)</t>
  </si>
  <si>
    <t>TRANSITION TO BRIDGE RAIL</t>
  </si>
  <si>
    <t>TRANSITION TO THRIE BEAM</t>
  </si>
  <si>
    <t>CAST-IN-PLACE CONCRETE BARRIER - SINGLE FACED</t>
  </si>
  <si>
    <t>CAST-IN-PLACE MEDIAN BARRIER CAP</t>
  </si>
  <si>
    <t>SPECIAL BASE ANCHOR FOR GUARDRAIL POST</t>
  </si>
  <si>
    <t>INDIVIDUAL POST REMOVED AND RESET</t>
  </si>
  <si>
    <t>96 INCH CHAIN LINK FENCE (PIPE TOP RAIL) (LINE POST OPTION)</t>
  </si>
  <si>
    <t>96 INCH CHAIN LINK GATE WITH GATE POSTS</t>
  </si>
  <si>
    <t>144 INCH CHAIN LINK FENCE FABRIC</t>
  </si>
  <si>
    <t>CEMENT CONCRETE PEDESTRIAN CURB RAMP</t>
  </si>
  <si>
    <t>HOT MIX ASPHALT SIDEWALK OR DRIVEWAY</t>
  </si>
  <si>
    <t>FLAGSTONE WALK</t>
  </si>
  <si>
    <t>GRANITE SLAB WALK REMOVED AND RESET</t>
  </si>
  <si>
    <t>PEDESTRIAN BUS SHELTER</t>
  </si>
  <si>
    <t>COMPOST TOPDRESSING</t>
  </si>
  <si>
    <t>INLAND WETLAND REPLICATION AREA</t>
  </si>
  <si>
    <t>WETLAND RESTORATION</t>
  </si>
  <si>
    <t>WETLAND SPECIALIST</t>
  </si>
  <si>
    <t>WETLANDS MONITORING REPORTS</t>
  </si>
  <si>
    <t>DUMPED STONE FOR EROSION CONTROL</t>
  </si>
  <si>
    <t>SPECIAL SLOPE PAVING UNDER BRIDGE - OPTION</t>
  </si>
  <si>
    <t>TEMPORARY SUPPORTS FOR BRIDGE STRUCTURE</t>
  </si>
  <si>
    <t>TESTING OF PCB BALLASTS</t>
  </si>
  <si>
    <t>SEDIMENT CONTROL BARRIER</t>
  </si>
  <si>
    <t>JUTE MESH</t>
  </si>
  <si>
    <t>LINDEN - LITTLE LEAF 2-2.5 INCH CALIPER</t>
  </si>
  <si>
    <t>YEW - SPREADING ENGLISH 24-30 INCH SPREAD</t>
  </si>
  <si>
    <t>1-1/2 INCH ELECTRICAL CONDUIT TYPE NM - PLASTIC -(UL)</t>
  </si>
  <si>
    <t>1 INCH ELECTRICAL CONDUIT TYPE RM - GALVANIZED STEEL</t>
  </si>
  <si>
    <t>1-1/2 INCH ELECTRICAL CONDUIT TYPE RM - GALVANIZED STEEL</t>
  </si>
  <si>
    <t>LIGHT STANDARD FOUNDATION SD3.014</t>
  </si>
  <si>
    <t>WIRE TYPE 8 NO. 1/0 DIRECT BURIAL</t>
  </si>
  <si>
    <t>SERVICE CONNECTION (OVERHEAD)</t>
  </si>
  <si>
    <t>SUPPORTS FOR OVERHEAD GUIDE SIGN (OD-1) STEEL</t>
  </si>
  <si>
    <t>SUPPORTS FOR OVERHEAD GUIDE SIGN (OD-5) STEEL</t>
  </si>
  <si>
    <t>SUPPORTS FOR OVERHEAD GUIDE SIGN (OD-6) STEEL</t>
  </si>
  <si>
    <t>SUPPORTS FOR OVERHEAD GUIDE SIGN (OD-7) STEEL</t>
  </si>
  <si>
    <t>SUPPORTS FOR OVERHEAD GUIDE SIGN (OD-8) STEEL</t>
  </si>
  <si>
    <t>SUPPORTS FOR OVERHEAD GUIDE SIGN (OD-9) STEEL</t>
  </si>
  <si>
    <t>SUPPORTS FOR OVERHEAD GUIDE SIGN (OD-10) STEEL</t>
  </si>
  <si>
    <t>TEMPORARY BARRIER (TL-2)</t>
  </si>
  <si>
    <t>TEMPORARY PORTABLE RUMBLE STRIP</t>
  </si>
  <si>
    <t>REFLECTORIZED DRUMS WITH SEQUENTIAL FLASHING WARNING LIGHTS</t>
  </si>
  <si>
    <t>PAVEMENT ARROWS AND LEGENDS REFLECTORIZED WHITE (THERMOPLASTIC)</t>
  </si>
  <si>
    <t>CONCRETE PENETRANT</t>
  </si>
  <si>
    <t>RAPID SET CEMENT</t>
  </si>
  <si>
    <t>STEEL PILE HP 14 X 89</t>
  </si>
  <si>
    <t>DRILLED SHAFT EXCAVATION 5.0 FOOT DIAMETER</t>
  </si>
  <si>
    <t>ROCK SOCKET EXCAVATION 4.5 FOOT DIAMETER</t>
  </si>
  <si>
    <t>OBSTRUCTION EXCAVATION 5.0 FOOT DIAMETER</t>
  </si>
  <si>
    <t>TRIAL SHAFT 5.0 FOOT DIAMETER</t>
  </si>
  <si>
    <t>DRILLED SHAFT 5.0 FOOT DIAMETER</t>
  </si>
  <si>
    <t>PERMANENT CASING 5.0 FOOT DIAMETER</t>
  </si>
  <si>
    <t>MEMBRANE WATERPROOFING FOR BRIDGE DECK REPAIRS</t>
  </si>
  <si>
    <t>SCUPPER AND DOWNSPOUT</t>
  </si>
  <si>
    <t>SCUPPER-REMOVED</t>
  </si>
  <si>
    <t>METAL BRIDGE RAILING REMOVED</t>
  </si>
  <si>
    <t>CEDAR-RED 2-3 FEET</t>
  </si>
  <si>
    <t>PINE - PITCH 4-5 FEET</t>
  </si>
  <si>
    <t>SPRUCE - COLORADO GREEN 8-10 FEET</t>
  </si>
  <si>
    <t>SPRUCE - SERBIAN 5-6 FEET</t>
  </si>
  <si>
    <t>HOPHORNBEAM - AMERICAN 2-2.5 INCH CALIPER</t>
  </si>
  <si>
    <t>LOCUST - HONEY - 'SHADEMASTER' 3-3.5 INCH CALIPER</t>
  </si>
  <si>
    <t>LOCUST - HONEY - 'SKYLINE' 2-2.5 INCH CALIPER</t>
  </si>
  <si>
    <t>MAPLE - SUGAR 2-2.5 INCHES CALIPER</t>
  </si>
  <si>
    <t>MAPLE - SUGAR - 'LEGACY' 2-2.5 INCH CALIPER</t>
  </si>
  <si>
    <t>MAPLE - SYCAMORE 2-2.5 INCH CALIPER</t>
  </si>
  <si>
    <t>PLANETREE - AMERICAN 2-2.5 INCH CALIPER</t>
  </si>
  <si>
    <t>CHERRY - SARGENT 1.5-2 INCH CALIPER</t>
  </si>
  <si>
    <t>CRABAPPLE - 'CENTURION' 2.5-3 INCH CALIPER</t>
  </si>
  <si>
    <t>CRABAPPLE - 'RED JADE' - WEEPING 1.5-2 INCH CALIPER</t>
  </si>
  <si>
    <t>CRABAPPLE - 'ZUMI' 1.5-2 INCH CALIPER</t>
  </si>
  <si>
    <t>HACKBERRY TREE 1.5-2 INCH CALIPER</t>
  </si>
  <si>
    <t>LILAC TREE - JAPANESE CLUMP 10-12 FOOT CLUMP</t>
  </si>
  <si>
    <t>MAIDENHAIR TREE 2-2.5 INCH CALIPER</t>
  </si>
  <si>
    <t>PEAR - CALLERY - 'CHANTICLEER' 2-2.5 INCH CALIPER</t>
  </si>
  <si>
    <t>REDBUD - EASTERN 5-6 FEET</t>
  </si>
  <si>
    <t>SHAD TREE - DOWNY 2-2.5 INCH CALIPER</t>
  </si>
  <si>
    <t>TUPELO 1.5-2 INCH CALIPER</t>
  </si>
  <si>
    <t>ZELKOVA - 'VILLAGE GREEN' 2.5-3 INCH CALIPER</t>
  </si>
  <si>
    <t>ANDROMEDA - MOUNTAIN 24-36 INCH</t>
  </si>
  <si>
    <t>HOLLY - JAPANESE - 'HETZ' 24-30 INCH</t>
  </si>
  <si>
    <t>INKBERRY - COMPACT 18-24 INCH</t>
  </si>
  <si>
    <t>JUNIPER - ANDORRA 18-24 INCH</t>
  </si>
  <si>
    <t>JUNIPER - 'BLUE RUG' 12-15 INCH</t>
  </si>
  <si>
    <t>JUNIPER - SARGENT'S GREEN 24-30 INCH</t>
  </si>
  <si>
    <t>JUNIPER - 'SEA GREEN' 18-24 INCH</t>
  </si>
  <si>
    <t>YEW - SPREADING DENSE 24-30 INCH</t>
  </si>
  <si>
    <t>VIBURNUM - NANNYBERRY 24-30 INCH</t>
  </si>
  <si>
    <t>VIBURNUM - WITHEROD 18-24 INCH</t>
  </si>
  <si>
    <t>WINTERBERRY - MALE 24-30 INCH</t>
  </si>
  <si>
    <t>WINTERBERRY - FEMALE 24-30 INCH</t>
  </si>
  <si>
    <t>WILLOW - PUSSY 2-3 FEET</t>
  </si>
  <si>
    <t>PACHYSANDRA PER FLAT</t>
  </si>
  <si>
    <t>ROSE - PINK MEIDILAND 2 GALLON</t>
  </si>
  <si>
    <t>COMMON RUSH 1 GALLON</t>
  </si>
  <si>
    <t>FOUNTAIN GRASS 1 GALLON</t>
  </si>
  <si>
    <t>3 INCH ELECTRICAL CONDUIT - TYPE NM (4 BANK)</t>
  </si>
  <si>
    <t>4 INCH ELECTRICAL CONDUIT - TYPE NM (4 BANK)</t>
  </si>
  <si>
    <t>4 INCH ELECTRICAL CONDUIT - TYPE NM (6 BANK)</t>
  </si>
  <si>
    <t>6 INCH ELECTRICAL CONDUIT - TYPE NM (4 BANK)</t>
  </si>
  <si>
    <t>6 INCH ELECTRICAL CONDUIT TYPE NM - PLASTIC -(UL)</t>
  </si>
  <si>
    <t>6 INCH ELECTRICAL CONDUIT TYPE RM - GALVANIZED STEEL</t>
  </si>
  <si>
    <t>2 INCH ELECTRICAL CONDUIT TY RM - STEEL - (PLASTIC COATED)</t>
  </si>
  <si>
    <t>TRAFFIC CONTROL SIGNAL</t>
  </si>
  <si>
    <t>TRAFFIC CONTROL SIGNAL REMOVED AND RESET</t>
  </si>
  <si>
    <t>HIGHWAY LIGHTING - UNDERPASS</t>
  </si>
  <si>
    <t>HIGHWAY WARNING SIGN - ILLUMINATED REMOVED AND STACKED</t>
  </si>
  <si>
    <t>OVERHEAD GUIDE SIGN REMOVED AND RESET</t>
  </si>
  <si>
    <t>SUPPORTS FOR GUIDE SIGN (G5) STEEL</t>
  </si>
  <si>
    <t>12 INCH REFLECTORIZED YELLOW LINE (POLYUREA) (RECESSED)</t>
  </si>
  <si>
    <t>GRANITE CAPSTONE</t>
  </si>
  <si>
    <t>STEEL PILE SPLICE HP 14 X 89</t>
  </si>
  <si>
    <t>DRILLED SHAFT EXCAVATION 3.5 FOOT DIAMETER</t>
  </si>
  <si>
    <t>PRECAST-PRESTRESSED CONCRETE PILE - 12 INCH</t>
  </si>
  <si>
    <t>TEST PILE</t>
  </si>
  <si>
    <t>SHORT DURATION LOAD TEST</t>
  </si>
  <si>
    <t>PROTECTIVE SCREEN TYPE II</t>
  </si>
  <si>
    <t>SLOPE PAVING REMOVED AND RESET</t>
  </si>
  <si>
    <t>CHANNEL PAVING</t>
  </si>
  <si>
    <t>What level of survey is required?</t>
  </si>
  <si>
    <t>Patching</t>
  </si>
  <si>
    <t>Edge grind</t>
  </si>
  <si>
    <t>Treatment</t>
  </si>
  <si>
    <t>Pavement Treatments</t>
  </si>
  <si>
    <t>Maintenance Prep</t>
  </si>
  <si>
    <t>What treatment will be applied?</t>
  </si>
  <si>
    <t>Milling</t>
  </si>
  <si>
    <t>Micro-mill</t>
  </si>
  <si>
    <t>Traditional Mill</t>
  </si>
  <si>
    <t>Item</t>
  </si>
  <si>
    <t>Sheet</t>
  </si>
  <si>
    <t>Sheets</t>
  </si>
  <si>
    <t>DESIGN</t>
  </si>
  <si>
    <t>SIGNAL</t>
  </si>
  <si>
    <t>EDGING</t>
  </si>
  <si>
    <t>DRAINAGE</t>
  </si>
  <si>
    <t>LIGHTING</t>
  </si>
  <si>
    <t>H</t>
  </si>
  <si>
    <t>Unit Price</t>
  </si>
  <si>
    <t>K</t>
  </si>
  <si>
    <t>Price</t>
  </si>
  <si>
    <t>Mean Unit Price State</t>
  </si>
  <si>
    <t>Pavement Condition Index (PCI) of area to be treated:</t>
  </si>
  <si>
    <t xml:space="preserve">PAVEMENT MARKINGS AND SIGNAGE </t>
  </si>
  <si>
    <t>SWL:</t>
  </si>
  <si>
    <t>12 INCH REFL. WHITE (THERMOPLASTIC)</t>
  </si>
  <si>
    <t>DBYL:</t>
  </si>
  <si>
    <t>MULTIMODAL PROJECT INPUTS</t>
  </si>
  <si>
    <t>AREA (SF)</t>
  </si>
  <si>
    <t>What is the proposed length of median?</t>
  </si>
  <si>
    <t>What is the proposed width of median?</t>
  </si>
  <si>
    <t>What is the proposed median material?</t>
  </si>
  <si>
    <t>Raised Crossings</t>
  </si>
  <si>
    <t>Pedestrian Ramps</t>
  </si>
  <si>
    <t>Assumed 2 per approach</t>
  </si>
  <si>
    <t>Furnish &amp; Install 5 Section 12" Lens Vehicle Head</t>
  </si>
  <si>
    <t>Roadside:</t>
  </si>
  <si>
    <t>Concrete Barrier</t>
  </si>
  <si>
    <t>Chain Link Fence</t>
  </si>
  <si>
    <t>Wood Rail Fence</t>
  </si>
  <si>
    <t>MATERIAL</t>
  </si>
  <si>
    <t>DESC.</t>
  </si>
  <si>
    <t>Shared Use Path</t>
  </si>
  <si>
    <t>Roadway Buffer</t>
  </si>
  <si>
    <t>Sidewalks</t>
  </si>
  <si>
    <t>Full Depth &lt; 4'</t>
  </si>
  <si>
    <t>HMA</t>
  </si>
  <si>
    <t>Median</t>
  </si>
  <si>
    <t>N/A</t>
  </si>
  <si>
    <t>Driveway</t>
  </si>
  <si>
    <t>Separated Bicycle Lane</t>
  </si>
  <si>
    <t>3 INCH ELECTRICAL CONDUIT TYPE NM-PLASTIC-(UL)</t>
  </si>
  <si>
    <t>TRAFFIC</t>
  </si>
  <si>
    <t>SIGN SUP (N/GUIDE)+RTE MKR W/1 BRKWAY POST ASSEMBLY STEEL</t>
  </si>
  <si>
    <t>Major Mill &amp; Fill (4" HMA)</t>
  </si>
  <si>
    <t>Minor Mill &amp; Fill (2" HMA)</t>
  </si>
  <si>
    <t>Typical $ per SY</t>
  </si>
  <si>
    <t>HMA Depth (in)</t>
  </si>
  <si>
    <t>HMA Tons / SY</t>
  </si>
  <si>
    <t>14' for D3, 10' for rest</t>
  </si>
  <si>
    <t>Pedestrian Signal Posts</t>
  </si>
  <si>
    <t>Pavement Repairs</t>
  </si>
  <si>
    <t>Roadway 1</t>
  </si>
  <si>
    <t>Roadway 2</t>
  </si>
  <si>
    <t>Roadway 3</t>
  </si>
  <si>
    <t>Roadway 4</t>
  </si>
  <si>
    <t># Flex posts:</t>
  </si>
  <si>
    <t>Total Length:</t>
  </si>
  <si>
    <t>Landscaped Buffers:</t>
  </si>
  <si>
    <t>Landscaped Medians:</t>
  </si>
  <si>
    <t>assume 135 SF/ramp</t>
  </si>
  <si>
    <t>LENGTH (FT)</t>
  </si>
  <si>
    <t xml:space="preserve">| Assumed 25sf per 1000 ft of roadway  </t>
  </si>
  <si>
    <t>| Assumed 200sf per intersection</t>
  </si>
  <si>
    <t>| Assumed 500' per signalized intersection</t>
  </si>
  <si>
    <t>| Assumed 4 sf per sign average</t>
  </si>
  <si>
    <t>Stop Lines:</t>
  </si>
  <si>
    <t>| Assume 1 SL per approach, 12' wide per lane</t>
  </si>
  <si>
    <t>| Assume 10-foot spacing</t>
  </si>
  <si>
    <t>MUNICIPALITY:</t>
  </si>
  <si>
    <t>Exist:</t>
  </si>
  <si>
    <t>Proposed:</t>
  </si>
  <si>
    <t>Furnish &amp; Install 10' Traffic Signal Post &amp; Base</t>
  </si>
  <si>
    <t>Bike Materials</t>
  </si>
  <si>
    <t>Grading</t>
  </si>
  <si>
    <t>Bike + Ped</t>
  </si>
  <si>
    <t>Buffer</t>
  </si>
  <si>
    <t>Left side of the Roadway</t>
  </si>
  <si>
    <t>If there is a buffer, what is the material?</t>
  </si>
  <si>
    <t>Right side of the Roadway</t>
  </si>
  <si>
    <t>Modular Curbing</t>
  </si>
  <si>
    <t>Ped/Bike</t>
  </si>
  <si>
    <t>Pedestrian</t>
  </si>
  <si>
    <t>Bicycle</t>
  </si>
  <si>
    <t>Materials</t>
  </si>
  <si>
    <t>Concrete Driveways:</t>
  </si>
  <si>
    <t>| From Roadway Tab</t>
  </si>
  <si>
    <t># Conc Driveways:</t>
  </si>
  <si>
    <t>16-ft wide</t>
  </si>
  <si>
    <t>| Assume ave 10-ft back x</t>
  </si>
  <si>
    <t># HMA Driveways:</t>
  </si>
  <si>
    <t xml:space="preserve">| Assume average area of </t>
  </si>
  <si>
    <t>Sidewalk</t>
  </si>
  <si>
    <t>Bike Lane</t>
  </si>
  <si>
    <t>Separated Bike Lane</t>
  </si>
  <si>
    <t># Roadway segments</t>
  </si>
  <si>
    <t>DO NOT DELETE</t>
  </si>
  <si>
    <t>What is the buffer width to the traveled way?</t>
  </si>
  <si>
    <t>Roadway 1:</t>
  </si>
  <si>
    <t>Roadway 2:</t>
  </si>
  <si>
    <t>Roadway 3:</t>
  </si>
  <si>
    <t>Roadway 4:</t>
  </si>
  <si>
    <t># Curb Extensions:</t>
  </si>
  <si>
    <t>Curbline relocated?</t>
  </si>
  <si>
    <t>Shared Use Paths</t>
  </si>
  <si>
    <t>Limit of grading:</t>
  </si>
  <si>
    <t>| Calculated in Item 751</t>
  </si>
  <si>
    <t>| Sum of bicycle and pedestrian buffers from Multi-Modal tab</t>
  </si>
  <si>
    <t>| Assume 5-feet wide grading along proposed SBLs, SUPs and Sidewalks</t>
  </si>
  <si>
    <t>Ped/Bike Buffers:</t>
  </si>
  <si>
    <t>TOTAL =</t>
  </si>
  <si>
    <t>BALANCE STONE WALL</t>
  </si>
  <si>
    <t>WMA POROUS PAVEMENT SURFACE COURSE</t>
  </si>
  <si>
    <t>WMA POROUS PAVEMENT BASE COURSE</t>
  </si>
  <si>
    <t>Side of Trench:</t>
  </si>
  <si>
    <t>Bottom of Trench:</t>
  </si>
  <si>
    <t>Length</t>
  </si>
  <si>
    <t>Width</t>
  </si>
  <si>
    <t>Depth</t>
  </si>
  <si>
    <t>Total Trench:</t>
  </si>
  <si>
    <t>For Porous Pavement Trench</t>
  </si>
  <si>
    <t>#67 CRUSHED STONE FILTER BASE COURSE</t>
  </si>
  <si>
    <t>Porous Pavement:</t>
  </si>
  <si>
    <t>#57 CRUSHED STONE RESERVOIR SUB-BASE COURSE</t>
  </si>
  <si>
    <t>Ped Width</t>
  </si>
  <si>
    <t>Bike Width</t>
  </si>
  <si>
    <t>Longitudinal Sealant:</t>
  </si>
  <si>
    <t>Paving Joints</t>
  </si>
  <si>
    <t>PREFABRICATED MODULAR RETAINING WALL</t>
  </si>
  <si>
    <t>Depth below grade :</t>
  </si>
  <si>
    <t>|  MassDOT Dwg 302.1.0</t>
  </si>
  <si>
    <t>Ave Height :</t>
  </si>
  <si>
    <t>Area of Wall :</t>
  </si>
  <si>
    <t>|  Rectangular Portion</t>
  </si>
  <si>
    <t>|  Triangular Portion</t>
  </si>
  <si>
    <t>Area of Exposed Walls :</t>
  </si>
  <si>
    <t>| Height x length</t>
  </si>
  <si>
    <t>Concrete Walls</t>
  </si>
  <si>
    <t>Coping and Footing for Masonry Walls</t>
  </si>
  <si>
    <t>Area of Coping:</t>
  </si>
  <si>
    <t>Area of Footing:</t>
  </si>
  <si>
    <t>| 18"  wide x 6" high</t>
  </si>
  <si>
    <t>| Width: (0.5H+0.75') x</t>
  </si>
  <si>
    <t>1.25' high</t>
  </si>
  <si>
    <t>Conc Volume :</t>
  </si>
  <si>
    <t>| Assume 13' per WCR</t>
  </si>
  <si>
    <t>TO DO LIST</t>
  </si>
  <si>
    <t>check sig figs/formatting for consistency</t>
  </si>
  <si>
    <t>check rounding of items</t>
  </si>
  <si>
    <t>Furnish &amp; Install 14' Traffic Signal Post &amp; Base</t>
  </si>
  <si>
    <t>New Closed Drainage Calculation</t>
  </si>
  <si>
    <t>Relocated Drainage Calculation</t>
  </si>
  <si>
    <t>Balance Stone</t>
  </si>
  <si>
    <t>Stone Masonry</t>
  </si>
  <si>
    <t>Modular Block</t>
  </si>
  <si>
    <t>Granite Curb</t>
  </si>
  <si>
    <t>Will Signal Preemption be added?</t>
  </si>
  <si>
    <t>CEMENT CONCRETE PAVEMENT - STAMPED &amp; COLORED</t>
  </si>
  <si>
    <t>Truck aprons =</t>
  </si>
  <si>
    <t>| For each mini-roundabout</t>
  </si>
  <si>
    <t># mini-roundabouts =</t>
  </si>
  <si>
    <t>| From Traffic Control tab</t>
  </si>
  <si>
    <t>Truck apron area =</t>
  </si>
  <si>
    <t>| Typ Range 16'-45' diameter</t>
  </si>
  <si>
    <t>Hardscape</t>
  </si>
  <si>
    <t>Ped Only</t>
  </si>
  <si>
    <t>MODULAR RAISED CURB WITH 36" POSTS WHITE OR YELLOW</t>
  </si>
  <si>
    <t>| Flex post buffers from Multi-Modal tab</t>
  </si>
  <si>
    <t>| Modular curb buffers from Multi-Modal tab</t>
  </si>
  <si>
    <t>None/Retain</t>
  </si>
  <si>
    <t>R&amp;R Exist</t>
  </si>
  <si>
    <t>Assumed 500 ft per new intersection</t>
  </si>
  <si>
    <t>Cem Conc:</t>
  </si>
  <si>
    <t>HMA:</t>
  </si>
  <si>
    <t>Stabilized Agg:</t>
  </si>
  <si>
    <t>Subtotal:</t>
  </si>
  <si>
    <t>Total Ave. Height :</t>
  </si>
  <si>
    <t>Assume 4' embedment</t>
  </si>
  <si>
    <t>| Exposed Ht. + Embedment</t>
  </si>
  <si>
    <t>See section below for details</t>
  </si>
  <si>
    <t>Assumed mounted on mast arm or other signal post</t>
  </si>
  <si>
    <t>Rectangular Rapid Flashing Beacon (RRFB)</t>
  </si>
  <si>
    <t>Assumed total price for each location specified</t>
  </si>
  <si>
    <t>Assume 1 Sign Every</t>
  </si>
  <si>
    <t>PAVEMENT ARROWS AND LEGENDS REFL. WHITE (THERMOPLASTIC)</t>
  </si>
  <si>
    <t>Assumed for retrofits / retimings</t>
  </si>
  <si>
    <t>Sum of Posts</t>
  </si>
  <si>
    <t>If major approach is greater than 2 lanes</t>
  </si>
  <si>
    <t>If major approach is greater than 4 lanes</t>
  </si>
  <si>
    <t># of Curb Extensions:</t>
  </si>
  <si>
    <t>| Item 220, assumes half structures needing adjustments are CBs</t>
  </si>
  <si>
    <t>TRAFFIC SIGNAL ITEMS</t>
  </si>
  <si>
    <t>urban/rural for svy guesses?</t>
  </si>
  <si>
    <t>Pavement Repair Costs</t>
  </si>
  <si>
    <t>Cost</t>
  </si>
  <si>
    <t>Fog Seal - Rejuvinator</t>
  </si>
  <si>
    <t>Organic Fog Seal</t>
  </si>
  <si>
    <t>Chip Seal - Conventional</t>
  </si>
  <si>
    <t>Microsurfacing - Single</t>
  </si>
  <si>
    <t>Microsurfacing - Double</t>
  </si>
  <si>
    <t>Chip Seal - (20% Rubber Chip)</t>
  </si>
  <si>
    <t>Cape Seal (Single Micro over Traditional Chip)</t>
  </si>
  <si>
    <t>Thin Lift HMA Overlay (2")</t>
  </si>
  <si>
    <t>Ultra Thin Lift HMA Overlay (1.0")</t>
  </si>
  <si>
    <t>Hot In-Place Recycling + Double Micro</t>
  </si>
  <si>
    <t>Hot In-Place Recycling + 1.5" HMA (Includes Pre-Milling)</t>
  </si>
  <si>
    <t>Cold In-Place Recycling + 1.5" HMA Overlay</t>
  </si>
  <si>
    <t>SAMI + 1.5" HMA Overlay</t>
  </si>
  <si>
    <t>Full Depth Reclamation + 4" HMA Overlay</t>
  </si>
  <si>
    <t>Base Stabilization + 4" HMA Overlay</t>
  </si>
  <si>
    <t>Full Depth Reclamation + 8" HMA Overlay</t>
  </si>
  <si>
    <t>Base Stabilization + 8" HMA Overlay</t>
  </si>
  <si>
    <t>Pavement Prep Treatment Only (Crack Seal and/or Patching)</t>
  </si>
  <si>
    <t>Utility Structures</t>
  </si>
  <si>
    <t>Existing Roadway Conditions</t>
  </si>
  <si>
    <t>Proposed Roadway Conditions/Treatments</t>
  </si>
  <si>
    <t>Reference: roadresource.org treatment</t>
  </si>
  <si>
    <t>Reference: roadresource.org PCI</t>
  </si>
  <si>
    <t>Area and Treatment Type (SY)</t>
  </si>
  <si>
    <t>Crack Seal</t>
  </si>
  <si>
    <t>*This tool is intended to be used as part of selecting pavement treatment on projects. This is not a Pavement Management software and is not intended to replace one.</t>
  </si>
  <si>
    <t>% roadway to be patched?</t>
  </si>
  <si>
    <t>Patching:</t>
  </si>
  <si>
    <t>Utilities:</t>
  </si>
  <si>
    <t>P1</t>
  </si>
  <si>
    <t>P2</t>
  </si>
  <si>
    <t>P6</t>
  </si>
  <si>
    <t>P3</t>
  </si>
  <si>
    <t>P4</t>
  </si>
  <si>
    <t>P5</t>
  </si>
  <si>
    <t>P7</t>
  </si>
  <si>
    <t>P8</t>
  </si>
  <si>
    <t>P9</t>
  </si>
  <si>
    <t>P10</t>
  </si>
  <si>
    <t>P11</t>
  </si>
  <si>
    <t>P12</t>
  </si>
  <si>
    <t>P13</t>
  </si>
  <si>
    <t>P14</t>
  </si>
  <si>
    <t>P15</t>
  </si>
  <si>
    <t>P16</t>
  </si>
  <si>
    <t>P17</t>
  </si>
  <si>
    <t>P18</t>
  </si>
  <si>
    <t>P19</t>
  </si>
  <si>
    <t>P20</t>
  </si>
  <si>
    <t>Bicycle Lane Length:</t>
  </si>
  <si>
    <t>| Assume bike  marking every 150'</t>
  </si>
  <si>
    <t>| Bike marking symbols are 20 SF each</t>
  </si>
  <si>
    <t># Bicycle Symbols:</t>
  </si>
  <si>
    <t>Total Bicycle Symbol Area:</t>
  </si>
  <si>
    <t>Existing Vehicular Detection</t>
  </si>
  <si>
    <t>Proposed Vehicular Detection</t>
  </si>
  <si>
    <t>Assumed 3 per approach</t>
  </si>
  <si>
    <t>Total Cost</t>
  </si>
  <si>
    <t>2 Inch Electrical Conduit Type NM - Plastic (UL)</t>
  </si>
  <si>
    <t>Unit</t>
  </si>
  <si>
    <t>Assume a 4' offset from each pullbox to light poles</t>
  </si>
  <si>
    <t>Path Lighting Fixture "A"</t>
  </si>
  <si>
    <t>Assume lighting pole and fixture every 50' of roadway</t>
  </si>
  <si>
    <t>Turn Arrows</t>
  </si>
  <si>
    <t>Thru Arrow</t>
  </si>
  <si>
    <t>"ONLY"</t>
  </si>
  <si>
    <t>Sharrows</t>
  </si>
  <si>
    <t>| Assume 2 per intersection</t>
  </si>
  <si>
    <t>3 Inch Electrical Conduit Type NM - Plastic (UL)</t>
  </si>
  <si>
    <t>Assume conduit the entire length of roadway</t>
  </si>
  <si>
    <t>Electric Handhole - SD2.022</t>
  </si>
  <si>
    <t>Assume a handhole for every light pole</t>
  </si>
  <si>
    <t>Light Standard Foundation Precast</t>
  </si>
  <si>
    <t>Assume a precast foundation for every light pole</t>
  </si>
  <si>
    <t>| Assume 1 MH at curb extensions where there is no exist drainage</t>
  </si>
  <si>
    <t>How many curb extensions will be constructed?</t>
  </si>
  <si>
    <t>Assume 4' per foot of 2 inch electrical conduit type NM</t>
  </si>
  <si>
    <t>Wire Type 10 - #8 Ground and Bonding</t>
  </si>
  <si>
    <t>Wire Type 8 -  No. 4 Direct Burial</t>
  </si>
  <si>
    <t>Wire Type 8 - No. 10 Direct Burial</t>
  </si>
  <si>
    <t>The total of item 804.2 and 804.3</t>
  </si>
  <si>
    <t>Ground Rod 10 Feet Long</t>
  </si>
  <si>
    <t>Highway Lighting Load Center No.1</t>
  </si>
  <si>
    <t>Assume 1 load center per 1000 feet of roadway</t>
  </si>
  <si>
    <t>Assume a ground rod for items 820.111,  811.22 and 823.61</t>
  </si>
  <si>
    <t>Assume 2' per foot of 3 inch electrical conduit type NM</t>
  </si>
  <si>
    <t>TRAFFIC SIGNAL RECONSTRUCTION LOCATION NO. 4</t>
  </si>
  <si>
    <t>Project funding source:</t>
  </si>
  <si>
    <t>Project Number:</t>
  </si>
  <si>
    <t>(include side streets or distinctly different segments of roadway, enter Street Names to replace the red text to the right.)</t>
  </si>
  <si>
    <t># curb ext:</t>
  </si>
  <si>
    <t>| Set equal to new CBs due to relocated drainage</t>
  </si>
  <si>
    <t>| From Roadways Tab Question #</t>
  </si>
  <si>
    <t>LOW = to width of all roadways x 2</t>
  </si>
  <si>
    <t xml:space="preserve">| 2'  width x Limits of Work </t>
  </si>
  <si>
    <t>Calculated Survey Area</t>
  </si>
  <si>
    <t>Roadway Length:</t>
  </si>
  <si>
    <t>Curb Ramps</t>
  </si>
  <si>
    <t>Median Islands</t>
  </si>
  <si>
    <t>Traffic Signals</t>
  </si>
  <si>
    <t>Bike Signals</t>
  </si>
  <si>
    <t>Multimodal</t>
  </si>
  <si>
    <t>RRFBs/PHBs</t>
  </si>
  <si>
    <t>Roadway Lighting</t>
  </si>
  <si>
    <t>Path Lighting</t>
  </si>
  <si>
    <t>Bike Facilities</t>
  </si>
  <si>
    <t>Complete Streets Amenities</t>
  </si>
  <si>
    <t>Pavement Patching</t>
  </si>
  <si>
    <t>Pavement Preservation</t>
  </si>
  <si>
    <t>Full Depth Construction</t>
  </si>
  <si>
    <t>Checkboxes on Project Data</t>
  </si>
  <si>
    <t>Fence/Rail/Wall</t>
  </si>
  <si>
    <t>Total Survey Area</t>
  </si>
  <si>
    <t>How many curb ramps need to be installed or upgraded?</t>
  </si>
  <si>
    <t>BASIC PROJECT DATA</t>
  </si>
  <si>
    <t>Walls:</t>
  </si>
  <si>
    <t>| Item 201, assume 1 per proposed or relocated catch basin</t>
  </si>
  <si>
    <t>Average height:</t>
  </si>
  <si>
    <t>Yes, full project length</t>
  </si>
  <si>
    <t>Yes, partial project length</t>
  </si>
  <si>
    <t>Average Survey Cost Per Square Foot</t>
  </si>
  <si>
    <t>Proposed Ped Facilities Width</t>
  </si>
  <si>
    <t>Proposed Bike Facilities Width</t>
  </si>
  <si>
    <t>Survey Width (All Widths + 10 FT)</t>
  </si>
  <si>
    <t>Total Existing Length:</t>
  </si>
  <si>
    <t>Remove</t>
  </si>
  <si>
    <t>Retain</t>
  </si>
  <si>
    <t>Rebuild/Reset</t>
  </si>
  <si>
    <t xml:space="preserve">What is the total length of raised crossings? </t>
  </si>
  <si>
    <t>assume 20'w (10' crossing + 5' ramps up (10%))</t>
  </si>
  <si>
    <t>Raised Crossings:</t>
  </si>
  <si>
    <t>Culverts</t>
  </si>
  <si>
    <t>Headwalls (Culverts)</t>
  </si>
  <si>
    <t>Precast Concrete</t>
  </si>
  <si>
    <t>Flared End</t>
  </si>
  <si>
    <t>| For every Drainage Structure CIT, assume 1 discarded frame and grate (or cover)</t>
  </si>
  <si>
    <t>Manholes:</t>
  </si>
  <si>
    <t>Change in Type:</t>
  </si>
  <si>
    <t>Total:</t>
  </si>
  <si>
    <t>Fieldstone Masonry</t>
  </si>
  <si>
    <t>CIP Concrete</t>
  </si>
  <si>
    <t>Large Box</t>
  </si>
  <si>
    <t>Medium Box</t>
  </si>
  <si>
    <t>Small Box</t>
  </si>
  <si>
    <t>Large Pipe</t>
  </si>
  <si>
    <t>Medium Pipe</t>
  </si>
  <si>
    <t>Small Pipe</t>
  </si>
  <si>
    <t>Length of Guardrail :</t>
  </si>
  <si>
    <t>Roadway curb:</t>
  </si>
  <si>
    <t>Length of Conc Barrier :</t>
  </si>
  <si>
    <t>| Roadway Question 17</t>
  </si>
  <si>
    <t>New Fence Needed:</t>
  </si>
  <si>
    <t>Timer Fence Removed:</t>
  </si>
  <si>
    <t>Timer Fence R&amp;R:</t>
  </si>
  <si>
    <t>Guardrail removed:</t>
  </si>
  <si>
    <t>Exist Guardrail:</t>
  </si>
  <si>
    <t>New Guardrail Needed:</t>
  </si>
  <si>
    <t xml:space="preserve">Length straight guardrail: </t>
  </si>
  <si>
    <t xml:space="preserve">Length curved guardrail: </t>
  </si>
  <si>
    <t>Guardrail R&amp;R:</t>
  </si>
  <si>
    <t>Small Pipe Culvert Calculation</t>
  </si>
  <si>
    <t>Medium Pipe Culvert Calculation</t>
  </si>
  <si>
    <t>Large Pipe Culvert Calculation</t>
  </si>
  <si>
    <t>CLF Removed:</t>
  </si>
  <si>
    <t>CLF R&amp;R:</t>
  </si>
  <si>
    <t>Exist Walls:</t>
  </si>
  <si>
    <t>New Walls:</t>
  </si>
  <si>
    <t>R&amp;R Length :</t>
  </si>
  <si>
    <t>R&amp;R Walls :</t>
  </si>
  <si>
    <t>Roadway curb R&amp;R:</t>
  </si>
  <si>
    <t>Wall curb R&amp;R:</t>
  </si>
  <si>
    <t>Total curb R&amp;R:</t>
  </si>
  <si>
    <t>New wall curb:</t>
  </si>
  <si>
    <t>72 INCH REINFORCED CONCRETE PIPE</t>
  </si>
  <si>
    <t>Wall curb removed:</t>
  </si>
  <si>
    <t>Pedestrian Lighting Length:</t>
  </si>
  <si>
    <t>Assumed light spacing:</t>
  </si>
  <si>
    <t xml:space="preserve"> Lighting Length:</t>
  </si>
  <si>
    <t>ROADWAY LIGHTING</t>
  </si>
  <si>
    <t>PEDESTRIAN-SCALE LIGHTING</t>
  </si>
  <si>
    <t>TOTAL:</t>
  </si>
  <si>
    <t>Small Box Culvert Calculation (5'x3')</t>
  </si>
  <si>
    <t>Large Box Culvert Calculation (20'x10')</t>
  </si>
  <si>
    <t>Pedestrian Hybrid Beacon (PHB)</t>
  </si>
  <si>
    <t>ROADWAY</t>
  </si>
  <si>
    <t>TRAFFIC CONTROL</t>
  </si>
  <si>
    <t>MULTIMODAL</t>
  </si>
  <si>
    <t>PAVEMENT</t>
  </si>
  <si>
    <t>Assume 12 LB of Rebar/CY of Concrete</t>
  </si>
  <si>
    <t>Vertical Granite</t>
  </si>
  <si>
    <t>HMA Curb</t>
  </si>
  <si>
    <t>HMA Berm</t>
  </si>
  <si>
    <t>Granite Edging</t>
  </si>
  <si>
    <t>Total Length =</t>
  </si>
  <si>
    <t>Non-standard items may also be added and will require a user-input of the unit cost.</t>
  </si>
  <si>
    <t>Unit Cost</t>
  </si>
  <si>
    <t>Category</t>
  </si>
  <si>
    <t>SCHEDULE OF OPERATIONS - FIXED PRICE $                    </t>
  </si>
  <si>
    <t>SKILLED LABORER</t>
  </si>
  <si>
    <t>WELDER</t>
  </si>
  <si>
    <t>CARPENTER</t>
  </si>
  <si>
    <t>MECHANIC</t>
  </si>
  <si>
    <t>MILLWRIGHT</t>
  </si>
  <si>
    <t>IRONWORKER</t>
  </si>
  <si>
    <t>MACHINIST</t>
  </si>
  <si>
    <t>PLUMBING WORK</t>
  </si>
  <si>
    <t>LATHING AND PLASTERING WORK</t>
  </si>
  <si>
    <t>GLASS AND GLAZING WORK</t>
  </si>
  <si>
    <t>METAL WINDOWS WORK</t>
  </si>
  <si>
    <t>TILES</t>
  </si>
  <si>
    <t>RESILENT FLOORING</t>
  </si>
  <si>
    <t>SELECTIVE CLEARING AND GRUBBING</t>
  </si>
  <si>
    <t>TREE PROTECTION –  ARMORING &amp; PRUNING</t>
  </si>
  <si>
    <t>TREE AND PLANT PROTECTION FENCE - CHAIN LINK</t>
  </si>
  <si>
    <t>TREE REMOVED (EXCLUDING STUMP) DIAMETER UNDER 24 INCHES</t>
  </si>
  <si>
    <t>TREE REMOVED (EXCLUDING STUMP) DIAMETER 24 INCHES AND OVER</t>
  </si>
  <si>
    <t>BEARING ADJUSTMENT</t>
  </si>
  <si>
    <t>BLEEDER (BRIDGE DECK)</t>
  </si>
  <si>
    <t>BRIDGE FENCE POST ANCHOR BOLT</t>
  </si>
  <si>
    <t>BRIDGE SCUPPER</t>
  </si>
  <si>
    <t>CEMENT CONCRETE REFINISHING</t>
  </si>
  <si>
    <t>CEMENT MORTAR FOR PATCHING</t>
  </si>
  <si>
    <t>CLEANING ABUTMENT DRAIN</t>
  </si>
  <si>
    <t>CLEAN AND PAINT STRUCTURAL STEEL</t>
  </si>
  <si>
    <t>CLEAN, PAINT + REPAIR HIGHWAY LIGHTING ASSEM.(DOUBLE LUMINAIRE)</t>
  </si>
  <si>
    <t>CLEAN, PAINT + REPAIR HIGHWAY LIGHTING ASSEM.(SINGLE LUMINAIRE)</t>
  </si>
  <si>
    <t>CLEAR COATING</t>
  </si>
  <si>
    <t>JACKING AND SHORING EXISTING FLOOR BEAM</t>
  </si>
  <si>
    <t>JACKING AND SHORING EXISTING PLATE GIRDER</t>
  </si>
  <si>
    <t>ELASTOMERIC EXPANSION JOINT</t>
  </si>
  <si>
    <t>ELASTOMERIC JOINT SEALER</t>
  </si>
  <si>
    <t>GEARS AND RACKS RENEWED</t>
  </si>
  <si>
    <t>HIGHWAY CLEANING</t>
  </si>
  <si>
    <t>JOURNAL REPAIRED</t>
  </si>
  <si>
    <t>MACHINERY AND STRUCTURAL REPAIRS</t>
  </si>
  <si>
    <t>MAINTENANCE AND CARE OF NURSERY STOCK</t>
  </si>
  <si>
    <t>METAL BRIDGE PLANK</t>
  </si>
  <si>
    <t>METAL GUTTER</t>
  </si>
  <si>
    <t>MISCELLANEOUS STEEL FOR MACHINERY</t>
  </si>
  <si>
    <t>MISCELLANEOUS STRUCTURAL STEEL</t>
  </si>
  <si>
    <t>OVERHEAD SIGN SUPPORT CLEANED AND PAINTED</t>
  </si>
  <si>
    <t>PAINTING STEEL</t>
  </si>
  <si>
    <t>PAINTING STRUCTURE</t>
  </si>
  <si>
    <t>BRONZE SELF-LUBRICATING BEARING PLATES</t>
  </si>
  <si>
    <t>PNEUMATICALLY APPLIED MORTAR</t>
  </si>
  <si>
    <t>REMOVAL OF EXISTING GUNITE</t>
  </si>
  <si>
    <t>PREFORMED COMPRESSION JOINT</t>
  </si>
  <si>
    <t>PREFORMED ELASTOMERIC COMPRESSION JOINT SEALER</t>
  </si>
  <si>
    <t>REMOVAL AND REPLACEMENT OF WALKS</t>
  </si>
  <si>
    <t>REMOVAL AND REPLACEMENT OF BRIDGE RAILING</t>
  </si>
  <si>
    <t>ROADWAY EXPANSION DAM ASSEMBLY REMOVED AND RESET</t>
  </si>
  <si>
    <t>SAFETY TRUCK</t>
  </si>
  <si>
    <t>SCUPPER REMOVED AND RESET</t>
  </si>
  <si>
    <t>SEALING LONGITUDINAL JOINTS IN CEMENT CONCRETE PAVEMENT</t>
  </si>
  <si>
    <t>PRESSURE INJECTION OF VOIDS UNDER ARMORED JOINT ANGLES</t>
  </si>
  <si>
    <t>SEALING CRACKS IN  ASPHALT PAVEMENT</t>
  </si>
  <si>
    <t>CAULKING JOINTS AND RANDOM CRACKS</t>
  </si>
  <si>
    <t>SIGN SUPPORT FOUNDATION REPAIR</t>
  </si>
  <si>
    <t>SIGN OVERLAY</t>
  </si>
  <si>
    <t>STEEL GRATING FOR WALK</t>
  </si>
  <si>
    <t>STEEL GRID DECKING</t>
  </si>
  <si>
    <t>TRAFFIC GATE FOR DRAW SPAN</t>
  </si>
  <si>
    <t>TRAFFIC WARNING DEVICES</t>
  </si>
  <si>
    <t>TRAVEL TRASH DISPOSAL (MHD CONTAINER)</t>
  </si>
  <si>
    <t>TRAVEL TRASH DISPOSAL (CONTRACTOR'S CONTAINER)</t>
  </si>
  <si>
    <t>WATER TRUCK</t>
  </si>
  <si>
    <t>DEMOLITION OF BUILDING  NO.           </t>
  </si>
  <si>
    <t>DEMOLITION OF BUILDING NO.           </t>
  </si>
  <si>
    <t>DEMOLITION OF SUPERSTRUCTURE OF BRIDGE NO.           </t>
  </si>
  <si>
    <t>DEMOLITION OF BRIDGE NO.           </t>
  </si>
  <si>
    <t>REMOVAL OF TEMPORARY STRUCTURE</t>
  </si>
  <si>
    <t>REMOVAL OF TEMPORARY DETOUR</t>
  </si>
  <si>
    <t>PEST BIRD CONTROL</t>
  </si>
  <si>
    <t>PRESPLITTING ROCK</t>
  </si>
  <si>
    <t>LOAM EXCAVATED AND STACKED</t>
  </si>
  <si>
    <t>SCARIFYING REINFORCED CONCRETE SURFACE</t>
  </si>
  <si>
    <t>DUMP EXCAVATION</t>
  </si>
  <si>
    <t>CLASS B ROCK EXCAVATION - PIERS IN DEEP WATER</t>
  </si>
  <si>
    <t>DREDGING AND DISPOSING OF MATERIAL (HYDRAULIC METHOD)</t>
  </si>
  <si>
    <t>REMOVAL AND DISPOSAL OF ROCK FROM DREDGED AREAS</t>
  </si>
  <si>
    <t>REMOVAL AND DISPOSAL OF LEDGE FROM DREDGED AREAS</t>
  </si>
  <si>
    <t>GRAVEL BORROW FOR SIDEWALK</t>
  </si>
  <si>
    <t>GRAVEL BORROW IN COFFERDAMS</t>
  </si>
  <si>
    <t>SCREENED GRAVEL</t>
  </si>
  <si>
    <t>PEASTONE FOR INTEGRAL ABUTMENTS</t>
  </si>
  <si>
    <t>PEASTONE FOR SEDIMENTATION POOL</t>
  </si>
  <si>
    <t>PEASTONE FOR DRIVEWAYS</t>
  </si>
  <si>
    <t>PEASTONE FOR SIDEWALKS</t>
  </si>
  <si>
    <t>SAND BORROW (COVER)</t>
  </si>
  <si>
    <t>SAND BORROW IN COFFERDAM</t>
  </si>
  <si>
    <t>SAND BORROW FOR BRIDGE MEDIAN</t>
  </si>
  <si>
    <t>SAND BORROW FOR DUMPED RIPRAP</t>
  </si>
  <si>
    <t>SAND BORROW FOR FILTER BLANKET</t>
  </si>
  <si>
    <t>LOAM OR CLAY HARDENING</t>
  </si>
  <si>
    <t>CRUSHED STONE FOR CURB FOUNDATION</t>
  </si>
  <si>
    <t>CRUSHED STONE FOR SLOPE TREATMENT</t>
  </si>
  <si>
    <t>CRUSHED STONE FOR BACKING</t>
  </si>
  <si>
    <t>CRUSHED STONE FOR UNDERDRAIN</t>
  </si>
  <si>
    <t>CRUSHED STONE FOR SUB-BASE</t>
  </si>
  <si>
    <t>CRUSHED STONE FOR CHANNEL PAVING FOUNDATION</t>
  </si>
  <si>
    <t>STONE FOR DRAINAGE END</t>
  </si>
  <si>
    <t>PIEZOMETER</t>
  </si>
  <si>
    <t>PIEZOMETER - VIBRATION WIRE</t>
  </si>
  <si>
    <t>PIEZOMETER - HYDRAULIC (SINGLE TUBE)</t>
  </si>
  <si>
    <t>PIEZOMETER - HYDRAULIC (DOUBLE TUBE)</t>
  </si>
  <si>
    <t>INCLINOMETER CASING</t>
  </si>
  <si>
    <t>INCLINATOR CASING</t>
  </si>
  <si>
    <t>TIDE GAUGE</t>
  </si>
  <si>
    <t>PERMANENT BENCH MARK</t>
  </si>
  <si>
    <t>SETTLEMENT PLATFORM</t>
  </si>
  <si>
    <t>SETTLEMENT ANCHOR</t>
  </si>
  <si>
    <t>DISPLACEMENT STAKE</t>
  </si>
  <si>
    <t>FINE GRADING AND COMPACTING  - SUBGRADE AREA</t>
  </si>
  <si>
    <t>UNDERGROUND STORAGE TANK REMOVAL (FUEL OIL OR DIESEL)</t>
  </si>
  <si>
    <t>UST REMOVAL/ 5,000-10,000 GALLONS (FUEL OIL OR DIESEL)</t>
  </si>
  <si>
    <t>UST REMOVAL/ OVER 10,000 GALLONS (FUEL OIL OR DIESEL)</t>
  </si>
  <si>
    <t>UST REMOVAL/ UNDER 5,000 GALLONS (GASOLINE)</t>
  </si>
  <si>
    <t>UST REMOVAL/ 5,000-10,000 GALLONS (GASOLINE)</t>
  </si>
  <si>
    <t>UST REMOVAL/ UNDER 1,000 GALLONS (WASTE OIL)</t>
  </si>
  <si>
    <t>UST REMOVAL/ 1,000-5,000 GALLONS (WASTE OIL)</t>
  </si>
  <si>
    <t>DISPOSAL OF NON-RECLAIMABLE - RECYCLABLE WASTE LIQUID</t>
  </si>
  <si>
    <t>UNDISTURBED SAMPLE PREPARTORY BORING</t>
  </si>
  <si>
    <t>UNDISTURBED SAMPLE</t>
  </si>
  <si>
    <t>VANE SHEAR TEST PREP. BORING</t>
  </si>
  <si>
    <t>VANE SHEAR TEST</t>
  </si>
  <si>
    <t>AUGER BORING</t>
  </si>
  <si>
    <t>AUGER BORING SAMPLE</t>
  </si>
  <si>
    <t>THIN WALL STEEL TUBE DRIVE SAMPLE</t>
  </si>
  <si>
    <t>TEST PIT</t>
  </si>
  <si>
    <t>TEST PIT THROUGH PAVEMENT</t>
  </si>
  <si>
    <t>GROUND WATER OBSERVATION WELLPOINT TYPE I</t>
  </si>
  <si>
    <t>GROUND WATER OBSERVATION WELLPOINT TYPE II</t>
  </si>
  <si>
    <t>GROUND WATER OBSERVATION WELLPOINT TY III-SOLID PIPE</t>
  </si>
  <si>
    <t>GROUND WATER OBSERVATION WELLPOINT TY III-WELLSCREEN</t>
  </si>
  <si>
    <t>GROUND WATER OBSERVATION WELLPOINT TY IV-SOLID PIPE</t>
  </si>
  <si>
    <t>GROUND WATER OBSERVATION WELLPOINT TY IV-WELLSCREEN</t>
  </si>
  <si>
    <t>CATCH BASIN - MUNICIPAL STANDARD</t>
  </si>
  <si>
    <t>MANHOLE - MUNICIPAL STANDARD</t>
  </si>
  <si>
    <t>MANHOLE (9 TO 14 FOOT DEPTH) - MUNICIPAL STANDARD</t>
  </si>
  <si>
    <t>MANHOLE (14 TO 18 FOOT DEPTH)</t>
  </si>
  <si>
    <t>MANHOLE (14 TO 18 FOOT DEPTH) - MUNICIPAL STANDARD</t>
  </si>
  <si>
    <t>MANHOLE (18 FOOT AND OVER)</t>
  </si>
  <si>
    <t>GUTTER INLET - MUNICIPAL STANDARD</t>
  </si>
  <si>
    <t>DROP INLET, TYPE CF</t>
  </si>
  <si>
    <t>DROP INLET (DOUBLE) TYPE CF</t>
  </si>
  <si>
    <t>DROP INLET REMODELED</t>
  </si>
  <si>
    <t>DROP INLET REBUILT</t>
  </si>
  <si>
    <t>SANITARY SEWER MANHOLE (18 FOOT AND OVER)</t>
  </si>
  <si>
    <t>EXTENSION RING FOR MANHOLE</t>
  </si>
  <si>
    <t>15 INCH HOOD</t>
  </si>
  <si>
    <t>TRASH RACK</t>
  </si>
  <si>
    <t>SLUICE GATE</t>
  </si>
  <si>
    <t>24 INCH CORRUGATED METAL PIPE 16 GAGE</t>
  </si>
  <si>
    <t>12 INCH CORRUGATED METAL PIPE 14 GAGE</t>
  </si>
  <si>
    <t>15 INCH CORRUGATED METAL PIPE 14 GAGE</t>
  </si>
  <si>
    <t>18 INCH CORRUGATED METAL PIPE 14 GAGE</t>
  </si>
  <si>
    <t>24 INCH CORRUGATED METAL PIPE 14 GAGE</t>
  </si>
  <si>
    <t>30 INCH CORRUGATED METAL PIPE 14 GAGE</t>
  </si>
  <si>
    <t>36 INCH CORRUGATED METAL PIPE 14 GAGE</t>
  </si>
  <si>
    <t>15 INCH CORRUGATED METAL PIPE 12 GAGE</t>
  </si>
  <si>
    <t>18 INCH CORRUGATED METAL PIPE 12 GAGE</t>
  </si>
  <si>
    <t>24 INCH CORRUGATED METAL PIPE 12 GAGE</t>
  </si>
  <si>
    <t>30 INCH CORRUGATED METAL PIPE 12 GAGE</t>
  </si>
  <si>
    <t>36 INCH CORRUGATED METAL PIPE 12 GAGE</t>
  </si>
  <si>
    <t>42 INCH CORRUGATED METAL PIPE 12 GAGE</t>
  </si>
  <si>
    <t>48 INCH CORRUGATED METAL PIPE 12 GAGE</t>
  </si>
  <si>
    <t>54 INCH CORRUGATED METAL PIPE 12 GAGE</t>
  </si>
  <si>
    <t>24 INCH CORRUGATED METAL PIPE 10 GAGE</t>
  </si>
  <si>
    <t>30 INCH CORRUGATED METAL PIPE 10 GAGE</t>
  </si>
  <si>
    <t>36 INCH CORRUGATED METAL PIPE 10 GAGE</t>
  </si>
  <si>
    <t>42 INCH CORRUGATED METAL PIPE 10 GAGE</t>
  </si>
  <si>
    <t>48 INCH CORRUGATED METAL PIPE 10 GAGE</t>
  </si>
  <si>
    <t>54 INCH CORRUGATED METAL PIPE 10 GAGE</t>
  </si>
  <si>
    <t>60 INCH CORRUGATED METAL PIPE 10 GAGE</t>
  </si>
  <si>
    <t>30 INCH CORRUGATED METAL PIPE 8 GAGE</t>
  </si>
  <si>
    <t>36 INCH CORRUGATED METAL PIPE 8 GAGE</t>
  </si>
  <si>
    <t>42 INCH CORRUGATED METAL PIPE 8 GAGE</t>
  </si>
  <si>
    <t>48 INCH CORRUGATED METAL PIPE 8 GAGE</t>
  </si>
  <si>
    <t>54 INCH CORRUGATED METAL PIPE 8 GAGE</t>
  </si>
  <si>
    <t>60 INCH CORRUGATED METAL PIPE 8 GAGE</t>
  </si>
  <si>
    <t>72 INCH CORRUGATED METAL PIPE 8 GAGE</t>
  </si>
  <si>
    <t>84 INCH CORRUGATED METAL PIPE 8 GAGE</t>
  </si>
  <si>
    <t>24 INCH CORRUGATED METAL PIPE END SECTION</t>
  </si>
  <si>
    <t>30 INCH CORRUGATED METAL PIPE END SECTION</t>
  </si>
  <si>
    <t>36 INCH CORRUGATED METAL PIPE END SECTION</t>
  </si>
  <si>
    <t>42 INCH CORRUGATED METAL PIPE END SECTION</t>
  </si>
  <si>
    <t>48 INCH CORRUGATED METAL PIPE END SECTION</t>
  </si>
  <si>
    <t>54 INCH CORRUGATED METAL PIPE END SECTION</t>
  </si>
  <si>
    <t>60 INCH CORRUGATED METAL PIPE END SECTION</t>
  </si>
  <si>
    <t>72 INCH CORRUGATED METAL PIPE END SECTION</t>
  </si>
  <si>
    <t>84 INCH CORRUGATED METAL PIPE END SECTION</t>
  </si>
  <si>
    <t>18  X 11 INCH ACCM PIPE-ARCH 16 GAGE</t>
  </si>
  <si>
    <t>22 X 13 INCH ACCM PIPE-ARCH 16 GAGE</t>
  </si>
  <si>
    <t>29 X 18 INCH ACCM PIPE-ARCH 14 GAGE</t>
  </si>
  <si>
    <t>36 X 22 INCH ACCM PIPE-ARCH 14 GAGE</t>
  </si>
  <si>
    <t>58 X 36 INCH ACCM PIPE-ARCH 12 GAGE</t>
  </si>
  <si>
    <t>65 X 40 INCH ACCM PIPE-ARCH 10 GAGE</t>
  </si>
  <si>
    <t>72 X 44 INCH ACCM PIPE-ARCH 10 GAGE</t>
  </si>
  <si>
    <t>72 X 44 INCH ACCM PIPE-ARCH 8 GAGE</t>
  </si>
  <si>
    <t>6 INCH DUCTILE IRON PIPE</t>
  </si>
  <si>
    <t>18 INCH DUCTILE IRON PIPE</t>
  </si>
  <si>
    <t>60 INCH STRUCTURAL PLATE PIPE</t>
  </si>
  <si>
    <t>66 INCH STRUCTURAL PLATE PIPE</t>
  </si>
  <si>
    <t>72 INCH STRUCTURAL PLATE PIPE</t>
  </si>
  <si>
    <t>84 INCH STRUCTURAL PLATE PIPE</t>
  </si>
  <si>
    <t>96 INCH STRUCTURAL PLATE PIPE</t>
  </si>
  <si>
    <t>108 INCH STRUCTURAL PLATE PIPE</t>
  </si>
  <si>
    <t>120 INCH STRUCTURAL PLATE PIPE</t>
  </si>
  <si>
    <t>6 FT. 1 IN. X 4 FT. 7 IN. STRUCTURAL PLATE PIPE-ARCH 12 GAGE</t>
  </si>
  <si>
    <t>6 FT. 4 IN. X 4 FT. 9 IN. STRUCTURAL PLATE PIPE-ARCH 12 GAGE</t>
  </si>
  <si>
    <t>6 FT. 9 IN. X 4 FT. 11 IN. STRUCTURAL PLATE PIPE-ARCH 12 GAG</t>
  </si>
  <si>
    <t>7 FT. 0 IN. X 5 FT. 1 IN. STRUCTURAL PLATE PIPE-ARCH 12 GAGE</t>
  </si>
  <si>
    <t>7 FT. 3 IN. X 5 FT. 3 IN. STRUCTURAL PLATE PIPE-ARCH 10 GAGE</t>
  </si>
  <si>
    <t>7 FT. 3 IN. X 5 FT. 3 IN. STRUCTURAL PLATE PIPE-ARCH 12 GAGE</t>
  </si>
  <si>
    <t>9 FT. 9 IN. X 6 FT. 7 IN. STRUCTURAL PLATE PIPE-ARCH 3 GAGE</t>
  </si>
  <si>
    <t>11 FT. 10 IN. X 7 FT. 7 IN. STRUCTURAL PLATE PIPE-ARCH 7 GAG</t>
  </si>
  <si>
    <t>20 FT. 7 IN. X 13 FT. 2 IN. STRUCTURAL PLATE PIPE-ARCH 3 GAG</t>
  </si>
  <si>
    <t>54 INCH REINFORCED CONCRETE PIPE</t>
  </si>
  <si>
    <t>60 INCH REINFORCED CONCRETE PIPE</t>
  </si>
  <si>
    <t>66 INCH REINFORCED CONCRETE PIPE</t>
  </si>
  <si>
    <t>54 INCH REINFORCED CONCRETE PIPE FLARED END</t>
  </si>
  <si>
    <t>60 INCH REINFORCED CONCRETE PIPE FLARED END</t>
  </si>
  <si>
    <t>66 INCH REINFORCED CONCRETE PIPE FLARED END</t>
  </si>
  <si>
    <t>72 INCH REINFORCED CONCRETE PIPE FLARED END</t>
  </si>
  <si>
    <t>30 INCH REINFORCED CONCRETE PIPE CLASS IV</t>
  </si>
  <si>
    <t>36 INCH REINFORCED CONCRETE PIPE CLASS IV</t>
  </si>
  <si>
    <t>42 INCH REINFORCED CONCRETE PIPE CLASS IV</t>
  </si>
  <si>
    <t>48 INCH REINFORCED CONCRETE PIPE CLASS IV</t>
  </si>
  <si>
    <t>54 INCH REINFORCED CONCRETE PIPE CLASS IV</t>
  </si>
  <si>
    <t>60 INCH REINFORCED CONCRETE PIPE CLASS IV</t>
  </si>
  <si>
    <t>66 INCH REINFORCED CONCRETE PIPE CLASS IV</t>
  </si>
  <si>
    <t>42 INCH REINFORCED CONCRETE PIPE CLASS V</t>
  </si>
  <si>
    <t>48 INCH REINFORCED CONCRETE PIPE CLASS V</t>
  </si>
  <si>
    <t>54 INCH REINFORCED CONCRETE PIPE CLASS V</t>
  </si>
  <si>
    <t>60 INCH REINFORCED CONCRETE PIPE CLASS V</t>
  </si>
  <si>
    <t>66 INCH REINFORCED CONCRETE PIPE CLASS V</t>
  </si>
  <si>
    <t>72 INCH REINFORCED CONCRETE PIPE CLASS V</t>
  </si>
  <si>
    <t>84 INCH REINFORCED CONCRETE PIPE CLASS V</t>
  </si>
  <si>
    <t>12 INCH REINFORCED CONCRETE SANITARY SEWER PIPE</t>
  </si>
  <si>
    <t>15 INCH REINFORCED CONCRETE SANITARY SEWER PIPE</t>
  </si>
  <si>
    <t>18 INCH REINFORCED CONCRETE SANITARY SEWER PIPE</t>
  </si>
  <si>
    <t>21 INCH REINFORCED CONCRETE SANITARY SEWER PIPE</t>
  </si>
  <si>
    <t>24 INCH REINFORCED CONCRETE SANITARY SEWER PIPE</t>
  </si>
  <si>
    <t>30 INCH REINFORCED CONCRETE SANITARY SEWER PIPE</t>
  </si>
  <si>
    <t>36 INCH REINFORCED CONCRETE SANITARY SEWER PIPE</t>
  </si>
  <si>
    <t>42 INCH REINFORCED CONCRETE SANITARY SEWER PIPE</t>
  </si>
  <si>
    <t>48 INCH REINFORCED CONCRETE SANITARY SEWER PIPE</t>
  </si>
  <si>
    <t>12 INCH POLYVINYLCHLORIDE SANITARY SEWER PIPE</t>
  </si>
  <si>
    <t>15 INCH CORRUGATED PLASTIC PIPE FLARED END</t>
  </si>
  <si>
    <t>18 INCH CORRUGATED PLASTIC PIPE FLARED END</t>
  </si>
  <si>
    <t>24 INCH CORRUGATED PLASTIC PIPE FLARED END</t>
  </si>
  <si>
    <t>30 INCH CORRUGATED PLASTIC PIPE FLARED END</t>
  </si>
  <si>
    <t>36 INCH CORRUGATED PLASTIC PIPE FLARED END</t>
  </si>
  <si>
    <t>36 INCH CORRUGATED PLASTIC PIPE</t>
  </si>
  <si>
    <t>48 INCH CORRUGATED PLASTIC PIPE</t>
  </si>
  <si>
    <t>60 INCH CORRUGATED PLASTIC PIPE</t>
  </si>
  <si>
    <t>JACKING 30 INCH PIPE</t>
  </si>
  <si>
    <t>JACKING 36 INCH PIPE</t>
  </si>
  <si>
    <t>JACKING 42 INCH PIPE</t>
  </si>
  <si>
    <t>JACKING 48 INCH PIPE</t>
  </si>
  <si>
    <t>JACKING 60 INCH PIPE</t>
  </si>
  <si>
    <t>JACKING 66 INCH PIPE</t>
  </si>
  <si>
    <t>JACKING 72 INCH PIPE</t>
  </si>
  <si>
    <t>JACKING 84 INCH PIPE</t>
  </si>
  <si>
    <t>8 INCH SEWER PIPE INSULATION</t>
  </si>
  <si>
    <t>10 INCH SEWER PIPE INSULATION</t>
  </si>
  <si>
    <t>12 INCH SEWER PIPE INSULATION</t>
  </si>
  <si>
    <t>14 INCH SEWER PIPE INSULATION</t>
  </si>
  <si>
    <t>16 INCH SEWER PIPE INSULATION</t>
  </si>
  <si>
    <t>18 INCH SEWER PIPE INSULATION</t>
  </si>
  <si>
    <t>24 INCH SEWER PIPE INSULATION</t>
  </si>
  <si>
    <t>6 INCH POLYMERIC PRECOATED CORRUGATED METAL PIPE</t>
  </si>
  <si>
    <t>8 INCH POLYMERIC PRECOATED CORRUGATED METAL PIPE</t>
  </si>
  <si>
    <t>10 INCH POLYMERIC PRECOATED CORRUGATED METAL PIPE</t>
  </si>
  <si>
    <t>12 INCH POLYMERIC PRECOATED CORRUGATED METAL PIPE</t>
  </si>
  <si>
    <t>15 INCH POLYMERIC PRECOATED CORRUGATED METAL PIPE</t>
  </si>
  <si>
    <t>18 INCH POLYMERIC PRECOATED CORRUGATED METAL PIPE</t>
  </si>
  <si>
    <t>21 INCH POLYMERIC PRECOATED CORRUGATED METAL PIPE</t>
  </si>
  <si>
    <t>24 INCH POLYMERIC PRECOATED CORRUGATED METAL PIPE</t>
  </si>
  <si>
    <t>30 INCH POLYMERIC PRECOATED CORRUGATED METAL PIPE</t>
  </si>
  <si>
    <t>36 INCH POLYMERIC PRECOATED CORRUGATED METAL PIPE</t>
  </si>
  <si>
    <t>42 INCH POLYMERIC PRECOATED CORRUGATED METAL PIPE</t>
  </si>
  <si>
    <t>48 INCH POLYMERIC PRECOATED CORRUGATED METAL PIPE</t>
  </si>
  <si>
    <t>54 INCH POLYMERIC PRECOATED CORRUGATED METAL PIPE</t>
  </si>
  <si>
    <t>60 INCH POLYMERIC PRECOATED CORRUGATED METAL PIPE</t>
  </si>
  <si>
    <t>72 INCH POLYMERIC PRECOATED CORRUGATED METAL PIPE</t>
  </si>
  <si>
    <t>84 INCH POLYMERIC PRECOATED CORRUGATED METAL PIPE</t>
  </si>
  <si>
    <t>6 INCH PERFORATED  CORRUGATED METAL PIPE-18 GAGE (SUBDRAIN)</t>
  </si>
  <si>
    <t>8 INCH PERFORATED CORRUGATED METAL PIPE-18 GAGE (SUBDRAIN)</t>
  </si>
  <si>
    <t>10 INCH PERFORATED CORRUGATED METAL PIPE-18 GAGE (SUBDRAIN)</t>
  </si>
  <si>
    <t>12 INCH PERFORATED CORRUGATED METAL PIPE-16 GAGE (SUBDRAIN)</t>
  </si>
  <si>
    <t>8 INCH PIPE SUBDRAIN - OPTION</t>
  </si>
  <si>
    <t>6 INCH POROUS CONCRETE PIPE (SUBDRAIN)</t>
  </si>
  <si>
    <t>8 INCH POROUS CONCRETE PIPE (SUBDRAIN)</t>
  </si>
  <si>
    <t>12 INCH AND UNDER PIPE REMOVED AND RELAID</t>
  </si>
  <si>
    <t>15 INCH PIPE REMOVED AND RELAID</t>
  </si>
  <si>
    <t>18 INCH PIPE REMOVED AND RELAID</t>
  </si>
  <si>
    <t>24 INCH PIPE REMOVED AND RELAID</t>
  </si>
  <si>
    <t>30 INCH PIPE REMOVED AND RELAID</t>
  </si>
  <si>
    <t>36 INCH PIPE REMOVED AND RELAID</t>
  </si>
  <si>
    <t>42 INCH PIPE REMOVED AND RELAID</t>
  </si>
  <si>
    <t>48 INCH PIPE REMOVED AND RELAID</t>
  </si>
  <si>
    <t>60 INCH PIPE REMOVED AND RELAID</t>
  </si>
  <si>
    <t>15 INCH PIPE REMOVED AND STACKED</t>
  </si>
  <si>
    <t>18 INCH PIPE REMOVED AND STACKED</t>
  </si>
  <si>
    <t>24 INCH PIPE REMOVED AND STACKED</t>
  </si>
  <si>
    <t>30 INCH PIPE REMOVED AND STACKED</t>
  </si>
  <si>
    <t>GROUTED STONE PAVING (WATERWAYS)</t>
  </si>
  <si>
    <t>GROUTED STONE PAVING (WATERWAYS) - REBUILT</t>
  </si>
  <si>
    <t>DUMPED STONE LINING (WATERWAYS)</t>
  </si>
  <si>
    <t>CEMENT CONCRETE PAVING - DITCHES</t>
  </si>
  <si>
    <t>18 INCH DUCTILE IRON WATER PIPE (RUBBER GASKET)</t>
  </si>
  <si>
    <t>20 INCH DUCTILE IRON WATER PIPE (RUBBER GASKET)</t>
  </si>
  <si>
    <t>24 INCH DUCTILE IRON WATER PIPE (RUBBER GASKET)</t>
  </si>
  <si>
    <t>4 INCH DUCTILE IRON WATER PIPE  (MECHANICAL JOINT)</t>
  </si>
  <si>
    <t>20 INCH DUCTILE IRON WATER PIPE (MECHANICAL JOINT)</t>
  </si>
  <si>
    <t>4 INCH WATER MAIN REMOVED AND RELAID</t>
  </si>
  <si>
    <t>6 INCH WATER MAIN REMOVED AND RELAID</t>
  </si>
  <si>
    <t>8 INCH WATER MAIN REMOVED AND RELAID</t>
  </si>
  <si>
    <t>10 INCH WATER MAIN REMOVED AND RELAID</t>
  </si>
  <si>
    <t>12 INCH WATER MAIN REMOVED AND RELAID</t>
  </si>
  <si>
    <t>16 INCH WATER MAIN REMOVED AND RELAID</t>
  </si>
  <si>
    <t>18 INCH WATER MAIN REMOVED AND RELAID</t>
  </si>
  <si>
    <t>20 INCH WATER MAIN REMOVED AND RELAID</t>
  </si>
  <si>
    <t>24 INCH WATER MAIN REMOVED AND RELAID</t>
  </si>
  <si>
    <t>10 INCH WATER MAIN REMOVED AND STACKED</t>
  </si>
  <si>
    <t>18 INCH WATER MAIN REMOVED AND STACKED</t>
  </si>
  <si>
    <t>20 INCH WATER MAIN REMOVED AND STACKED</t>
  </si>
  <si>
    <t>24 INCH WATER MAIN REMOVED AND STACKED</t>
  </si>
  <si>
    <t>6 INCH STEEL PIPE CASING FOR WATER PIPE</t>
  </si>
  <si>
    <t>8 INCH STEEL PIPE CASING FOR WATER PIPE</t>
  </si>
  <si>
    <t>10 INCH STEEL PIPE CASING FOR WATER PIPE</t>
  </si>
  <si>
    <t>12 INCH STEEL PIPE CASING FOR WATER PIPE</t>
  </si>
  <si>
    <t>16 INCH STEEL PIPE CASING FOR WATER PIPE</t>
  </si>
  <si>
    <t>18 INCH STEEL PIPE CASING FOR WATER PIPE</t>
  </si>
  <si>
    <t>20 INCH STEEL PIPE CASING FOR WATER PIPE</t>
  </si>
  <si>
    <t>24 INCH STEEL PIPE CASING FOR WATER PIPE</t>
  </si>
  <si>
    <t>3 INCH BLOW-OFF PIPE</t>
  </si>
  <si>
    <t>4 INCH BLOW-OFF PIPE</t>
  </si>
  <si>
    <t>6 INCH BLOW-OFF PIPE</t>
  </si>
  <si>
    <t>8 INCH BLOW-OFF PIPE</t>
  </si>
  <si>
    <t>10 INCH BLOW-OFF PIPE</t>
  </si>
  <si>
    <t>12 INCH BLOW-OFF PIPE</t>
  </si>
  <si>
    <t>3/4 INCH TEMPORARY SERVICE PIPE</t>
  </si>
  <si>
    <t>1-1/2 INCH TEMPORARY SERVICE PIPE</t>
  </si>
  <si>
    <t>6 INCH TEMPORARY SERVICE PIPE</t>
  </si>
  <si>
    <t>1/2 INCH SERVICE PIPE REMOVED AND RESET</t>
  </si>
  <si>
    <t>3/4 INCH SERVICE PIPE REMOVED AND RESET</t>
  </si>
  <si>
    <t>1 INCH SERVICE PIPE REMOVED AND RESET</t>
  </si>
  <si>
    <t>1-1/2 INCH SERVICE PIPE REMOVED AND RESET</t>
  </si>
  <si>
    <t>2 INCH SERVICE PIPE REMOVED AND RESET</t>
  </si>
  <si>
    <t>10 INCH GATE VALVE</t>
  </si>
  <si>
    <t>18 INCH GATE VALVE</t>
  </si>
  <si>
    <t>20 INCH GATE VALVE</t>
  </si>
  <si>
    <t>24 INCH GATE VALVE</t>
  </si>
  <si>
    <t>16 INCH GATE AND GATE BOX</t>
  </si>
  <si>
    <t>18 INCH GATE AND GATE BOX</t>
  </si>
  <si>
    <t>20 INCH GATE AND GATE BOX</t>
  </si>
  <si>
    <t>24 INCH GATE AND GATE BOX</t>
  </si>
  <si>
    <t>12 INCH AND UNDER GATE AND GATE BOX REMOVED AND RESET</t>
  </si>
  <si>
    <t>16 INCH  GATE AND GATE BOX REMOVED AND RESET</t>
  </si>
  <si>
    <t>18 INCH GATE AND GATE BOX REMOVED AND RESET</t>
  </si>
  <si>
    <t>20 INCH GATE AND GATE BOX REMOVED AND RESET</t>
  </si>
  <si>
    <t>24 INCH GATE AND GATE BOX REMOVED AND RESET</t>
  </si>
  <si>
    <t>12 INCH AND UNDER GATE BOX REMOVED AND RESET</t>
  </si>
  <si>
    <t>16 INCH GATE BOX REMOVED AND RESET</t>
  </si>
  <si>
    <t>18 INCH GATE BOX REMOVED AND RESET</t>
  </si>
  <si>
    <t>20 INCH GATE BOX REMOVED AND RESET</t>
  </si>
  <si>
    <t>24 INCH GATE BOX REMOVED AND RESET</t>
  </si>
  <si>
    <t>10 INCH GATE AND GATE BOX REMOVED AND STACKED</t>
  </si>
  <si>
    <t>12 INCH BUTTERFLY VALVE AND BOX</t>
  </si>
  <si>
    <t>16 INCH BUTTERFLY VALVE AND BOX</t>
  </si>
  <si>
    <t>20 INCH BUTTERFLY VALVE AND BOX</t>
  </si>
  <si>
    <t>4 INCH GATE BOX</t>
  </si>
  <si>
    <t>18 INCH GATE BOX</t>
  </si>
  <si>
    <t>20 INCH GATE BOX</t>
  </si>
  <si>
    <t>4 INCH CAST IRON PLUG</t>
  </si>
  <si>
    <t>10 INCH CAST IRON PLUG</t>
  </si>
  <si>
    <t>16 INCH CAST IRON PLUG</t>
  </si>
  <si>
    <t>18 INCH CAST IRON PLUG</t>
  </si>
  <si>
    <t>20 INCH CAST IRON PLUG</t>
  </si>
  <si>
    <t>24 INCH CAST IRON PLUG</t>
  </si>
  <si>
    <t>3 X 3 INCH TAPPING SLEEVE, VALVE AND BOX</t>
  </si>
  <si>
    <t>6 X 6 INCH TAPPING SLEEVE, VALVE AND BOX</t>
  </si>
  <si>
    <t>10 X 10 INCH TAPPING SLEEVE, VALVE AND BOX</t>
  </si>
  <si>
    <t>14 X 14 INCH TAPPING SLEEVE, VALVE AND BOX</t>
  </si>
  <si>
    <t>16 X 16 INCH TAPPING SLEEVE, VALVE AND BOX</t>
  </si>
  <si>
    <t>18 X 18 INCH TAPPING SLEEVE, VALVE AND BOX</t>
  </si>
  <si>
    <t>20 X 20 INCH TAPPING SLEEVE, VALVE AND BOX</t>
  </si>
  <si>
    <t>6 X 3 INCH TAPPING SLEEVE, VALVE AND BOX</t>
  </si>
  <si>
    <t>10 X 8 INCH TAPPING SLEEVE, VALVE AND BOX</t>
  </si>
  <si>
    <t>12 X 10 INCH TAPPING SLEEVE, VALVE AND BOX</t>
  </si>
  <si>
    <t>14 X 8 INCH TAPPING SLEEVE, VALVE AND BOX</t>
  </si>
  <si>
    <t>14 X 10 INCH TAPPING SLEEVE, VALVE AND BOX</t>
  </si>
  <si>
    <t>14 X 12 INCH TAPPING SLEEVE, VALVE AND BOX</t>
  </si>
  <si>
    <t>3 INCH COUPLING</t>
  </si>
  <si>
    <t>10 INCH COUPLING</t>
  </si>
  <si>
    <t>20 INCH COUPLING</t>
  </si>
  <si>
    <t>10 INCH WATER PIPE INSULATION</t>
  </si>
  <si>
    <t>16 INCH WATER PIPE INSULATION</t>
  </si>
  <si>
    <t>18 INCH WATER PIPE INSULATION</t>
  </si>
  <si>
    <t>20 INCH WATER PIPE INSULATION</t>
  </si>
  <si>
    <t>10 INCH INSERTION VALVE AND BOX</t>
  </si>
  <si>
    <t>1-1/2 INCH AIR RELEASE VALVE</t>
  </si>
  <si>
    <t>METER BOX</t>
  </si>
  <si>
    <t>METER BOX REMOVED AND RESET</t>
  </si>
  <si>
    <t>METER BOX REMOVED AND STACKED</t>
  </si>
  <si>
    <t>METER BOX ADJUSTED</t>
  </si>
  <si>
    <t>METER CHAMBER</t>
  </si>
  <si>
    <t>METER CHAMBER ADJUSTED</t>
  </si>
  <si>
    <t>METER CHAMBER REMOVED AND RESET</t>
  </si>
  <si>
    <t>DRINKING FOUNTAIN</t>
  </si>
  <si>
    <t>DRINKING FOUNTAIN REMOVED AND RESET</t>
  </si>
  <si>
    <t>PRE-TREATED CRUSHED STONE</t>
  </si>
  <si>
    <t>RECLAIMED PAVEMENT BORROW MATERIAL</t>
  </si>
  <si>
    <t>GRAVEL FOR SURFACING</t>
  </si>
  <si>
    <t>OPEN GRADED FRICTION COURSE - 9.5 - ASPHALT RUBBER (OGFC – AR)</t>
  </si>
  <si>
    <t>SUPERPAVE SURFACE COURSE – 4.75 (SSC – 4.75)</t>
  </si>
  <si>
    <t>SUPERPAVE SURFACE COURSE – 4.75 POLYMER (SSC – 4.75 - P)</t>
  </si>
  <si>
    <t>SUPERPAVE SURFACE COURSE – 19.0 POLYMER (SSC – 19.0 - P)</t>
  </si>
  <si>
    <t>SUPERPAVE LEVELING COURSE - 4.75 (SLC - 4.75)</t>
  </si>
  <si>
    <t>SUPERPAVE BRIDGE SURFACE COURSE - 9.5 POLYMER  (SSC-B - 9.5 - P)</t>
  </si>
  <si>
    <t>SUPERPAVE BRIDGE PROTECTIVE COURSE – 12.5POLYMER  (SPC-B - 12.5 - P)</t>
  </si>
  <si>
    <t>SUPERPAVE HIGH PERFORMANCE (HP-9.5)</t>
  </si>
  <si>
    <t>CRUSHED STONE BALLAST</t>
  </si>
  <si>
    <t>BITUMEN FOR ROADWAY BASE COURSE</t>
  </si>
  <si>
    <t>BITUMEN FOR SURFACING TREATMENT</t>
  </si>
  <si>
    <t>BITUMEN FOR ROAD-MIX SURFACING</t>
  </si>
  <si>
    <t>BITUMEN FOR MACADAM SURFACING</t>
  </si>
  <si>
    <t>BITUMEN FOR SEAL COAT</t>
  </si>
  <si>
    <t>BITUMEN FOR WEARING SURFACE</t>
  </si>
  <si>
    <t>BITUMEN FOR CURING</t>
  </si>
  <si>
    <t>RECLAIMED BITUMEN BASE</t>
  </si>
  <si>
    <t>STRESS ABSORBING MEMBRANE INTERLAYER</t>
  </si>
  <si>
    <t>CRUSHED STONE FOR PEASTONE COVER</t>
  </si>
  <si>
    <t>BITUMEN FOR PEASTONE COVER</t>
  </si>
  <si>
    <t>HIGH EARLY STRENGTH CEMENT CONCRETE PAVEMENT</t>
  </si>
  <si>
    <t>POLYMER MODIFIED MORTAR OVERLAYMENT</t>
  </si>
  <si>
    <t>EPOXY WATERPROOFING OVERLAY</t>
  </si>
  <si>
    <t>ELASTOMERIC BRIDGE JOINT SYSTEM</t>
  </si>
  <si>
    <t>HOT POURED JOINT SEALER</t>
  </si>
  <si>
    <t>ROUTING, DRYING, AND SEALING CRACKS IN EXISTING PAVEMENT</t>
  </si>
  <si>
    <t>SAWING AND SEALING JOINTS IN ASPHALT PAVEMENT</t>
  </si>
  <si>
    <t>SEALING ASPHALT PAVEMENT  SURFACE CRACKS</t>
  </si>
  <si>
    <t>REHABILITATING EXISTING ASPHALT PAVEMENT</t>
  </si>
  <si>
    <t>GRANITE RUBBLE BLOCK PAVEMENT REMOVED AND RESET</t>
  </si>
  <si>
    <t>GRANITE RUBBLE BLOCK PAVEMENT REMOVED AND STACKED</t>
  </si>
  <si>
    <t>RUBBERIZED RAILROAD CROSSING</t>
  </si>
  <si>
    <t>GRANITE CURB TYPE VA1 - CURVED</t>
  </si>
  <si>
    <t>GRANITE EDGING TYPE SC</t>
  </si>
  <si>
    <t>GRANITE EDGING TYPE SC (RADIUS 10 FEET OR LESS)</t>
  </si>
  <si>
    <t>GRANITE CURB INLET - STRAIGHT - EXCLUDING COST OF CURB INLET</t>
  </si>
  <si>
    <t>GRANITE CURB INLET - STRAIGHT- MUNICIPAL STANDARD</t>
  </si>
  <si>
    <t>GRANITE CURB INLET - CURVED - MUNICIPAL STANDARD</t>
  </si>
  <si>
    <t>CONCRETE CURB INLET - STRAIGHT</t>
  </si>
  <si>
    <t>CONCRETE CURB INLET - CURVED</t>
  </si>
  <si>
    <t>CONCRETE CURB TYPE VA - PRECAST</t>
  </si>
  <si>
    <t>SPECIAL CONCRETE CURB - CAST IN PLACE</t>
  </si>
  <si>
    <t>CONCRETE CURB STOP REMOVED AND RESET</t>
  </si>
  <si>
    <t>SPECIAL CONCRETE CURB - PRECAST</t>
  </si>
  <si>
    <t>CONCRETE CURB CORNER TYPE A</t>
  </si>
  <si>
    <t>CONCRETE CURB CORNER TYPE B</t>
  </si>
  <si>
    <t>CONCRETE EDGING TYPE SA</t>
  </si>
  <si>
    <t>CURB INLET REMOVED, RELOCATED AND RESET</t>
  </si>
  <si>
    <t>CURB CORNER - EXCLUDING COST OF CURB CORNER</t>
  </si>
  <si>
    <t>CURB CORNER REMOVED, RELOCATED AND RESET</t>
  </si>
  <si>
    <t>CONCRETE CURB BARRIER REMOVED AND STACKED</t>
  </si>
  <si>
    <t>CONCRETE CURB BARRIER REMOVED AND RESET</t>
  </si>
  <si>
    <t>EDGING REMOVED AND STACKED</t>
  </si>
  <si>
    <t>GUARDRAIL - CURVED, TL-2 (DOUBLE FACED)</t>
  </si>
  <si>
    <t>GUARDRAIL - CURVED, TL-3 (DOUBLE FACED)</t>
  </si>
  <si>
    <t>PERMANENT IMPACT ATTENUATOR, NON-REDIRECTIVE, TL-2</t>
  </si>
  <si>
    <t>PERMANENT IMPACT ATTENUATOR, NON-REDIRECTIVE, TL-3</t>
  </si>
  <si>
    <t>TEMPORARY IMPACT ATTENUATOR, NON-REDIRECTIVE, TL-2</t>
  </si>
  <si>
    <t>TEMPORARY IMPACT ATTENUATOR, NON-REDIRECTIVE, TL-3</t>
  </si>
  <si>
    <t>PERMANENT IMPACT ATTENUATOR, REDIRECTIVE, TL-2</t>
  </si>
  <si>
    <t>PERMANENT IMPACT ATTENUATOR, REDIRECTIVE, TL-3</t>
  </si>
  <si>
    <t>TEMPORARY IMPACT ATTENUATOR, REDIRECTIVE, TL-2</t>
  </si>
  <si>
    <t>TEMPORARY IMPACT ATTENUATOR, REDIRECTIVE, TL-3</t>
  </si>
  <si>
    <t>IMPACT ATTENUATOR FOR SHOULDER,  CAPABLE OF REDIRECTION</t>
  </si>
  <si>
    <t>PERMANENT IMPACT ATTENUATOR, LOW MAINTENANCE, TL-2</t>
  </si>
  <si>
    <t>PERMANENT IMPACT ATTENUATOR, LOW MAINTENANCE, TL-3</t>
  </si>
  <si>
    <t>TEMPORARY IMPACT ATTENUATOR REMOVED AND RESET</t>
  </si>
  <si>
    <t>HIGHWAY GUARD REMOVED AND RESET BY FIELD DRILLING</t>
  </si>
  <si>
    <t>GUARDRAIL, DEEP POST - STEEL</t>
  </si>
  <si>
    <t>INDIVIDUAL POST REMOVED AND STACKED</t>
  </si>
  <si>
    <t>PROTECTIVE SCREEN (CHAIN LINK) WITH HANDRAIL</t>
  </si>
  <si>
    <t>PROTECTIVE SCREEN FOR PEDESTRIAN OVERPASS</t>
  </si>
  <si>
    <t>36 INCH CHAIN LINK FENCE (SPRING TENSION WIRE) (LINE POST OPTION)</t>
  </si>
  <si>
    <t>48 INCH CHAIN LINK FENCE (SPRING TENSION WIRE) (LINE POST OPTION)</t>
  </si>
  <si>
    <t>84 INCH CHAIN LINK FENCE (SPRING TENSION WIRE) (LINE POST OPTION)</t>
  </si>
  <si>
    <t>96 INCH CHAIN LINK FENCE (SPRING TENSION WIRE) (LINE POST OPTION)</t>
  </si>
  <si>
    <t>120 INCH CHAIN LINK FENCE (SPRING TENSION WIRE) (LINE POST OPTION)</t>
  </si>
  <si>
    <t>144 INCH CHAIN LINK FENCE (SPRING TENSION WIRE) (LINE POST OPTION)</t>
  </si>
  <si>
    <t>36 INCH CHAIN LINK FENCE (SPRING TENSION WIRE) VINYL COATED (LINE POST OPTION)</t>
  </si>
  <si>
    <t>84 INCH CHAIN LINK FENCE (SPRING TENSION WIRE) VINYL COATED (LINE POST OPTION)</t>
  </si>
  <si>
    <t>120 INCH CHAIN LINK FENCE (SPRING TENSION WIRE) VINYL COATED (LINE POST OPTION)</t>
  </si>
  <si>
    <t>144 INCH CHAIN LINK FENCE (SPRING TENSION WIRE) VINYL COATED (LINE POST OPTION)</t>
  </si>
  <si>
    <t>36 INCH CHAIN LINK FENCE (PIPE TOP RAIL) (LINE POST OPTION)</t>
  </si>
  <si>
    <t>60 INCH CHAIN LINK FENCE (PIPE TOP RAIL) (LINE POST OPTION)</t>
  </si>
  <si>
    <t>84 INCH CHAIN LINK FENCE (PIPE TOP RAIL) (LINE POST OPTION)</t>
  </si>
  <si>
    <t>120 INCH CHAIN LINK FENCE (PIPE TOP RAIL) (LINE POST OPTION)</t>
  </si>
  <si>
    <t>144 INCH CHAIN LINK FENCE (PIPE TOP RAIL) (LINE POST OPTION)</t>
  </si>
  <si>
    <t>36 INCH CHAIN LINK FENCE (PIPE TOP RAIL) VINYL COATED (LINE POST OPTION)</t>
  </si>
  <si>
    <t>60 INCH CHAIN LINK FENCE (PIPE TOP RAIL) VINYL COATED (LINE POST OPTION)</t>
  </si>
  <si>
    <t>84 INCH CHAIN LINK FENCE (PIPE TOP RAIL) VINYL COATED (LINE POST OPTION)</t>
  </si>
  <si>
    <t>96 INCH CHAIN LINK FENCE (PIPE TOP RAIL) VINYL COATED (LINE POST OPTION)</t>
  </si>
  <si>
    <t>120 INCH CHAIN LINK FENCE(PIPE TOP RAIL) VINYL COATED (LINE POST OPTION)</t>
  </si>
  <si>
    <t>144 INCH CHAIN LINK FENCE (PIPE TOP RAIL) VINYL COATED (LINE POST OPTION)</t>
  </si>
  <si>
    <t>36 INCH CHAIN LINK FENCE (PIPE TOP RAIL) W/BARB (LINE POST OPTION)</t>
  </si>
  <si>
    <t>48 INCH CHAIN LINK FENCE (PIPE TOP RAIL) W/BARB (LINE POST OPTION)</t>
  </si>
  <si>
    <t>60 INCH CHAIN LINK FENCE (PIPE TOP RAIL) W/BARB (LINE POST OPTION)</t>
  </si>
  <si>
    <t>72 INCH CHAIN LINK FENCE (PIPE TOP RAIL) W/BARB (LINE POST OPTION)</t>
  </si>
  <si>
    <t>84 INCH CHAIN LINK FENCE (PIPE TOP RAIL) W/BARB (LINE POST OPTION)</t>
  </si>
  <si>
    <t>96 INCH CHAIN LINK FENCE (PIPE TOP RAIL) W/BARB (LINE POST OPTION)</t>
  </si>
  <si>
    <t>120 INCH CHAIN LINK FENCE (PIPE TOP RAIL) W/BARB (LINE POST OPTION)</t>
  </si>
  <si>
    <t>144 INCH CHAIN LINK FENCE (PIPE TOP RAIL) W/BARB (LINE POST OPTION)</t>
  </si>
  <si>
    <t>36 INCH CHAIN LINK FENCE (SPRING TENSION WIRE) W/BARB (LINE POST OPTION)</t>
  </si>
  <si>
    <t>48 INCH CHAIN LINK FENCE (SPRING TENSION WIRE) W/BARB (LINE POST OPTION)</t>
  </si>
  <si>
    <t>60 INCH CHAIN LINK FENCE (SPRING TENSION WIRE) W/BARB (LINE POST OPTION)</t>
  </si>
  <si>
    <t>72 INCH CHAIN LINK FENCE (SPRING TENSION WIRE) W/BARB (LINE POST OPTION)</t>
  </si>
  <si>
    <t>84 INCH CHAIN LINK FENCE (SPRING TENSION WIRE) W/BARB (LINE POST OPTION)</t>
  </si>
  <si>
    <t>96 INCH CHAIN LINK FENCE (SPRING TENSION WIRE) W/BARB (LINE POST OPTION)</t>
  </si>
  <si>
    <t>120 INCH CHAIN LINK FENCE (SPRING TENSION WIRE) W/BARB (LINE POST OPTION)</t>
  </si>
  <si>
    <t>144 INCH CHAIN LINK FENCE (SPRING TENSION WIRE) W/BARB (LINE POST OPTION)</t>
  </si>
  <si>
    <t>36 INCH CHAIN LINK GATE WITH GATE POSTS</t>
  </si>
  <si>
    <t>60 INCH CHAIN LINK GATE WITH GATE POSTS</t>
  </si>
  <si>
    <t>84 INCH CHAIN LINK GATE WITH GATE POSTS</t>
  </si>
  <si>
    <t>120 INCH CHAIN LINK GATE WITH GATE POSTS</t>
  </si>
  <si>
    <t>144 INCH CHAIN LINK GATE WITH GATE POSTS</t>
  </si>
  <si>
    <t>60 INCH CHAIN LINK GATE WITH GATE POSTS AND BARBED WIRE</t>
  </si>
  <si>
    <t>84 INCH CHAIN LINK GATE WITH GATE POSTS AND BARBED WIRE</t>
  </si>
  <si>
    <t>96 INCH CHAIN LINK GATE WITH GATE POSTS AND BARBED WIRE</t>
  </si>
  <si>
    <t>120 INCH CHAIN LINK GATE WITH GATE POSTS AND BARBED WIRE</t>
  </si>
  <si>
    <t>144 INCH CHAIN LINK GATE WITH GATE POSTS AND BARBED WIRE</t>
  </si>
  <si>
    <t>36 INCH CHAIN LINK FENCE END POST</t>
  </si>
  <si>
    <t>60 INCH CHAIN LINK FENCE END POST</t>
  </si>
  <si>
    <t>84 INCH CHAIN LINK FENCE END POST</t>
  </si>
  <si>
    <t>96 INCH CHAIN LINK FENCE END POST</t>
  </si>
  <si>
    <t>120 INCH CHAIN LINK FENCE END POST</t>
  </si>
  <si>
    <t>144 INCH CHAIN LINK FENCE END POST</t>
  </si>
  <si>
    <t>36 INCH CHAIN LINK FENCE CORNER OR INTERMEDIATE BRACE POST</t>
  </si>
  <si>
    <t>60 INCH CHAIN LINK FENCE CORNER OR INTERMEDIATE BRACE POST</t>
  </si>
  <si>
    <t>84 INCH CHAIN LINK FENCE CORNER OR INTERMEDIATE BRACE POST</t>
  </si>
  <si>
    <t>120 INCH CHAIN LINK FENCE CORNER OR INTERMEDIATE BRACE POST</t>
  </si>
  <si>
    <t>144 INCH CHAIN LINK FENCE CORNER OR INTERMEDIATE BRACE POST</t>
  </si>
  <si>
    <t>36 INCH CHAIN LINK FENCE FABRIC</t>
  </si>
  <si>
    <t>48 INCH CHAIN LINK FENCE FABRIC</t>
  </si>
  <si>
    <t>60 INCH CHAIN LINK FENCE FABRIC</t>
  </si>
  <si>
    <t>84 INCH CHAIN LINK FENCE FABRIC</t>
  </si>
  <si>
    <t>96 INCH CHAIN LINK FENCE FABRIC</t>
  </si>
  <si>
    <t>120 INCH CHAIN LINK FENCE FABRIC</t>
  </si>
  <si>
    <t>IRON PIPE FENCE</t>
  </si>
  <si>
    <t>ORNAMENTAL HAND RAIL</t>
  </si>
  <si>
    <t>INDIVIDUAL LINE POST - OPTION</t>
  </si>
  <si>
    <t>CHAIN LINK FENCE ADJUST AND PAINT</t>
  </si>
  <si>
    <t>CHAIN LINK FENCE GATE W/GATE POSTS REMOVED &amp; STACKED</t>
  </si>
  <si>
    <t>FENCE GATE AND GATE POSTS REMOVED AND STACKED</t>
  </si>
  <si>
    <t>PERMANENT BARRIER FENCE</t>
  </si>
  <si>
    <t>PERMANENT BARRIER FENCE REMOVED AND RESET</t>
  </si>
  <si>
    <t>PORTABLE BARRIER FENCE (LEFT-IN-PLACE)</t>
  </si>
  <si>
    <t>30 INCH YELLOW MODULE CONTAINER</t>
  </si>
  <si>
    <t>36 INCH YELLOW MODULE CONTAINER</t>
  </si>
  <si>
    <t>24 INCH ANTI-GLARE SCREEN (MODULAR UNITS) - PADDLE TYPE</t>
  </si>
  <si>
    <t>36 INCH ANTI-GLARE SCREEN (MODULAR UNITS) - PADDLE TYPE</t>
  </si>
  <si>
    <t>48 INCH ANTI-GLARE SCREEN (MODULAR UNITS) - PADDLE TYPE</t>
  </si>
  <si>
    <t>STONE MASONRY STAIRS REMOVED AND RESET IN CEMENT MORTAR</t>
  </si>
  <si>
    <t>STONE MASONRY WALL, DRY</t>
  </si>
  <si>
    <t>STONE MASONRY POST REMOVED AND REBUILT</t>
  </si>
  <si>
    <t>STONE DUST WALKS</t>
  </si>
  <si>
    <t>STONE DUST FOR DRIVEWAYS</t>
  </si>
  <si>
    <t>BRICK STEPS</t>
  </si>
  <si>
    <t>TREE GRATE</t>
  </si>
  <si>
    <t>TREE GUARD</t>
  </si>
  <si>
    <t>PICNIC TABLE</t>
  </si>
  <si>
    <t>BOUND (EXCLUDING COST OF BOUND)</t>
  </si>
  <si>
    <t>TOWN LINE BOUND</t>
  </si>
  <si>
    <t>TOWN LINE WITNESS BOUND</t>
  </si>
  <si>
    <t>TOWN LINE BOUND REMOVED AND RESET</t>
  </si>
  <si>
    <t>TOWN LINE WITNESS BOUND REMOVED AND RESET</t>
  </si>
  <si>
    <t>TOWN LINE BOUND REMOVED AND STACKED</t>
  </si>
  <si>
    <t>TOWN LINE POST REMOVED AND RESET</t>
  </si>
  <si>
    <t>METAL BIN-TYPE RETAINING WALL</t>
  </si>
  <si>
    <t>RENOVATING ENGINEERS FIELD OFFICE</t>
  </si>
  <si>
    <t>RELOCATE ENGINEERS FIELD OFFICE AND EQUIPMENT</t>
  </si>
  <si>
    <t>ENGINEERS FIELD OFFICE AND EQUIPMENT (TYPE B)</t>
  </si>
  <si>
    <t>MATERIALS LABORATORY AND EQUIPMENT</t>
  </si>
  <si>
    <t>PEDESTRIAN BUS SHELTER REMOVED AND RESET</t>
  </si>
  <si>
    <t>PEDESTRIAN BUS SHELTER REMOVED AND STACKED</t>
  </si>
  <si>
    <t>TRANSPORTATION VEHICLE</t>
  </si>
  <si>
    <t>TRANSPORTATION OFFICE VAN</t>
  </si>
  <si>
    <t>LOAM REHANDLED AND SPREAD</t>
  </si>
  <si>
    <t>SEEDING FOR SHORT TERM EROSION CONTROL</t>
  </si>
  <si>
    <t>WOOD FIBRE MULCH</t>
  </si>
  <si>
    <t>LAWN SODDING</t>
  </si>
  <si>
    <t>ARBORVITAE - DARK AMERICAN 2-3 FEET</t>
  </si>
  <si>
    <t>ARBORVITAE - DARK AMERICAN 5-6 FEET</t>
  </si>
  <si>
    <t>ARBORVITAE - EMERALD GREEN 5-6 FEET</t>
  </si>
  <si>
    <t>ARBORVITAE - GIANT 5-6 FEET</t>
  </si>
  <si>
    <t>ARBORVITAE - 'HETZ WINTERGREEN' 5-6 FEET</t>
  </si>
  <si>
    <t>ARBORVITAE - PYRAMID 5-6 FEET</t>
  </si>
  <si>
    <t>CEDAR - RED 7-8 FEET</t>
  </si>
  <si>
    <t>FIR - DOUGLAS 5-6 FEET</t>
  </si>
  <si>
    <t>FIR - FRASER 5-6 FEET</t>
  </si>
  <si>
    <t>FIR - WHITE 5-6 FEET</t>
  </si>
  <si>
    <t>HEMLOCK - CANADA 2-3 FEET</t>
  </si>
  <si>
    <t>HEMLOCK - CANADA 5-6 FEET</t>
  </si>
  <si>
    <t>HEMLOCK - CANADA 8-10 FEET</t>
  </si>
  <si>
    <t>HEMLOCK - CAROLINA 4-5 FEET</t>
  </si>
  <si>
    <t>PINE - AUSTRIAN 5-6 FEET</t>
  </si>
  <si>
    <t>PINE - AUSTRIAN 8-10 FEET</t>
  </si>
  <si>
    <t>PINE - JAPANESE BLACK 5-6 FEET</t>
  </si>
  <si>
    <t>PINE - JAPANESE BLACK 8-10 FEET</t>
  </si>
  <si>
    <t>PINE - JAPANESE UMBRELLA 6-7 FEET</t>
  </si>
  <si>
    <t>PINE - RED 5-6 FEET</t>
  </si>
  <si>
    <t>PINE - RED 8-10 FEET</t>
  </si>
  <si>
    <t>PINE - SCOTCH 5-6 FEET</t>
  </si>
  <si>
    <t>PINE - SWISS STONE 5-6 FEET</t>
  </si>
  <si>
    <t>PINE - WHITE 10-12 FEET</t>
  </si>
  <si>
    <t>SPRUCE - COLORADO GREEN 5-6 FEET</t>
  </si>
  <si>
    <t>SPRUCE - NORWAY 8-10 FEET</t>
  </si>
  <si>
    <t>SPRUCE - SERBIAN 8-10 FEET</t>
  </si>
  <si>
    <t>SPRUCE - WHITE 7-8 FEET</t>
  </si>
  <si>
    <t>ASH - GREEN 8-10 FEET</t>
  </si>
  <si>
    <t>ASH - GREEN 2.5-3 INCH CALIPER</t>
  </si>
  <si>
    <t>ASH - GREEN 3-3.5 INCH CALIPER</t>
  </si>
  <si>
    <t>ASH - WHITE 8-10 FEET</t>
  </si>
  <si>
    <t>ASH - WHITE 2-2.5 INCH CALIPER</t>
  </si>
  <si>
    <t>ASH - WHITE 3-3.5 INCH CALIPER</t>
  </si>
  <si>
    <t>BEECH - AMERICAN 2-2.5 INCH CALIPER</t>
  </si>
  <si>
    <t>BEECH - AMERICAN 3-3.5 INCH CALIPER</t>
  </si>
  <si>
    <t>BEECH - COPPER 2-2.5 INCH CALIPER</t>
  </si>
  <si>
    <t>BEECH - COPPER 3 - 3.5 INCH CALIPER</t>
  </si>
  <si>
    <t>BEECH - RIVER'S PURPLE 2-2.5 INCH CALIPER</t>
  </si>
  <si>
    <t>BEECH - RIVER'S PURPLE 3-3.5 INCH CALIPER</t>
  </si>
  <si>
    <t>BUTTERNUT 8-10 FEET</t>
  </si>
  <si>
    <t>CHESTNUT - SWEETHEART 8-10 FEET</t>
  </si>
  <si>
    <t>ELM - CAMPERDOWN 3-3.5 INCH CALIPER</t>
  </si>
  <si>
    <t>HICKORY - SHAGBARK 8-10 FEET</t>
  </si>
  <si>
    <t>HOPHORNBEAM - AMERICAN 8-10 FEET</t>
  </si>
  <si>
    <t>HORNBEAM - AMERICAN 8-10 FEET</t>
  </si>
  <si>
    <t>HORNBEAM - AMERICAN 3-3.5 INCH CALIPER</t>
  </si>
  <si>
    <t>HORNBEAM - EUROPEAN 8-10 FEET</t>
  </si>
  <si>
    <t>HORNBEAM - EUROPEAN 2-2.5 INCH CALIPER</t>
  </si>
  <si>
    <t>HORNBEAM - FASTIGIATE 2.5-3 INCH CALIPER</t>
  </si>
  <si>
    <t>JAPANESE SNOWBELL TREE 5-6 FEET</t>
  </si>
  <si>
    <t>JAPANESE SNOWBELL TREE 1.5-2 INCH CALIPER</t>
  </si>
  <si>
    <t>KATSURA TREE 2-2.5 INCH CALIPER</t>
  </si>
  <si>
    <t>KATSURA TREE 3-3.5 INCH CALIPER</t>
  </si>
  <si>
    <t>LARCH - EUROPEAN 2-2.5 INCH CALIPER</t>
  </si>
  <si>
    <t>LARCH - EUROPEAN 3-3.5 INCH CALIPER</t>
  </si>
  <si>
    <t>LARCH - JAPANESE 1.5-2 INCH CALIPER</t>
  </si>
  <si>
    <t>LARCH - JAPANESE 3-3.5 INCH CALIPER</t>
  </si>
  <si>
    <t>LINDEN - AMERICAN 2-2.5 INCH CALIPER</t>
  </si>
  <si>
    <t>LINDEN - AMERICAN 3-3.5 INCH CALIPER</t>
  </si>
  <si>
    <t>LINDEN - LITTLE LEAF 3-3.5 INCH CALIPER</t>
  </si>
  <si>
    <t>LINDEN - SILVER 2-2.5 INCH CALIPER</t>
  </si>
  <si>
    <t>LINDEN - SILVER 3-3.5 INCH CALIPER</t>
  </si>
  <si>
    <t>LOCUST - HONEY - 'SKYLINE' 3-3.5 INCH CALIPER</t>
  </si>
  <si>
    <t>MAPLE - AMUR 5-6 FEET</t>
  </si>
  <si>
    <t>MAPLE - AMUR 10-12 FEET</t>
  </si>
  <si>
    <t>MAPLE - HEDGE 2-2.5 INCH CALIPER</t>
  </si>
  <si>
    <t>MAPLE - HEDGE 3-3.5 INCH CALIPER</t>
  </si>
  <si>
    <t>MAPLE - JAPANESE CUTLEAF - 'EVER RED' 3.5-4 FOOT SPREAD</t>
  </si>
  <si>
    <t>MAPLE - JAPANESE - GREEN CUTLEAF 3.5-4 FOOT SPREAD</t>
  </si>
  <si>
    <t>MAPLE - PAPERBARK 2-2.5 INCH CALIPER</t>
  </si>
  <si>
    <t>MAPLE - PAPERBARK 3-3.5 INCH CALIPER</t>
  </si>
  <si>
    <t>MAPLE - RED - 'ARMSTRONG' 2.5-3 INCH CALIPER</t>
  </si>
  <si>
    <t>MAPLE - RED - 'ARMSTRONG' 3-3.5 INCH CALIPER</t>
  </si>
  <si>
    <t>MAPLE - RED - 'OCTOBER GLORY' 8-10 FEET</t>
  </si>
  <si>
    <t>MAPLE - RED - 'OCTOBER GLORY' 3-3.5 INCH CALIPER</t>
  </si>
  <si>
    <t>MAPLE - RED - 'RED SUNSET' 3-3.5 INCH CALIPER</t>
  </si>
  <si>
    <t>MAPLE - SILVER 2-2.5 INCHES CALIPER</t>
  </si>
  <si>
    <t>MAPLE - SUGAR 3-3.5 INCHES CALIPER</t>
  </si>
  <si>
    <t>MAPLE - SUGAR - 'GREEN MOUNTAIN' 2-2.5 INCH CALIPER</t>
  </si>
  <si>
    <t>MAPLE - SUGAR - 'GREEN MOUNTAIN' 3-3.5 INCH CALIPER</t>
  </si>
  <si>
    <t>MAPLE - SUGAR - 'LEGACY' 3-3.5 INCH CALIPER</t>
  </si>
  <si>
    <t>MAPLE - SUGAR - COLUMNAR 2-2.5 INCH CALIPER</t>
  </si>
  <si>
    <t>MAPLE - SUGAR - COLUMNAR 2.5-3 INCH CALIPER</t>
  </si>
  <si>
    <t>MAPLE - SYCAMORE 3-3.5 INCH CALIPER</t>
  </si>
  <si>
    <t>OAK - BLACK 1.5-2 INCH CALIPER</t>
  </si>
  <si>
    <t>OAK - BLACK 2-2.5 INCH CALIPER</t>
  </si>
  <si>
    <t>OAK - BUR 1.5-2 INCH CALIPER</t>
  </si>
  <si>
    <t>OAK - BUR 2-2.5 INCH CALIPER</t>
  </si>
  <si>
    <t>OAK - CHESTNUT 1.5-2 INCH CALIPER</t>
  </si>
  <si>
    <t>OAK - CHESTNUT 2-2.5 INCH CALIPER</t>
  </si>
  <si>
    <t>OAK - ENGLISH 2-2.5 INCH CALIPER</t>
  </si>
  <si>
    <t>OAK - NORTHERN RED 2.5-3 INCH CALIPER</t>
  </si>
  <si>
    <t>OAK - NORTHERN RED 3-3.5 INCH CALIPER</t>
  </si>
  <si>
    <t>OAK - PIN 3-3.5 INCH CALIPER</t>
  </si>
  <si>
    <t>OAK - PYRAMIDAL ENGLISH 1.5-2 INCH CALIPER</t>
  </si>
  <si>
    <t>OAK - PYRAMIDAL ENGLISH 2.5-3 INCH CALIPER</t>
  </si>
  <si>
    <t>OAK - SCARLET 10-12 FEET</t>
  </si>
  <si>
    <t>OAK - SCARLET 2-2.5 INCH CALIPER</t>
  </si>
  <si>
    <t>OAK - WHITE 1.5-2 INCH CALIPER</t>
  </si>
  <si>
    <t>OAK - WHITE 2.5-3 INCH CALIPER</t>
  </si>
  <si>
    <t>OAK - WILLOW 2.5-3 INCH CALIPER</t>
  </si>
  <si>
    <t>PLANETREE - AMERICAN 8-10 FEET</t>
  </si>
  <si>
    <t>PLANETREE - AMERICAN 3-3.5 INCH CALIPER</t>
  </si>
  <si>
    <t>PLANETREE - LONDON 8-10 FEET</t>
  </si>
  <si>
    <t>PLANETREE - LONDON 3-3.5 INCH CALIPER</t>
  </si>
  <si>
    <t>POPLAR - EASTERN 2-2.5 INCH CALIPER</t>
  </si>
  <si>
    <t>POPLAR - BOLLEANA 2-2.5 INCH CALIPER</t>
  </si>
  <si>
    <t>SWEETGUM 3-3.5 INCH CALIPER</t>
  </si>
  <si>
    <t>WALNUT - EASTERN BLACK 6-8 FEET</t>
  </si>
  <si>
    <t>WILLOW - YELLOW WEEPING 8-10 FEET</t>
  </si>
  <si>
    <t>WILLOW - YELLOW WEEPING 2-2.5 INCH CALIPER</t>
  </si>
  <si>
    <t>WILLOW - YELLOW WEEPING 2.5-3 INCH CALIPER</t>
  </si>
  <si>
    <t>WILLOW - YELLOW WEEPING 3-3.5 INCH CALIPER</t>
  </si>
  <si>
    <t>ASPEN - QUAKING 8-10 FEET</t>
  </si>
  <si>
    <t>ASPEN - QUAKING 2-2.5 INCH CALIPER</t>
  </si>
  <si>
    <t>BIRCH - PAPER 1.5-2 INCH CALIPER</t>
  </si>
  <si>
    <t>BIRCH - PAPER 2.5-3 INCH CALIPER</t>
  </si>
  <si>
    <t>BIRCH - PAPER 6-8 FOOT CLUMP</t>
  </si>
  <si>
    <t>BIRCH - PAPER 10-12 FOOT CLUMP</t>
  </si>
  <si>
    <t>BIRCH - WHITE EUROPEAN 10-12 FEET</t>
  </si>
  <si>
    <t>BIRCH - EUROPEAN - SINGLE STEM 1.5-2 INCH CALIPER</t>
  </si>
  <si>
    <t>BIRCH - EUROPEAN - SINGLE STEM 2.5-3 INCH CALIPER</t>
  </si>
  <si>
    <t>BIRCH - WHITESPIRE JAPANESE 2.5-3 INCH CALIPER</t>
  </si>
  <si>
    <t>BIRCH - WHITESPIRE JAPANESE 12-14 FOOT CLUMP</t>
  </si>
  <si>
    <t>CAROLINA SILVERBELL 1.5-2 INCH CALIPER</t>
  </si>
  <si>
    <t>CAROLINA SILVERBELL 2.5-3 INCH CALIPER</t>
  </si>
  <si>
    <t>CHERRY - AUTUMN FLOWERING 1.5-2 INCH CALIPER</t>
  </si>
  <si>
    <t>CHERRY - AUTUMN FLOWERING 2.5-3 INCH CALIPER</t>
  </si>
  <si>
    <t>CHERRY - BLACK 8-10 FEET</t>
  </si>
  <si>
    <t>CHERRY - BLACK 1.5-2 INCH CALIPER</t>
  </si>
  <si>
    <t>CHERRY - CHOKE 'SHUBERT' 1.5-2 INCH CALIPER</t>
  </si>
  <si>
    <t>CHERRY - CHOKE 'SHUBERT' 2.5-3 INCH CALIPER</t>
  </si>
  <si>
    <t>CHERRY - HIGAN - WEEPING 1.5-2 INCH CALIPER</t>
  </si>
  <si>
    <t>CHERRY - HIGAN - WEEPING 2.5-3 INCH CALIPER</t>
  </si>
  <si>
    <t>CHERRY - KWANZAN 1.5-2 INCH CALIPER</t>
  </si>
  <si>
    <t>CHERRY - KWANZAN 2.5-3 INCH CALIPER</t>
  </si>
  <si>
    <t>CHERRY - MT. FUJI 1.5-2 INCH CALIPER</t>
  </si>
  <si>
    <t>CHERRY - MT. FUJI 2.5-3 INCH CALIPER</t>
  </si>
  <si>
    <t>CHERRY - SARGENT 2.5-3 INCH CALIPER</t>
  </si>
  <si>
    <t>CHERRY - SARGENT COLUMNAR 1.5-2 INCH CALIPER</t>
  </si>
  <si>
    <t>CHERRY - SARGENT COLUMNAR 2.5-3 INCH CALIPER</t>
  </si>
  <si>
    <t>CHERRY - YOSHINO 1.5-2 INCH CALIPER</t>
  </si>
  <si>
    <t>CHERRY - YOSHINO 2.5-3 INCH CALIPER</t>
  </si>
  <si>
    <t>CORK - AMUR 8-10 FEET</t>
  </si>
  <si>
    <t>CORNELIANCHERRY 6-8 FEET</t>
  </si>
  <si>
    <t>CORNELIANCHERRY 1.5-2 INCH CALIPER</t>
  </si>
  <si>
    <t>CRABAPPLE - 'CENTURION' 1.5-2 INCH CALIPER</t>
  </si>
  <si>
    <t>CRABAPPLE - 'DONALD WYMAN' 1.5-2 INCH CALIPER</t>
  </si>
  <si>
    <t>CRABAPPLE - 'DONALD WYMAN' 2.5-3 INCH CALIPER</t>
  </si>
  <si>
    <t>CRABAPPLE - 'PINK PERFECTION' 1.5-2 INCH CALIPER</t>
  </si>
  <si>
    <t>CRABAPPLE - 'PINK PERFECTION' 2.5-3 INCH CALIPER</t>
  </si>
  <si>
    <t>CRABAPPLE - 'RADIANT' 1.5-2 INCH CALIPER</t>
  </si>
  <si>
    <t>CRABAPPLE - 'RADIANT' 2.5-3 INCH CALIPER</t>
  </si>
  <si>
    <t>CRABAPPLE - 'RED JADE' - WEEPING 2.5-3 INCH CALIPER</t>
  </si>
  <si>
    <t>CRABAPPLE - 'SNOWDRIFT' 1.5-2 INCH CALIPER</t>
  </si>
  <si>
    <t>CRABAPPLE - 'SNOWDRIFT' 2.5-3 INCH CALIPER</t>
  </si>
  <si>
    <t>CRABAPPLE - 'ZUMI' 2.5-3 INCH CALIPER</t>
  </si>
  <si>
    <t>DOGWOOD - JAPANESE CLUMP 6-8 FEET</t>
  </si>
  <si>
    <t>DOGWOOD - JAPANESE CLUMP 10-12 FEET</t>
  </si>
  <si>
    <t>DOGWOOD - JAPANESE SINGLE STEM 2-2.5 INCH CALIPER</t>
  </si>
  <si>
    <t>DOGWOOD - JAPANESE SINGLE STEM 2.5-3 INCH CALIPER</t>
  </si>
  <si>
    <t>DOGWOOD - PINK 'RUBRA' 2-2.5 INCH CALIPER</t>
  </si>
  <si>
    <t>DOGWOOD - PINK 'RUBRA' 3-3.5 INCH CALIPER</t>
  </si>
  <si>
    <t>DOGWOOD - 'CHEROKEE CHIEF' 2-2.5 INCH CALIPER</t>
  </si>
  <si>
    <t>DOGWOOD - 'CHEROKEE CHIEF' 3-3.5 INCH CALIPER</t>
  </si>
  <si>
    <t>DOGWOOD - 'CHEROKEE PRINCESS' 2-2.5 INCH CALIPER</t>
  </si>
  <si>
    <t>DOGWOOD - 'CHEROKEE PRINCESS' 3-3.5 INCH CALIPER</t>
  </si>
  <si>
    <t>DOGWOOD - KOUSA 6-8 FEET</t>
  </si>
  <si>
    <t>FRINGE TREE 6-8 FEET</t>
  </si>
  <si>
    <t>GOLDENCHAIN - FLOWERING 6-8 FEET</t>
  </si>
  <si>
    <t>GOLDENRAIN TREE 6-8 FEET</t>
  </si>
  <si>
    <t>GOLDENRAIN TREE 2.5-3 INCH CALIPER</t>
  </si>
  <si>
    <t>HACKBERRY TREE 2-2.5 INCH CALIPER</t>
  </si>
  <si>
    <t>HAWTHORN - 'CRIMSON CLOUD' 1.5-2 INCH CALIPER</t>
  </si>
  <si>
    <t>HAWTHORN - 'CRIMSON CLOUD' 2.5-3 INCH CALIPER</t>
  </si>
  <si>
    <t>HAWTHORN - 'WINTER KING' 1.5-2 INCH CALIPER</t>
  </si>
  <si>
    <t>HAWTHORN - LAVALLE 1.5-2 INCH CALIPER</t>
  </si>
  <si>
    <t>HAWTHORN - LAVALLE 2.5-3 INCH CALIPER</t>
  </si>
  <si>
    <t>HAWTHORN - WASHINGTON CLUMP 8-10 FOOT CLUMP</t>
  </si>
  <si>
    <t>HAWTHORN - WASHINGTON CLUMP 10-12 FOOT CLUMP</t>
  </si>
  <si>
    <t>HORSECHESTNUT - BAUMAN'S 2-2.5 INCH CALIPER</t>
  </si>
  <si>
    <t>HORSECHESTNUT - BAUMAN'S 3-3.5 INCH CALIPER</t>
  </si>
  <si>
    <t>HORSECHESTNUT - RED 1.5-2 INCH CALIPER</t>
  </si>
  <si>
    <t>HORSECHESTNUT - RED 2.5-3 INCH CALIPER</t>
  </si>
  <si>
    <t>LILAC TREE - JAPANESE CLUMP 6-8 FOOT CLUMP</t>
  </si>
  <si>
    <t>LILAC TREE - JAPANESE CLUMP 8-10 FOOT CLUMP</t>
  </si>
  <si>
    <t>MAGNOLIA TREE - 'MERRILL' 8-10 FEET</t>
  </si>
  <si>
    <t>MAGNOLIA TREE - SAUCER 5-6 FEET</t>
  </si>
  <si>
    <t>MAGNOLIA TREE - SAUCER 8-10 FEET</t>
  </si>
  <si>
    <t>MAGNOLIA TREE - STAR 6-7 FEET</t>
  </si>
  <si>
    <t>MAGNOLIA TREE - STAR 8-10 FEET</t>
  </si>
  <si>
    <t>MAGNOLIA TREE - SWEETBAY 5-6 FEET</t>
  </si>
  <si>
    <t>MAGNOLIA TREE - SWEETBAY 7-8 FEET</t>
  </si>
  <si>
    <t>MAIDENHAIR TREE 3-3.5 INCH CALIPER</t>
  </si>
  <si>
    <t>MOUNTAIN ASH - EUROPEAN 6-8 FEET</t>
  </si>
  <si>
    <t>MOUNTAIN ASH - EUROPEAN 2-2.5 INCH CALIPER</t>
  </si>
  <si>
    <t>MOUNTAIN ASH - EUROPEAN 3-3.5 INCH CALIPER</t>
  </si>
  <si>
    <t>MOUNTAIN ASH - KOREAN 1.5-2 INCH CALIPER</t>
  </si>
  <si>
    <t>MOUNTAIN ASH - KOREAN 2.5-3 INCH CALIPER</t>
  </si>
  <si>
    <t>OHIO BUCKEYE 2-2.5 INCH CALIPER</t>
  </si>
  <si>
    <t>OHIO BUCKEYE 3-3.5 INCH CALIPER</t>
  </si>
  <si>
    <t>PAGODA TREE - 'REGENT' 2-2.5 INCH CALIPER</t>
  </si>
  <si>
    <t>PAGODA TREE - 'REGENT' 3-3.5 INCH CALIPER</t>
  </si>
  <si>
    <t>PEAR - CALLERY - 'ARISTOCRAT' 2-2.5 INCH CALIPER</t>
  </si>
  <si>
    <t>PEAR - CALLERY - 'ARISTOCRAT' 3-3.5 INCH CALIPER</t>
  </si>
  <si>
    <t>PEAR - CALLERY - 'BRADFORD' 2-2.5 INCH CALIPER</t>
  </si>
  <si>
    <t>PEAR - CALLERY - 'BRADFORD' 3-3.5 INCH CALIPER</t>
  </si>
  <si>
    <t>PEAR - CALLERY - 'CHANTICLEER' 3-3.5 INCH CALIPER</t>
  </si>
  <si>
    <t>PLUM TREE - 'NEWPORT' 1.5-2 INCH CALIPER</t>
  </si>
  <si>
    <t>PLUM TREE - 'NEWPORT' 2.5-3 INCH CALIPER</t>
  </si>
  <si>
    <t>PLUM TREE - 'THUNDERCLOUD' 1.5-2 INCH CALIPER</t>
  </si>
  <si>
    <t>PLUM TREE - 'THUNDERCLOUD' 2.5-3 INCH CALIPER</t>
  </si>
  <si>
    <t>REDBUD - EASTERN 2.5-3 INCH CALIPER</t>
  </si>
  <si>
    <t>REDWOOD - DAWN  2-2.5 INCH CALIPER</t>
  </si>
  <si>
    <t>SHAD TREE - ALLEGHENY CLUMP 4-5 FEET</t>
  </si>
  <si>
    <t>SHAD TREE - ALLEGHENY CLUMP 8-10 FEET</t>
  </si>
  <si>
    <t>SHAD TREE - DOWNY 6-8 FEET</t>
  </si>
  <si>
    <t>SOURWOOD 1.5-2 INCH CALIPER</t>
  </si>
  <si>
    <t>SOURWOOD 2.5-3 INCH CALIPER</t>
  </si>
  <si>
    <t>STEWARTIA 7-8 FEET</t>
  </si>
  <si>
    <t>TULIP TREE 3-3.5 INCH CALIPER</t>
  </si>
  <si>
    <t>YELLOWWOOD 1.5-2 INCH CALIPER</t>
  </si>
  <si>
    <t>YELLOWWOOD 2-2.5 INCH CALIPER</t>
  </si>
  <si>
    <t>ZELKOVA - 'GREEN VASE' 2.5-3 INCH CALIPER</t>
  </si>
  <si>
    <t>ZELKOVA - 'VILLAGE GREEN' 2-2.5 INCH CALIPER</t>
  </si>
  <si>
    <t>ABELIA SHRUB - GLOSSY 15-18 INCH</t>
  </si>
  <si>
    <t>ABELIA SHRUB - GLOSSY 2-3 FEET</t>
  </si>
  <si>
    <t>BOG ROSEMARY 1 GALLON</t>
  </si>
  <si>
    <t>BOXWOOD - COMMON 18-24 INCH</t>
  </si>
  <si>
    <t>BOXWOOD - COMMON 3-4 FEET</t>
  </si>
  <si>
    <t>BOXWOOD - 'GREEN MOUNTAIN' 18-24 INCH</t>
  </si>
  <si>
    <t>EUONYMOUS - 'EMERALD GAIETY' 1 GALLON</t>
  </si>
  <si>
    <t>EUONYMOUS - 'KEWENSIS' 1 GALLON</t>
  </si>
  <si>
    <t>EUONYMOUS - UPRIGHT WINTERCREEPER 2-3 FEET</t>
  </si>
  <si>
    <t>HEATHER - COMMON 2 GALLON</t>
  </si>
  <si>
    <t>HEATHER - 'MAIRES' 2 GALLON</t>
  </si>
  <si>
    <t>HEATHER - 'SPRING CREAM' 2 GALLON</t>
  </si>
  <si>
    <t>HEMLOCK - WEEPING 2-3 FOOT SPREAD</t>
  </si>
  <si>
    <t>HOLLY - AMERICAN MALE 6-7 FEET</t>
  </si>
  <si>
    <t>HOLLY - AMERICAN FEMALE 6-7 FEET</t>
  </si>
  <si>
    <t>HOLLY - 'BLUE PRINCE' 18-24 INCH</t>
  </si>
  <si>
    <t>HOLLY - 'BLUE PRINCE' 2-3 FEET</t>
  </si>
  <si>
    <t>HOLLY - 'BLUE PRINCESS' 18-24 INCH</t>
  </si>
  <si>
    <t>HOLLY - 'BLUE PRINCESS' 2-3 FEET</t>
  </si>
  <si>
    <t>HOLLY - 'CHINA BOY' 18-24 INCH</t>
  </si>
  <si>
    <t>HOLLY - 'CHINA BOY' 2-3 FEET</t>
  </si>
  <si>
    <t>HOLLY - 'CHINA GIRL' 18-24 INCH</t>
  </si>
  <si>
    <t>HOLLY - 'CHINA GIRL' 2-3 FEET</t>
  </si>
  <si>
    <t>HOLLY - JAPANESE COMPACT 18-24 INCH</t>
  </si>
  <si>
    <t>HOLLY - JAPANESE COMPACT 24-30 INCH</t>
  </si>
  <si>
    <t>HOLLY - JAPANESE CONVEXA 18-24 INCH</t>
  </si>
  <si>
    <t>HOLLY - JAPANESE CONVEXA 24-30 INCH</t>
  </si>
  <si>
    <t>HOLLY - JAPANESE-'HELLER' 18-24 INCH</t>
  </si>
  <si>
    <t>HOLLY - JAPANESE - 'HELLER' 24-30 INCH</t>
  </si>
  <si>
    <t>HOLLY - JAPANESE - 'HETZ' 18-24 INCH</t>
  </si>
  <si>
    <t>HOLLY - LONGSTALK MALE 2-3 FEET</t>
  </si>
  <si>
    <t>HOLLY - LONGSTALK FEMALE 2-3 FEET</t>
  </si>
  <si>
    <t>HOLLY - OREGON GRAPE COMPACT 15-18 INCH</t>
  </si>
  <si>
    <t>HOLLY - OREGON GRAPE COMPACT 18-24 INCH</t>
  </si>
  <si>
    <t>INKBERRY 18-24 INCH</t>
  </si>
  <si>
    <t>JUNIPER - ANDORRA 12-15 INCH</t>
  </si>
  <si>
    <t>JUNIPER - BAR HARBOR 12-15 INCH</t>
  </si>
  <si>
    <t>JUNIPER - 'BLUE HAVEN' 18-24 INCH</t>
  </si>
  <si>
    <t>JUNIPER - 'BLUE HAVEN' 2.5-3 FEET</t>
  </si>
  <si>
    <t>JUNIPER - 'GREY OWL' 2 GALLON</t>
  </si>
  <si>
    <t>JUNIPER - 'GREY OWL' 3 GALLON</t>
  </si>
  <si>
    <t>JUNIPER - HETZ 15-18 INCH</t>
  </si>
  <si>
    <t>JUNIPER - HETZ 18-24 INCH</t>
  </si>
  <si>
    <t>JUNIPER - 'MINT JULEP' 15-18 INCH</t>
  </si>
  <si>
    <t>JUNIPER - 'MINT JULEP' 24-30 INCH</t>
  </si>
  <si>
    <t>JUNIPER - PFITZER 15-18 INCH</t>
  </si>
  <si>
    <t>JUNIPER - PFITZER 24-30 INCH</t>
  </si>
  <si>
    <t>JUNIPER - PFITZER COMPACT 15-18 INCH</t>
  </si>
  <si>
    <t>JUNIPER - PFITZER COMPACT 24-30 INCH</t>
  </si>
  <si>
    <t>JUNIPER - SARGENT'S GREEN 15-18 INCH</t>
  </si>
  <si>
    <t>JUNIPER - 'SEA GREEN' 2.5-3 FEET</t>
  </si>
  <si>
    <t>LEUCOTHOE  - COAST 18-24 INCH</t>
  </si>
  <si>
    <t>LEUCOTHOE - COMPACT DROOPING 18-24 INCH</t>
  </si>
  <si>
    <t>MOUNTAIN LAUREL 24-30 INCH</t>
  </si>
  <si>
    <t>MOUNTAIN LAUREL 3-4 FEET</t>
  </si>
  <si>
    <t>PINE SHRUB - MUGO 18-24 INCH</t>
  </si>
  <si>
    <t>PINE - MUGO DWARF 12-15 INCHES</t>
  </si>
  <si>
    <t>RHODO - 'BOULE DE NEIGE' 18-24 INCH</t>
  </si>
  <si>
    <t>RHODO - 'BOULE DE NEIGE' 24-30 INCH</t>
  </si>
  <si>
    <t>RHODO - CAROLINA 18-24 INCH</t>
  </si>
  <si>
    <t>RHODO - CAROLINA 24-30 INCH</t>
  </si>
  <si>
    <t>RHODO - 'CHIONOIDES' 18-24 INCH</t>
  </si>
  <si>
    <t>RHODO - 'CHIONOIDES' 24-30 INCH</t>
  </si>
  <si>
    <t>RHODO - CUNNINGHAM WHITE 18-24 INCH</t>
  </si>
  <si>
    <t>RHODO - CUNNINGHAM WHITE 24-30 INCH</t>
  </si>
  <si>
    <t>RHODO - ENGLISH ROSEUM 18-24 INCH</t>
  </si>
  <si>
    <t>RHODO - ENGLISH ROSEUM 24-30 INCH</t>
  </si>
  <si>
    <t>RHODO - NOVA ZEMBLA 18-24 INCH</t>
  </si>
  <si>
    <t>RHODO - NOVA ZEMBLA 24-30 INCH</t>
  </si>
  <si>
    <t>RHODO - PJM 18-24 INCH</t>
  </si>
  <si>
    <t>RHODO - PJM 24-30 INCH</t>
  </si>
  <si>
    <t>RHODO - 'PJM AGLO' 18-24 INCH</t>
  </si>
  <si>
    <t>RHODO - 'PJM AGLO' 24-30 INCH</t>
  </si>
  <si>
    <t>RHODO - 'PJM OLGA' 18-24 INCH</t>
  </si>
  <si>
    <t>RHODO - 'PJM OLGA' 24-30 INCH</t>
  </si>
  <si>
    <t>RHODO - ROSEBAY 18-24 INCH</t>
  </si>
  <si>
    <t>RHODO - ROSEBAY 24-30 INCH</t>
  </si>
  <si>
    <t>RHODO - 'ROSEUM ELEGANS' 18-24 INCH</t>
  </si>
  <si>
    <t>RHODO - 'ROSEUM ELEGANS' 24-30 INCH</t>
  </si>
  <si>
    <t>RHODO - WILSON 15-18 INCH</t>
  </si>
  <si>
    <t>RHODO - WILSON 18-21 INCH</t>
  </si>
  <si>
    <t>RHODO - YAKU 'PRINCE' 12-15 INCHES</t>
  </si>
  <si>
    <t>RHODO - YAKU 'PRINCESS' 12-15 INCHES</t>
  </si>
  <si>
    <t>SPRUCE - BIRD'S NEST 18-24 INCH SPREAD</t>
  </si>
  <si>
    <t>YEW - COLUMNAR ENGLISH 3-4 FEET</t>
  </si>
  <si>
    <t>YEW - HATFIELD 18-24 INCH</t>
  </si>
  <si>
    <t>YEW - HATFIELD 2-3 FEET</t>
  </si>
  <si>
    <t>YEW - HICK'S 18-24 INCH HEAVY</t>
  </si>
  <si>
    <t>YEW - HICK'S 30-36 INCH</t>
  </si>
  <si>
    <t>YEW - SPREADING DENSE 18-24 INCH HEAVY</t>
  </si>
  <si>
    <t>YEW - SPREADING JAPANESE 15-18 INCH</t>
  </si>
  <si>
    <t>YEW - SPREADING JAPANESE 18-24 INCH</t>
  </si>
  <si>
    <t>YEW - UPRIGHT JAPANESE 15-18 INCH</t>
  </si>
  <si>
    <t>YEW - UPRIGHT JAPANESE 18-24 INCH</t>
  </si>
  <si>
    <t>ARALIA - FIVELEAF 18-24 INCH</t>
  </si>
  <si>
    <t>ARALIA - FIVELEAF 2-3 FEET</t>
  </si>
  <si>
    <t>AZALEA - 'BLAAUW'S PINK' 18-24 INCHES</t>
  </si>
  <si>
    <t>AZALEA - 'CORAL BELLS' 18-24 INCHES</t>
  </si>
  <si>
    <t>AZALEA - CORNELL PINK 18-24 INCH</t>
  </si>
  <si>
    <t>AZALEA - 'DEL VALLEY WHITE' 18-24 INCH</t>
  </si>
  <si>
    <t>AZALEA - 'ELIZABETH GABLE' 18-24 INCH</t>
  </si>
  <si>
    <t>AZALEA - 'GIRARD'S ROSE' 18-24 INCH</t>
  </si>
  <si>
    <t>AZALEA - 'HINO CRIMSON' 18-24 INCH</t>
  </si>
  <si>
    <t>AZALEA - KOREAN COMPACT 18-24 INCH</t>
  </si>
  <si>
    <t>AZALEA - 'MOTHER'S DAY' 18-24 INCH</t>
  </si>
  <si>
    <t>AZALEA - PINKSHELL 18-24 INCH</t>
  </si>
  <si>
    <t>AZALEA - 'ROEHR'S TRADITION' 18-24 INCH</t>
  </si>
  <si>
    <t>AZALEA - 'ROSEBUD' 18-24 INCH</t>
  </si>
  <si>
    <t>AZALEA - ROYAL 18-24 INCH</t>
  </si>
  <si>
    <t>AZALEA - 'SALMON SPRAY' 18-24 INCH</t>
  </si>
  <si>
    <t>AZALEA - 'STEWARTSONIAN' 18-24 INCH</t>
  </si>
  <si>
    <t>AZALEA - SWAMP 18-24 INCH</t>
  </si>
  <si>
    <t>AZALEA - SWAMP 2-3 FEET</t>
  </si>
  <si>
    <t>BAYBERRY SHRUB - NORTHERN 15-18 INCH</t>
  </si>
  <si>
    <t>BAYBERRY SHRUB - NORTHERN 18-24 INCH</t>
  </si>
  <si>
    <t>BEACH PLUM SHRUB 18-24 INCH</t>
  </si>
  <si>
    <t>BEACH PLUM SHRUB 2-3 FEET</t>
  </si>
  <si>
    <t>BLUEBERRY - HIGHBUSH 18-24 INCH</t>
  </si>
  <si>
    <t>BLUEBERRY - LOWBUSH 6-9 INCH HEIGHT</t>
  </si>
  <si>
    <t>BUCKEYE - BOTTLEBRUSH 2-3 FEET</t>
  </si>
  <si>
    <t>BUTTERFLY BUSH 24-36 INCHES</t>
  </si>
  <si>
    <t>CINQUEFOIL - ABBOTSWOOD 2-3 FEET</t>
  </si>
  <si>
    <t>CINQUEFOIL - JACKMAN'S 12-15 INCHES</t>
  </si>
  <si>
    <t>CINQUEFOIL - JACKMAN'S 2-3 FEET</t>
  </si>
  <si>
    <t>CINQUEFOIL - KATHERINE DYKES 2-3 FEET</t>
  </si>
  <si>
    <t>CORALBERRY SHRUB 2-3 FEET</t>
  </si>
  <si>
    <t>CORALBERRY SHRUB-CHENAULT 2-3 FEET</t>
  </si>
  <si>
    <t>CORNELIANCHERRY 18-24 INCH</t>
  </si>
  <si>
    <t>CORNELIANCHERRY 2-3 FEET</t>
  </si>
  <si>
    <t>COTONEASTER - CRANBERRY 18-24 INCH</t>
  </si>
  <si>
    <t>COTONEASTER - ROCKSPRAY 18-24 INCH</t>
  </si>
  <si>
    <t>COTONEASTER - SPREADING 18-24 INCH</t>
  </si>
  <si>
    <t>CRANBERRY BUSH - AMERICAN 2-3 FEET</t>
  </si>
  <si>
    <t>CRANBERRY - DWARF 12-15 INCH SPREAD</t>
  </si>
  <si>
    <t>DOGWOOD - GRAY TWIG 2-3 FEET</t>
  </si>
  <si>
    <t>DOGWOOD - REDOSIER 18-24 INCH</t>
  </si>
  <si>
    <t>DOGWOOD - REDOSIER 2-3 FEET</t>
  </si>
  <si>
    <t>DOGWOOD - SIBERIAN 2-3 FEET</t>
  </si>
  <si>
    <t>DOGWOOD - YELLOW TWIG 2-3 FEET</t>
  </si>
  <si>
    <t>ELDERBERRY 2-3 FEET</t>
  </si>
  <si>
    <t>FIRETHORN - LALAND 2-3 FEET</t>
  </si>
  <si>
    <t>FORSYTHIA - 'ARNOLD DWARF' 15-24 INCH</t>
  </si>
  <si>
    <t>FORSYTHIA - 'LYNWOOD GOLD' 3-4 FEET</t>
  </si>
  <si>
    <t>FORSYTHIA - 'SPECTABILIS' 3-4 FEET</t>
  </si>
  <si>
    <t>FORSYTHIA - WEEPING 18-24 INCHES</t>
  </si>
  <si>
    <t>HYDRANGEA - ANNABELLE 18-24 INCHES</t>
  </si>
  <si>
    <t>HYDRANGEA - BIGLEAF 18-24 INCHES</t>
  </si>
  <si>
    <t>HYDRANGEA - OAKLEAF 18-24 INCHES</t>
  </si>
  <si>
    <t>HYDRANGEA - PEEGEE 24-36 INCHES</t>
  </si>
  <si>
    <t>LILAC - COMMON PURPLE 3-4 FEET</t>
  </si>
  <si>
    <t>LILAC - COMMON PURPLE 4-5 FEET</t>
  </si>
  <si>
    <t>LILAC - BELLE DE NANCY 3-4 FEET</t>
  </si>
  <si>
    <t>LILAC - ELLEN WILLMONT 3-4 FEET</t>
  </si>
  <si>
    <t>LOCUST - BRISTLY 15-18 INCH</t>
  </si>
  <si>
    <t>MOCK ORANGE 'SNOWFLAKE' 2-3 FEET</t>
  </si>
  <si>
    <t>NINEBARK SHRUB - COMMON 2-3 FEET</t>
  </si>
  <si>
    <t>NINEBARK SHRUB - GOLDEN 2-3 FEET</t>
  </si>
  <si>
    <t>PRIVET - AMUR 24-30 INCH</t>
  </si>
  <si>
    <t>PRIVET - REGAL 18-24 INCH</t>
  </si>
  <si>
    <t>QUINCE - CAMEO FLOWERING 18-24 INCH SPREAD</t>
  </si>
  <si>
    <t>QUINCE - TEXAS SCARLET 2-3 FEET</t>
  </si>
  <si>
    <t>ROSE OF SHARON 'DIANA' 3-4 FEET</t>
  </si>
  <si>
    <t>ROSE OF SHARON 'LUCY' 3-4 FEET</t>
  </si>
  <si>
    <t>ROSE OF SHARON'WOODBRIDGE' 3-4 FEET</t>
  </si>
  <si>
    <t>SANDCHERRY - PURPLE LEAF 2-3 FEET</t>
  </si>
  <si>
    <t>SANDCHERRY - PURPLE LEAF 3-4 FEET</t>
  </si>
  <si>
    <t>SPICEBUSH 15-18 INCH</t>
  </si>
  <si>
    <t>SPICEBUSH 5 GALLON</t>
  </si>
  <si>
    <t>SPIREA - BRIDAL WREATH 2-3 FEET</t>
  </si>
  <si>
    <t>SPIREA - 'LITTLE PRINCES' 15-18 INCH SPREAD</t>
  </si>
  <si>
    <t>SPIREA - 'SNOWMOUND' 2-3 FEET</t>
  </si>
  <si>
    <t>SPIREA - VANHOUTTE 2-3 FEET</t>
  </si>
  <si>
    <t>SUMAC SHRUB - FRAGRANT 15-18 INCH</t>
  </si>
  <si>
    <t>SUMAC SHRUB - SHINING 18-24 INCH</t>
  </si>
  <si>
    <t>SUMAC SHRUB - SHINING 2-3 FEET</t>
  </si>
  <si>
    <t>SUMAC SHRUB - SMOOTH 18-24 INCH</t>
  </si>
  <si>
    <t>SUMAC SHRUB - SMOOTH 2-3 FEET</t>
  </si>
  <si>
    <t>SUMAC SHRUB - STAGHORN 15-18 INCH</t>
  </si>
  <si>
    <t>SUMAC SHRUB - STAGHORN 2-3 FEET</t>
  </si>
  <si>
    <t>SUMMERSWEET SHRUB 18-24 INCH</t>
  </si>
  <si>
    <t>SUMMERSWEET SHRUB 3-4 FEET</t>
  </si>
  <si>
    <t>VIBURNUM - ARROWWOOD 3-4 FEET</t>
  </si>
  <si>
    <t>VIBURNUM - BLACKHAW 24-36 INCHES</t>
  </si>
  <si>
    <t>VIBURNUM - BURKWOOD 24-36 INCHES</t>
  </si>
  <si>
    <t>VIBURNUM - CRANBERRY BUSH 3-4 FEET</t>
  </si>
  <si>
    <t>VIBURNUM - DOUBLEFILE 'MARIE'S' 24-30 INCH</t>
  </si>
  <si>
    <t>VIBURNUM - DOUBLEFILE 'MARIE'S' 3-4 FEET</t>
  </si>
  <si>
    <t>VIBURNUM - DOUBLEFILE 'SHASTA' 24-30 INCH</t>
  </si>
  <si>
    <t>VIBURNUM - DOUBLEFILE 'SHASTA' 3-4 FEET</t>
  </si>
  <si>
    <t>VIBURNUM - FRAGANT SNOWBALL 24-30 INCH</t>
  </si>
  <si>
    <t>VIBURNUM - HIGHBUSH CRANBERRY 24-30 INCHES</t>
  </si>
  <si>
    <t>VIBURNUM - HIGHBUSH CRANBERRY 3-4 FEET</t>
  </si>
  <si>
    <t>VIBURNUM - LEATHERLEAF 24-30 INCH</t>
  </si>
  <si>
    <t>VIBURNUM - LINDEN 2-3 FEET</t>
  </si>
  <si>
    <t>VIBURNUM - MAYFLOWER 24-30 INCH</t>
  </si>
  <si>
    <t>VIBURNUM - ORIENTAL 2-3 FEET</t>
  </si>
  <si>
    <t>VIBURNUM - SNOWBALL 24-30 INCH</t>
  </si>
  <si>
    <t>VIBURNUM - WITHEROD 24-30 INCH</t>
  </si>
  <si>
    <t>WEIGELA - PINK PRINCESS 24-30 INCH</t>
  </si>
  <si>
    <t>WEIGELA - RED PRINCE 24-30 INCH</t>
  </si>
  <si>
    <t>WINTERBERRY - MALE 18-24 INCH</t>
  </si>
  <si>
    <t>WINTERBERRY - FEMALE 18-24 INCH</t>
  </si>
  <si>
    <t>WITCH HAZEL 'ARNOLD PROMISE' 2-3 FEET</t>
  </si>
  <si>
    <t>WITCH HAZEL 'ARNOLD PROMISE' 3-4 FEET</t>
  </si>
  <si>
    <t>WITCH HAZEL - AUTUMN BLOOMING 2-3 FEET</t>
  </si>
  <si>
    <t>WITCH HAZEL - AUTUMN BLOOMING 3-4 FEET</t>
  </si>
  <si>
    <t>WITCH HAZEL - SPRING BLOOMING 2-3 FEET</t>
  </si>
  <si>
    <t>WITCH HAZEL - SPRING BLOOMING 3-4 FEET</t>
  </si>
  <si>
    <t>WILLOW - PUSSY 18-24 INCH</t>
  </si>
  <si>
    <t>BEARBERRY 1 GALLON</t>
  </si>
  <si>
    <t>BEARBERRY 2 GALLON</t>
  </si>
  <si>
    <t>DEAD NETTLE 2 QUART</t>
  </si>
  <si>
    <t>HONEYSUCKLE VINE 'GOLDFLAME' 2 GALLON</t>
  </si>
  <si>
    <t>HONEYSUCKLE VINE 'HALL'S' 2 GALLON</t>
  </si>
  <si>
    <t>IVY VINE - BALTIC PER FLAT</t>
  </si>
  <si>
    <t>IVY VINE - BALTIC 1 GALLON</t>
  </si>
  <si>
    <t>IVY VINE - BOSTON PER FLAT</t>
  </si>
  <si>
    <t>IVY VINE - BOSTON 1 GALLON</t>
  </si>
  <si>
    <t>MYRTLE VINE PER FLAT</t>
  </si>
  <si>
    <t>MYRTLE VINE 1 GALLON</t>
  </si>
  <si>
    <t>SILVER FLEECE VINE 1 GALLON</t>
  </si>
  <si>
    <t>TRUMPET CREEPER 1 GALLON</t>
  </si>
  <si>
    <t>TRUMPET CREEPER - 'FLAVA' 2 GALLON</t>
  </si>
  <si>
    <t>TRUMPET CREEPER - 'MADAME GALEN' 5 GALLON</t>
  </si>
  <si>
    <t>VIRGINIA CREEPER 1 GALLON</t>
  </si>
  <si>
    <t>VIRGINIA CREEPER 2 GALLON</t>
  </si>
  <si>
    <t>WINTERCREEPER - PURPLELEAF PER FLAT</t>
  </si>
  <si>
    <t>WINTERCREEPER - PURPLELEAF 1 GALLON</t>
  </si>
  <si>
    <t>ROSE - BONICA 2 GALLON</t>
  </si>
  <si>
    <t>ROSE - FLOWER CARPET 1 GALLON</t>
  </si>
  <si>
    <t>ROSE - FLOWER CARPET 2 GALLON</t>
  </si>
  <si>
    <t>ROSE - RUGOSA PINK 2 GALLON</t>
  </si>
  <si>
    <t>ROSE - RUGOSA PINK 3 GALLON</t>
  </si>
  <si>
    <t>ROSE - RUGOSA RED 2 GALLON</t>
  </si>
  <si>
    <t>ROSE - RUGOSA RED 3 GALLON</t>
  </si>
  <si>
    <t>ROSE - RUGOSA WHITE 2 GALLON</t>
  </si>
  <si>
    <t>ROSE - RUGOSA WHITE 3 GALLON</t>
  </si>
  <si>
    <t>ROSE - SEA FOAM 2 GALLON</t>
  </si>
  <si>
    <t>ROSE - SEVILLANA 2 GALLON</t>
  </si>
  <si>
    <t>ROSE - SIMPLICITY 2 GALLON</t>
  </si>
  <si>
    <t>ROSE - THE FAIRY 2 GALLON</t>
  </si>
  <si>
    <t>ROSE - WHITE MEIDILAND 2 GALLON</t>
  </si>
  <si>
    <t>BLUE FESCUE 1 GALLON</t>
  </si>
  <si>
    <t>BLUE OAT GRASS 1 GALLON</t>
  </si>
  <si>
    <t>BLUE LYME GRASS 1 GALLON</t>
  </si>
  <si>
    <t>DWARF FOUNTAIN GRASS - LITTLE BUNNY 1 GALLON</t>
  </si>
  <si>
    <t>JAPANESE BLOOD GRASS 1 GALLON</t>
  </si>
  <si>
    <t>JAPANESE SEDGE GRASS 2 QUART</t>
  </si>
  <si>
    <t>LILYTURF 2 QUART</t>
  </si>
  <si>
    <t>MAIDEN GRASS 'MORNING LIGHT' 2 GALLON</t>
  </si>
  <si>
    <t>MAIDEN GRASS - DWARF 1 GALLON</t>
  </si>
  <si>
    <t>SWITCH GRASS 2 GALLON</t>
  </si>
  <si>
    <t>TUFTED HAIR GRASS 'GOLD VEIL' 2 GALLON</t>
  </si>
  <si>
    <t>ZEBRA GRASS 2 GALLON</t>
  </si>
  <si>
    <t>ALPINE ASTER 2 QUART</t>
  </si>
  <si>
    <t>BEE BALM 2 QUART</t>
  </si>
  <si>
    <t>BLACK EYED SUSAN 2 QUART</t>
  </si>
  <si>
    <t>BLACK EYED SUSAN 2 GALLON</t>
  </si>
  <si>
    <t>BLANKET FLOWER 1 GALLON</t>
  </si>
  <si>
    <t>BUTTERFLY WEED 2 QUART</t>
  </si>
  <si>
    <t>CARDINAL FLOWER 2 QUART</t>
  </si>
  <si>
    <t>CINNAMMON FERN 1 GALLON</t>
  </si>
  <si>
    <t>COREOPSIS LANCELEAF 1 GALLON</t>
  </si>
  <si>
    <t>COREOPSIS THREAD - 'MOONBEAM' 2 GALLON</t>
  </si>
  <si>
    <t>DAYLILY - 'FLAVA' 1 GALLON</t>
  </si>
  <si>
    <t>DAYLILY - 'FULVA' 1 GALLON</t>
  </si>
  <si>
    <t>DAYLILY - 'PEACH FAIRY' 1 GALLON</t>
  </si>
  <si>
    <t>DAYLILY - 'PRIMA DONNA' 1 GALLON</t>
  </si>
  <si>
    <t>DAYLILY - 'TICK TOCK' 1 GALLON</t>
  </si>
  <si>
    <t>ENGLISH LAVENDER 1 GALLON</t>
  </si>
  <si>
    <t>EVENING PRIMROSE 2 QUART</t>
  </si>
  <si>
    <t>GAYFEATHER - 'KOBALD' 2 QUART</t>
  </si>
  <si>
    <t>GLOBE THISTLE 2 QUART</t>
  </si>
  <si>
    <t>LAMB'S EAR - 'SILVER CARPET' 2 QUART</t>
  </si>
  <si>
    <t>LAVENDAR COTTON 2 QUART</t>
  </si>
  <si>
    <t>LUPINE 2 QUART</t>
  </si>
  <si>
    <t>MEADOW SAGE 1 GALLON</t>
  </si>
  <si>
    <t>NEW ENGLAND ASTER 1 GALLON</t>
  </si>
  <si>
    <t>POPPY-ICELAND 2 QUART</t>
  </si>
  <si>
    <t>POPPY - ORIENTAL 2 QUART</t>
  </si>
  <si>
    <t>PURPLE CONEFLOWER 2 QUART</t>
  </si>
  <si>
    <t>ROSE MALLOW 2 GALLON</t>
  </si>
  <si>
    <t>ROYAL FERN 1 GALLON</t>
  </si>
  <si>
    <t>RUSSIAN SAGE 1 GALLON</t>
  </si>
  <si>
    <t>SEA LAVENDAR 1 GALLON</t>
  </si>
  <si>
    <t>SHASTA DAISY - 'ALASKA' 2 QUART</t>
  </si>
  <si>
    <t>SILVER MOUND 1 GALLON</t>
  </si>
  <si>
    <t>VERONICA 'SUNNY BORDER BLUE' 2 QUART</t>
  </si>
  <si>
    <t>YARROW - 'APPLE BLOSSOM' 2 GALLON</t>
  </si>
  <si>
    <t>YARROW - 'MOONSHINE' 2 GALLON</t>
  </si>
  <si>
    <t>YARROW - 'PAPRIKA' 2 GALLON</t>
  </si>
  <si>
    <t>ELECTRICAL CONDUIT REMOVED AND RESET</t>
  </si>
  <si>
    <t>2 INCH ELECTRICAL CONDUIT - BLACK STEEL</t>
  </si>
  <si>
    <t>3 INCH ELECTRICAL CONDUIT - BLACK STEEL</t>
  </si>
  <si>
    <t>2 INCH ELECTRICAL CONDUIT - TYPE NM (DOUBLE)</t>
  </si>
  <si>
    <t>2 INCH ELECTRICAL CONDUIT - TYPE NM (4 BANK)</t>
  </si>
  <si>
    <t>2 INCH ELECTRICAL CONDUIT - TYPE NM (6 BANK)</t>
  </si>
  <si>
    <t>3 INCH ELECTRICAL CONDUIT - TYPE NM (6 BANK)</t>
  </si>
  <si>
    <t>6 INCH ELECTRICAL CONDUIT - TYPE NM (6 BANK)</t>
  </si>
  <si>
    <t>1/2 INCH ELECTRICAL CONDUIT TYPE NM - PLASTIC -(UL)</t>
  </si>
  <si>
    <t>3/4 INCH ELECTRICAL CONDUIT TYPE NM - PLASTIC -(UL)</t>
  </si>
  <si>
    <t>1/2 INCH ELECTRICAL CONDUIT TYPE RM - GALVANIZED STEEL</t>
  </si>
  <si>
    <t>3/4 INCH ELECTRICAL CONDUIT TYPE RM - GALVANIZED STEEL</t>
  </si>
  <si>
    <t>3 INCH ELECTRICAL CONDUIT TY RM - STEEL - (PLASTIC COATED)</t>
  </si>
  <si>
    <t>4 INCH ELECTRICAL CONDUIT TY RM - STEEL - (PLASTIC COATED)</t>
  </si>
  <si>
    <t>6 INCH ELECTRICAL CONDUIT TY RM - STEEL - (PLASTIC COATED)</t>
  </si>
  <si>
    <t>1/2 INCH ELECTRICAL CONDUIT - FLEXIBLE METALLIC</t>
  </si>
  <si>
    <t>3/4 INCH ELECTRICAL CONDUIT - FLEXIBLE METALLIC</t>
  </si>
  <si>
    <t>1 INCH ELECTRICAL CONDUIT - FLEXIBLE METALLIC</t>
  </si>
  <si>
    <t>1-1/2 INCH ELECTRICAL CONDUIT - FLEXIBLE METALLIC</t>
  </si>
  <si>
    <t>2 INCH ELECTRICAL CONDUIT - FLEXIBLE METALLIC</t>
  </si>
  <si>
    <t>3 INCH ELECTRICAL CONDUIT - FLEXIBLE METALLIC</t>
  </si>
  <si>
    <t>4 INCH ELECTRICAL CONDUIT - FLEXIBLE METALLIC</t>
  </si>
  <si>
    <t>1/2 INCH ELECTRIC CONDUIT FLEXIBLE METALLIC - LIQUID TIGHT</t>
  </si>
  <si>
    <t>3/4 INCH ELECTRIC CONDUIT FLEXIBLE METALLIC - LIQUID TIGHT</t>
  </si>
  <si>
    <t>1 INCH ELECTRIC CONDUIT FLEXIBLE METALLIC - LIQUID TIGHT</t>
  </si>
  <si>
    <t>1-1/2 INCH ELECTRIC CONDUIT FLEXIBLE METALLIC - LIQUID TIGHT</t>
  </si>
  <si>
    <t>2 INCH ELECTRIC CONDUIT FLEXIBLE METALLIC - LIQUID TIGHT</t>
  </si>
  <si>
    <t>3 INCH ELECTRIC CONDUIT FLEXIBLE METALLIC - LIQUID TIGHT</t>
  </si>
  <si>
    <t>4 INCH ELECTRIC CONDUIT FLEXIBLE METALLIC - LIQUID TIGHT</t>
  </si>
  <si>
    <t>MAINTENANCE OF TRAFFIC CONTROL SIGNAL SYSTEMS</t>
  </si>
  <si>
    <t>ELECTRIC MANHOLE - SD2.011</t>
  </si>
  <si>
    <t>ELECTRIC MANHOLE - SD2.012</t>
  </si>
  <si>
    <t>ELECTRIC MANHOLE - SD2.013</t>
  </si>
  <si>
    <t>ELECTRIC MANHOLE - SD2.014</t>
  </si>
  <si>
    <t>ELECTRIC HANDHOLE - SD2.020</t>
  </si>
  <si>
    <t>ELECTRIC HANDHOLE - TYPE A</t>
  </si>
  <si>
    <t>ELECTRIC HANDHOLE - TYPE B</t>
  </si>
  <si>
    <t>PULL BOX  8 X  23 INCHES - SD2.030</t>
  </si>
  <si>
    <t>PULL BOX  12 X 12 INCHES - SD2.031</t>
  </si>
  <si>
    <t>ELECTRIC HANDHOLE REMOVED AND RESET</t>
  </si>
  <si>
    <t>JUNCTION BOX 6 X 6  X 4 INCHES</t>
  </si>
  <si>
    <t>JUNCTION BOX 8  X 6  X 4 INCHES</t>
  </si>
  <si>
    <t>JUNCTION BOX 8  X 6  X 6 INCHES</t>
  </si>
  <si>
    <t>JUNCTION BOX 10  X 6  X 4 INCHES</t>
  </si>
  <si>
    <t>JUNCTION BOX 12  X 8  X 6 INCHES</t>
  </si>
  <si>
    <t>JUNCTION BOX 12  X 12  X 6 INCHES</t>
  </si>
  <si>
    <t>JUNCTION BOX 12  X 12  X 8 INCHES</t>
  </si>
  <si>
    <t>JUNCTION BOX 12  X 12  X 10 INCHES</t>
  </si>
  <si>
    <t>JUNCTION BOX 18  X 12  X 8 INCHES</t>
  </si>
  <si>
    <t>JUNCTION BOX 18  X 12  X 10 INCHES</t>
  </si>
  <si>
    <t>JUNCTION BOX 24  X 8  X 8 INCHES</t>
  </si>
  <si>
    <t>JUNCTION BOX 24  X 8  X 12 INCHES</t>
  </si>
  <si>
    <t>JUNCTION BOX 24  X 8  X 18 INCHES</t>
  </si>
  <si>
    <t>JUNCTION BOX 24  X 10  X 16 INCHES</t>
  </si>
  <si>
    <t>JUNCTION BOX 24  X 12  X 8 INCHES</t>
  </si>
  <si>
    <t>JUNCTION BOX 24  X 12  X 12 INCHES</t>
  </si>
  <si>
    <t>JUNCTION BOX 24  X 14  X 10 INCHES</t>
  </si>
  <si>
    <t>JUNCTION BOX 24  X 24  X 10 INCHES</t>
  </si>
  <si>
    <t>JUNCTION BOX 30  X 24  X 12 INCHES</t>
  </si>
  <si>
    <t>LIGHT STANDARD FOUNDATION SD3.011</t>
  </si>
  <si>
    <t>LIGHT STANDARD FOUNDATION SD3.012</t>
  </si>
  <si>
    <t>LIGHT STANDARD FOUNDATION SD3.015</t>
  </si>
  <si>
    <t>STANDARD SIGNAL POST FOUNDATION SD3.030</t>
  </si>
  <si>
    <t>PEDESTAL SIGNAL POST FOUNDATION SD3.031</t>
  </si>
  <si>
    <t>SIGNAL MAST ARM FOUNDATION - MUNICIPAL STANDARD</t>
  </si>
  <si>
    <t>TRAFFIC SIGNAL STEEL MESSENGER CABLE - TYPE 0</t>
  </si>
  <si>
    <t>TRAFFIC SIGNAL CABLE - TYPE 1</t>
  </si>
  <si>
    <t>TRAFFIC SIGNAL CABLE - TYPE 2</t>
  </si>
  <si>
    <t>TRAFFIC SIGNAL CABLE - TYPE 3</t>
  </si>
  <si>
    <t>TRAFFIC SIGNAL CABLE - TYPE 4</t>
  </si>
  <si>
    <t>TRAFFIC SIGNAL CABLE - TYPE 5</t>
  </si>
  <si>
    <t>TRAFFIC SIGNAL HEAD WIRE TYPE 6</t>
  </si>
  <si>
    <t>WIRE TYPE 7 NO. 2/0 GENERAL PURPOSE</t>
  </si>
  <si>
    <t>WIRE TYPE 7 NO. 3/0 GENERAL PURPOSE</t>
  </si>
  <si>
    <t>WIRE TYPE 7 NO. 4/0 GENERAL PURPOSE</t>
  </si>
  <si>
    <t>WIRE TYPE 8 NO. 1 DIRECT BURIAL</t>
  </si>
  <si>
    <t>WIRE TYPE 8 NO. 2/0 DIRECT BURIAL</t>
  </si>
  <si>
    <t>WIRE TYPE 8 NO. 3/0 DIRECT BURIAL</t>
  </si>
  <si>
    <t>WIRE TYPE 8 NO. 4/0 DIRECT BURIAL</t>
  </si>
  <si>
    <t>WIRE TYPE 9 SPECIAL PURPOSE (TW - THW)</t>
  </si>
  <si>
    <t>WIRE TYPE 9 SPECIAL PURPOSE (UF)</t>
  </si>
  <si>
    <t>WIRE TYPE 11 - LOOP DETECTOR LEAD IN</t>
  </si>
  <si>
    <t>WIRE TYPE 12 - HEAVY DUTY PORTABLE CORD</t>
  </si>
  <si>
    <t>WIRE TYPE 13 - LOOP DETECTOR WIRE AND TUBE</t>
  </si>
  <si>
    <t>GROUND ROD</t>
  </si>
  <si>
    <t>GROUND ROD 8 FEET LONG</t>
  </si>
  <si>
    <t>TRAFFIC CONTROL SIGNAL LOCATION NO. 4</t>
  </si>
  <si>
    <t>TRAFFIC CONTROL SIGNAL LOCATION NO. 5</t>
  </si>
  <si>
    <t>SIGNAL POST AND BASE PEDESTAL - 8 FOOT</t>
  </si>
  <si>
    <t>SIGNAL POST AND BASE PEDESTAL - 10 FOOT</t>
  </si>
  <si>
    <t>SIGNAL BASE STANDARD - 14 INCH OCTAGONAL</t>
  </si>
  <si>
    <t>SIGNAL BASE PEDESTAL - 15 INCH SQUARE</t>
  </si>
  <si>
    <t>SIGNAL MAST ARM 20 FEET - ALUMINUM</t>
  </si>
  <si>
    <t>SIGNAL MAST ARM 25 FEET - ALUMINUM</t>
  </si>
  <si>
    <t>SIGNAL MAST ARM 30 FEET - ALUMINUM</t>
  </si>
  <si>
    <t>SIGNAL MAST ARM 35 FEET - ALUMINUM</t>
  </si>
  <si>
    <t>SIGNAL MAST ARM 20 FEET - STEEL</t>
  </si>
  <si>
    <t>SIGNAL MAST ARM 25 FEET - STEEL</t>
  </si>
  <si>
    <t>SIGNAL MAST ARM 35 FEET - STEEL</t>
  </si>
  <si>
    <t>SIGNAL MAST ARM 40 FEET - STEEL</t>
  </si>
  <si>
    <t>SIGNAL MAST ARM 45 FEET - STEEL</t>
  </si>
  <si>
    <t>SIGNAL MAST ARM 50 FEET - STEEL</t>
  </si>
  <si>
    <t>SIGNAL MAST ARM 55 FEET - STEEL</t>
  </si>
  <si>
    <t>SIGNAL MAST ARM 60 FEET - STEEL</t>
  </si>
  <si>
    <t>SIGNAL HEAD 1 WAY, ONE SECTION 8 INCH LENS</t>
  </si>
  <si>
    <t>SIGNAL HEAD 1 WAY, TWO SECTION 8 INCH LENS</t>
  </si>
  <si>
    <t>SIGNAL HEAD 1 WAY, THREE SECTION 8 INCH LENS</t>
  </si>
  <si>
    <t>SIGNAL HEAD 1 WAY, FOUR SECTION 8 INCH LENS</t>
  </si>
  <si>
    <t>SIGNAL HEAD 1 WAY, FIVE SECTION 8 INCH LENS</t>
  </si>
  <si>
    <t>SIGNAL HEAD 1 WAY, ONE SECTION 12 INCH LENS</t>
  </si>
  <si>
    <t>SIGNAL HEAD 1 WAY, TWO SECTION 12 INCH LENS</t>
  </si>
  <si>
    <t>SIGNAL HEAD 1 WAY, THREE SECTION 12 INCH LENS</t>
  </si>
  <si>
    <t>SIGNAL HEAD 1 WAY, FOUR SECTION 12 INCH LENS</t>
  </si>
  <si>
    <t>SIGNAL HEAD 1 WAY, FIVE SECTION 12 INCH LENS</t>
  </si>
  <si>
    <t>SIGNAL HEAD 1 WAY, THREE SECTION TWO - 12 INCH LENS</t>
  </si>
  <si>
    <t>SIGNAL HEAD 1 WAY, FOUR SECTION TWO - 12 INCH LENS</t>
  </si>
  <si>
    <t>SIGNAL HEAD 1 WAY, FIVE SECTION TWO - 12 INCH LENS</t>
  </si>
  <si>
    <t>SIGNAL HEAD 1 WAY, THREE SECTION 12 INCH RED LENS</t>
  </si>
  <si>
    <t>SIGNAL HEAD 1 WAY, FOUR SECTION 12 INCH RED LENS</t>
  </si>
  <si>
    <t>SIGNAL HEAD 1 WAY, FIVE SECTION 12 INCH RED LENS</t>
  </si>
  <si>
    <t>SIGNAL HEAD 1 WAY, 1 SECTION 9 INCH SQUARE LENS</t>
  </si>
  <si>
    <t>PEDESTRIAN SIGNAL HEAD</t>
  </si>
  <si>
    <t>1 WAY POST TOP MOUNTING ASSEMBLY</t>
  </si>
  <si>
    <t>2 WAY POST TOP MOUNTING ASSEMBLY</t>
  </si>
  <si>
    <t>3 WAY POST TOP MOUNTING ASSEMBLY</t>
  </si>
  <si>
    <t>4 WAY POST TOP MOUNTING ASSEMBLY</t>
  </si>
  <si>
    <t>MAST ARM MOUNTING ASSEMBLY 1 WAY</t>
  </si>
  <si>
    <t>MAST ARM MOUNTING ASSEMBLY 2 WAY</t>
  </si>
  <si>
    <t>MAST ARM MOUNTING ASSEMBLY 3 WAY</t>
  </si>
  <si>
    <t>MAST ARM MOUNTING ASSEMBLY 4 WAY</t>
  </si>
  <si>
    <t>POST SIDE MOUNTING ASSEMBLY 1 WAY</t>
  </si>
  <si>
    <t>POST SIDE MOUNTING ASSEMBLY 2 WAY</t>
  </si>
  <si>
    <t>POST SIDE MOUNTING ASSEMBLY 3 WAY</t>
  </si>
  <si>
    <t>POST SIDE MOUNTING ASSEMBLY 4 WAY</t>
  </si>
  <si>
    <t>SPAN WIRE MOUNTING ASSEMBLY 1 WAY</t>
  </si>
  <si>
    <t>SPAN WIRE MOUNTING ASSEMBLY 2 WAY</t>
  </si>
  <si>
    <t>SPAN WIRE MOUNTING ASSEMBLY 3 WAY</t>
  </si>
  <si>
    <t>SPAN WIRE MOUNTING ASSEMBLY 4 WAY</t>
  </si>
  <si>
    <t>LOUVERED HOOD FOR 8 INCH SIGNAL SECTION</t>
  </si>
  <si>
    <t>LOUVERED HOOD FOR 12 INCH SIGNAL SECTION</t>
  </si>
  <si>
    <t>BACK-PLATES FOR 8 INCH SIGNAL HEAD</t>
  </si>
  <si>
    <t>BACK-PLATES FOR 12 INCH SIGNAL HEAD</t>
  </si>
  <si>
    <t>BACK-PLATES FOR COMBINED 8 INCH AND 12 INCH SIGNAL HEAD</t>
  </si>
  <si>
    <t>POLE CLAMP WITH WIRE ENTRANCE</t>
  </si>
  <si>
    <t>TRAFFIC SIGNAL CONTROLLER</t>
  </si>
  <si>
    <t>TRAFFIC SIGNAL CONTROLLER  LOCATION NO. 1</t>
  </si>
  <si>
    <t>TRAFFIC SIGNAL CONTROLLER  LOCATION NO. 2</t>
  </si>
  <si>
    <t>TRAFFIC SIGNAL CONTROLLER  LOCATION NO. 3</t>
  </si>
  <si>
    <t>8 PHASE, MENU-DRIVEN TRAFFIC CONTROL UNIT</t>
  </si>
  <si>
    <t>TRAFFIC SIGNAL CONTROLLER  LOCATION NO. 4</t>
  </si>
  <si>
    <t>TRAFFIC SIGNAL CONTROLLER  LOCATION NO. 5</t>
  </si>
  <si>
    <t>FIRE STATION PRE-EMPTOR</t>
  </si>
  <si>
    <t>RAILROAD PRE-EMPTOR</t>
  </si>
  <si>
    <t>DETECTOR UNIT CONFLICTING GREEN</t>
  </si>
  <si>
    <t>MAGNETIC DETECTOR AMPLIFIER</t>
  </si>
  <si>
    <t>VEHICLE DETECTOR (DIRECTIONAL) COMPENSATED MAGNETIC</t>
  </si>
  <si>
    <t>VEHICLE DETECTOR (MULTI-LANE) NON-COMPENSATED MAGNETIC</t>
  </si>
  <si>
    <t>VEHICLE DETECTOR (SINGLE-LANE) NON-COMPENSATED MAGNETIC</t>
  </si>
  <si>
    <t>DETECTOR AMPLIFIER - MAGNETIC (SPECIAL)</t>
  </si>
  <si>
    <t>DETECTOR SENSING HEAD - MAGNETIC (SPECIAL)</t>
  </si>
  <si>
    <t>VEHICLE PRESENCE DETECTOR - ULTRASONIC</t>
  </si>
  <si>
    <t>VEHICLE MOTION DETECTOR - ULTRASONIC</t>
  </si>
  <si>
    <t>INDUCTIVE LOOP DETECTOR AMPLIFIER</t>
  </si>
  <si>
    <t>MICROLOOP INSTALLED IN ROADWAY</t>
  </si>
  <si>
    <t>PEDESTRIAN PUSH BUTTON</t>
  </si>
  <si>
    <t>PUSH BUTTON FOR GREEN LIGHT (SIGN)</t>
  </si>
  <si>
    <t>PUSH BUTTON FOR WALK SIGNAL (SIGN)</t>
  </si>
  <si>
    <t>HIGHWAY LIGHTING - AREA</t>
  </si>
  <si>
    <t>HIGHWAY LIGHTING - SIGN</t>
  </si>
  <si>
    <t>HIGHWAY LIGHTING POLE (ANCHOR BASE) 4 FOOT BRACKET</t>
  </si>
  <si>
    <t>HIGHWAY LIGHTING POLE (ANCHOR BASE) 6 FOOT BRACKET</t>
  </si>
  <si>
    <t>HIGHWAY LIGHTING POLE (ANCHOR BASE) 8 FOOT BRACKET</t>
  </si>
  <si>
    <t>HIGHWAY LIGHTING POLE (ANCHOR BASE) 10 FOOT BRACKET</t>
  </si>
  <si>
    <t>HIGHWAY LIGHTING POLE (ANCHOR BASE) 12 FOOT BRACKET</t>
  </si>
  <si>
    <t>HIGHWAY LIGHTING POLE (ANCHOR BASE) 15 FOOT BRACKET</t>
  </si>
  <si>
    <t>HIGHWAY LIGHTING POLE (ANCHOR BASE) TWIN 4 FOOT BRACKET</t>
  </si>
  <si>
    <t>HIGHWAY LIGHTING POLE (ANCHOR BASE) TWIN 8 FOOT BRACKET</t>
  </si>
  <si>
    <t>HIGHWAY LIGHTING POLE (ANCHOR BASE) TWIN 10 FOOT BRACKET</t>
  </si>
  <si>
    <t>HIGHWAY LIGHTING POLE (ANCHOR BASE) TWIN 12 FOOT BRACKET</t>
  </si>
  <si>
    <t>HIGHWAY LIGHTING POLE (ANCHOR BASE) TWIN 15 FOOT BRACKET</t>
  </si>
  <si>
    <t>HIGHWAY LIGHTING POLE (TRANSFORMER BASE) 4 FOOT BRACKET</t>
  </si>
  <si>
    <t>HIGHWAY LIGHTING POLE (TRANSFORMER BASE) 6 FOOT BRACKET</t>
  </si>
  <si>
    <t>HIGHWAY LIGHTING POLE (TRANSFORMER BASE) 8 FOOT BRACKET</t>
  </si>
  <si>
    <t>HIGHWAY LIGHTING POLE (TRANSFORMER BASE) 10 FOOT BRACKET</t>
  </si>
  <si>
    <t>HIGHWAY LIGHTING POLE (TRANSFORMER BASE) 12 FOOT BRACKET</t>
  </si>
  <si>
    <t>HIGHWAY LIGHTING POLE (TRANSFORMER BASE) 15 FOOT BRACKET</t>
  </si>
  <si>
    <t>HIGHWAY LIGHTING POLE (TRANSFORMER BASE) TWIN 4 FOOT BRACKET</t>
  </si>
  <si>
    <t>HIGHWAY LIGHTING POLE (TRANSFORMER BASE) TWIN 6 FOOT BRACKET</t>
  </si>
  <si>
    <t>HIGHWAY LIGHTING POLE (TRANSFORMER BASE) TWIN 8 FOOT BRACKET</t>
  </si>
  <si>
    <t>HIGHWAY LIGHTING POLE (TRANSFORMER BASE) TWIN 10 FOOT BRACKET</t>
  </si>
  <si>
    <t>HIGHWAY LIGHTING POLE (TRANSFORMER BASE) TWIN 12 FOOT BRACKET</t>
  </si>
  <si>
    <t>HIGHWAY LIGHTING POLE (TRANSFORMER BASE) TWIN 15 FOOT BRACKET</t>
  </si>
  <si>
    <t>HIGH MAST TOWER (40 FOOT MOUNTING HEIGHT)</t>
  </si>
  <si>
    <t>HIGH MAST TOWER (45 FOOT MOUNTING HEIGHT)</t>
  </si>
  <si>
    <t>HIGH MAST TOWER (50 FOOT MOUNTING HEIGHT)</t>
  </si>
  <si>
    <t>HIGH MAST TOWER (60 FOOT MOUNTING HEIGHT)</t>
  </si>
  <si>
    <t>HIGH MAST TOWER (80 FOOT MOUNTING HEIGHT)</t>
  </si>
  <si>
    <t>HIGH MAST TOWER (110 FOOT MOUNTING HEIGHT)</t>
  </si>
  <si>
    <t>HIGH MAST TOWER (120 FOOT MOUNTING HEIGHT)</t>
  </si>
  <si>
    <t>HIGH MAST TOWER (130 FOOT MOUNTING HEIGHT)</t>
  </si>
  <si>
    <t>HIGH MAST TOWER (140 FOOT MOUNTING HEIGHT)</t>
  </si>
  <si>
    <t>HIGH MAST TOWER (150 FOOT MOUNTING HEIGHT)</t>
  </si>
  <si>
    <t>HIGH MAST TOWER (160 FOOT MOUNTING HEIGHT)</t>
  </si>
  <si>
    <t>HIGH MAST TOWER (170 FOOT MOUNTING HEIGHT)</t>
  </si>
  <si>
    <t>HIGH MAST TOWER (180 FOOT MOUNTING HEIGHT)</t>
  </si>
  <si>
    <t>HIGH MAST TOWER (190 FOOT MOUNTING HEIGHT)</t>
  </si>
  <si>
    <t>HIGH MAST TOWER (200 FOOT MOUNTING HEIGHT)</t>
  </si>
  <si>
    <t>HIGHWAY LIGHTING LUMINAIRE 175 WATT</t>
  </si>
  <si>
    <t>HIGHWAY LIGHTING LUMINAIRE 250 WATT</t>
  </si>
  <si>
    <t>HIGHWAY LIGHTING LUMINAIRE 400 WATT</t>
  </si>
  <si>
    <t>HIGHWAY LIGHTING LUMINAIRE 750 WATT</t>
  </si>
  <si>
    <t>HIGHWAY LIGHTING LUMINAIRE 1000 WATT</t>
  </si>
  <si>
    <t>AREA LIGHTING LUMINAIRE 175 WATT</t>
  </si>
  <si>
    <t>AREA LIGHTING LUMINAIRE 250 WATT</t>
  </si>
  <si>
    <t>AREA LIGHTING LUMINAIRE 400 WATT</t>
  </si>
  <si>
    <t>AREA LIGHTING LUMINAIRE 750 WATT</t>
  </si>
  <si>
    <t>AREA LIGHTING LUMINAIRE 1000 WATT</t>
  </si>
  <si>
    <t>AREA LIGHTING LUMINAIRE 1600 WATT</t>
  </si>
  <si>
    <t>AREA LIGHTING LUMINAIRE 4000 WATT</t>
  </si>
  <si>
    <t>FLOOD LIGHTING LUMINAIRE LESS THAN 500 WATT</t>
  </si>
  <si>
    <t>FLOOD LIGHTING LUMINAIRE 500 WATT AND OVER</t>
  </si>
  <si>
    <t>UNDERPASS LIGHTING LUMINAIRE 4 FOOT FLUORESCENT</t>
  </si>
  <si>
    <t>UNDERPASS LIGHTING LUMINAIRE 6 FOOT FLUORESCENT</t>
  </si>
  <si>
    <t>UNDERPASS LIGHTING LUMINAIRE 8 FOOT FLUORESCENT</t>
  </si>
  <si>
    <t>SIGN LIGHTING LUMINAIRE 4 FOOT FLUORESCENT</t>
  </si>
  <si>
    <t>SIGN LIGHTING LUMINAIRE 6 FOOT FLUORESCENT</t>
  </si>
  <si>
    <t>SIGN LIGHTING LUMINAIRE 8 FOOT FLUORESCENT</t>
  </si>
  <si>
    <t>SIGN LIGHTING LUMINAIRE 175 WATT</t>
  </si>
  <si>
    <t>SIGN LIGHTING LUMINAIRE 250 WATT</t>
  </si>
  <si>
    <t>PHOTO ELECTRIC CONTROL</t>
  </si>
  <si>
    <t>MULTIPLE CONTROL SWITCH</t>
  </si>
  <si>
    <t>MULTIPLE CIRCUIT CONTACTOR</t>
  </si>
  <si>
    <t>TIME CLOCK</t>
  </si>
  <si>
    <t>HYDRAULIC POWER UNIT</t>
  </si>
  <si>
    <t>LIGHTING AND TRAFFIC SIGNAL POLE</t>
  </si>
  <si>
    <t>STEEL STRAIN POLE</t>
  </si>
  <si>
    <t>STRAIN POLE ASSEMBLY</t>
  </si>
  <si>
    <t>FLASHING WARNING BEACON TYPE A</t>
  </si>
  <si>
    <t>FLASHING WARNING BEACON TYPE B</t>
  </si>
  <si>
    <t>FLASHING WARNING BEACON TYPE C</t>
  </si>
  <si>
    <t>FLASHING WARNING BEACON REMOVED AND RESET</t>
  </si>
  <si>
    <t>FLASHING WARNING BEACON REMOVED AND TRANSPORTED</t>
  </si>
  <si>
    <t>HIGHWAY WARNING SIGN - ILLUMINATED</t>
  </si>
  <si>
    <t>HIGHWAY WARNING SIGN - ILLUMINATED REMOVED AND RESET</t>
  </si>
  <si>
    <t>HIGHWAY WARNING SIGN - ILLUMINATED REMOVED AND TRANSPORTED</t>
  </si>
  <si>
    <t>LIGHTED BARRIER ARROWS</t>
  </si>
  <si>
    <t>LIGHTED BARRIER ARROWS REMOVED AND RESET</t>
  </si>
  <si>
    <t>LIGHTED BARRIER ARROWS REMOVED AND STACKED</t>
  </si>
  <si>
    <t>LIGHTED BARRIER ARROWS REMOVED AND TRANSPORTED</t>
  </si>
  <si>
    <t>LIGHTED BARRIER ARROWS REMOVED TRANSPORTED AND RESET</t>
  </si>
  <si>
    <t>FIRE ALARM BOX REMOVED AND RESET</t>
  </si>
  <si>
    <t>FIRE ALARM BOX REMOVED AND STACKED</t>
  </si>
  <si>
    <t>FIRE ALARM BOX AND POST REMOVE AND RESET (EXCLUDING COST OF POST AND BASE)</t>
  </si>
  <si>
    <t>POLICE SIGNAL CALL BOX</t>
  </si>
  <si>
    <t>POLICE SIGNAL CALL BOX REMOVED AND RESET</t>
  </si>
  <si>
    <t>POLICE SIGNAL BOX AND POST REMOVE AND RESET (ECP AND BASE)</t>
  </si>
  <si>
    <t>36 INCH WARNING CLUSTER (H1-2) - ALUMINUM PANEL (TYPE A)</t>
  </si>
  <si>
    <t>OVERHEAD GUIDE SIGN REMOVED AND STACKED</t>
  </si>
  <si>
    <t>GROUND MOUNTED SIGN SUPPORT- CLEANED AND PAINTED</t>
  </si>
  <si>
    <t>GROUND MOUNTED SIGN PANEL- CLEANED AND PAINTED</t>
  </si>
  <si>
    <t>PROJECT FUNDING SOURCE SIGN</t>
  </si>
  <si>
    <t>PROJECT FUNDING SOURCE SIGN - EXCLUDING FABRICATION</t>
  </si>
  <si>
    <t>DEMOUNTABLE REFLECTORIZED PROJECT MARKER</t>
  </si>
  <si>
    <t>SUPPORTS FOR GUIDE SIGN (D6-P5 POSTS) STEEL</t>
  </si>
  <si>
    <t>SUPPORTS FOR GUIDE SIGN (D8-P5 POSTS) STEEL</t>
  </si>
  <si>
    <t>PAVEMENT ARROWS AND LEGENDS  REFLECTORIZED WHITE (THERMOPLASTIC)</t>
  </si>
  <si>
    <t>6 INCH REFLECTORIZED WHITE LINE (EPOXY)</t>
  </si>
  <si>
    <t>6 INCH REFLECTORIZED YELLOW LINE (EPOXY)</t>
  </si>
  <si>
    <t>PORTABLE NTCS FOR INTERSECTIONS</t>
  </si>
  <si>
    <t>PORTABLE NTCS FOR TRAILS</t>
  </si>
  <si>
    <t>PERMANENT NTCS FOR INTERSECTIONS</t>
  </si>
  <si>
    <t>PERMANENT NTCS FOR TRAILS</t>
  </si>
  <si>
    <t>STREET SIGN WITHOUT POST</t>
  </si>
  <si>
    <t>TEMPORARY MASKING OF SIGNS</t>
  </si>
  <si>
    <t>PARKING METER REMOVED AND RESET</t>
  </si>
  <si>
    <t>PARKING METER REMOVED AND STACKED</t>
  </si>
  <si>
    <t>PARKING METER REMOVED AND DISCARDED</t>
  </si>
  <si>
    <t>ELECTRIC POLE REMOVED AND STACKED</t>
  </si>
  <si>
    <t>SIGN POST 2 INCH STEEL</t>
  </si>
  <si>
    <t>SIGN POST 2-1/2 INCH STEEL</t>
  </si>
  <si>
    <t>CONTRACTOR QUALITY CONTROL - CEMENT CONCRETE</t>
  </si>
  <si>
    <t>3500 PSI, 1.5 INCH, 520 CEMENT CONCRETE</t>
  </si>
  <si>
    <t>5000 PSI, 3/4 INCH, 705 CEMENT CONCRETE</t>
  </si>
  <si>
    <t>5000 PSI, 1.5 INCH, 660 CEMENT CONCRETE</t>
  </si>
  <si>
    <t>CEMENT CONCRETE FORM LINER - FRACTURED FIN</t>
  </si>
  <si>
    <t>CEMENT CONCETE ARCHITECTURAL TREATMENT - EXPOSED AGGREGATE F</t>
  </si>
  <si>
    <t>LIGHTWEIGHT CEMENT CONCRETE</t>
  </si>
  <si>
    <t>POLYMER LATEX CONCRETE PATCH</t>
  </si>
  <si>
    <t>UNDERWATER FOUNDATION INSPECTION</t>
  </si>
  <si>
    <t>UD</t>
  </si>
  <si>
    <t>STEEL REINFORCEMENT FOR STRUCTURES - GALVANIZED</t>
  </si>
  <si>
    <t>1/2 INCH DIAMETER HIGH STRENGTH BOLTS</t>
  </si>
  <si>
    <t>7/8 INCH DIAMETER HIGH STRENGTH BOLTS</t>
  </si>
  <si>
    <t>1/2 INCH DIAMETER HIGH STRENGTH BOLT</t>
  </si>
  <si>
    <t>7/8 INCH DIAMETER HIGH STRENGTH BOLT</t>
  </si>
  <si>
    <t>7/8 INCH DIAMETER COUNTERSUNK BOLT</t>
  </si>
  <si>
    <t>EXPANSION BOLTS</t>
  </si>
  <si>
    <t>DRILLED AND GROUTED #4 DOWELS</t>
  </si>
  <si>
    <t>DRILLED AND GROUTED #7 DOWELS</t>
  </si>
  <si>
    <t>DRILLED AND GROUTED #8 DOWELS</t>
  </si>
  <si>
    <t>DRILLED AND GROUTED #9 DOWELS</t>
  </si>
  <si>
    <t>CORING AND GROUTING SWEDGE BOLTS</t>
  </si>
  <si>
    <t>ARCH FRAME UNIT (4 FEET OR LESS WIDE - 20 TO 24.99 FOOT SPAN)</t>
  </si>
  <si>
    <t>ARCH FRAME UNIT (4.01 TO 5 FEET WIDE - 20 TO 24.99 FOOT SPAN)</t>
  </si>
  <si>
    <t>ARCH FRAME UNIT (5.01 TO 6 FEET WIDE - 20 TO 24.99 FOOT SPAN)</t>
  </si>
  <si>
    <t>ARCH FRAME UNIT (OVER 6 FEET WIDE - 20 TO 24.99 FOOT SPAN)</t>
  </si>
  <si>
    <t>ARCH FRAME UNIT (4 FEET OR LESS WIDE - 25 TO 29.99 FOOT SPAN)</t>
  </si>
  <si>
    <t>ARCH FRAME UNIT (4.01 TO 5 FEET WIDE - 25 TO 29.99 FOOT SPAN)</t>
  </si>
  <si>
    <t>ARCH FRAME UNIT (5.01 TO 6 FEET WIDE - 25 TO 29.99 FOOT SPAN)</t>
  </si>
  <si>
    <t>ARCH FRAME UNIT (OVER 6 FEET WIDE - 25 TO 29.99 FOOT SPAN)</t>
  </si>
  <si>
    <t>ARCH FRAME UNIT (4 FEET OR LESS WIDE - 30 TO 34.99 FOOT SPAN)</t>
  </si>
  <si>
    <t>ARCH FRAME UNIT (4.01 TO 5 FEET WIDE - 30 TO 34.99 FOOT SPAN)</t>
  </si>
  <si>
    <t>ARCH FRAME UNIT (5.01 TO 6 FEET WIDE - 30 TO 34.99 FOOT SPAN)</t>
  </si>
  <si>
    <t>ARCH FRAME UNIT (OVER 6 FEET WIDE - 30 TO 34.99 FOOT SPAN)</t>
  </si>
  <si>
    <t>BRICK MASONRY</t>
  </si>
  <si>
    <t>ARCH FRAME UNIT (4 FEET OR LESS WIDE - 35 TO 39.99 FOOT SPAN)</t>
  </si>
  <si>
    <t>ARCH FRAME UNIT (4.01 TO 5 FEET WIDE - 35 TO 39.99 FOOT SPAN)</t>
  </si>
  <si>
    <t>ARCH FRAME UNIT (5.01 TO 6 FEET WIDE - 35 TO 39.99 FOOT SPAN)</t>
  </si>
  <si>
    <t>ARCH FRAME UNIT (OVER 6 FEET WIDE - 35 TO 39.99 FOOT SPAN)</t>
  </si>
  <si>
    <t>ARCH FRAME UNIT (4 FEET OR LESS WIDE - 40 TO 44.99 FOOT SPAN)</t>
  </si>
  <si>
    <t>ARCH FRAME UNIT (4.01 TO 5 FEET WIDE - 40 TO 44.99 FOOT SPAN)</t>
  </si>
  <si>
    <t>ARCH FRAME UNIT (5.01 TO 6 FEET WIDE - 40 TO 44.99 FOOT SPAN)</t>
  </si>
  <si>
    <t>ARCH FRAME UNIT (OVER 6 FEET WIDE - 40 TO 44.99 FOOT SPAN)</t>
  </si>
  <si>
    <t>ARCH FRAME UNIT (4 FEET OR LESS WIDE - 45 TO 49.99 FOOT SPAN)</t>
  </si>
  <si>
    <t>ARCH FRAME UNIT (4.01 TO 5 FEET WIDE - 45 TO 49.99 FOOT SPAN)</t>
  </si>
  <si>
    <t>ARCH FRAME UNIT (5.01 TO 6 FEET WIDE - 45 TO 49.99 FOOT SPAN)</t>
  </si>
  <si>
    <t>ARCH FRAME UNIT (OVER 6 FEET WIDE - 45 TO 49.99 FOOT SPAN)</t>
  </si>
  <si>
    <t>ARCH FRAME UNIT (4 FEET OR LESS WIDE - 50 TO 54.99 FOOT SPAN)</t>
  </si>
  <si>
    <t>ARCH FRAME UNIT (4.01 TO 5 FEET WIDE - 50 TO 54.99 FOOT SPAN)</t>
  </si>
  <si>
    <t>ARCH FRAME UNIT (5.01 TO 6 FEET WIDE - 50 TO 54.99 FOOT SPAN)</t>
  </si>
  <si>
    <t>ARCH FRAME UNIT (OVER 6 FEET WIDE - 50 TO 54.99 FOOT SPAN)</t>
  </si>
  <si>
    <t>ARCH FRAME UNIT (4 FEET OR LESS WIDE - 55 TO 59.99 FOOT SPAN)</t>
  </si>
  <si>
    <t>ARCH FRAME UNIT (4.01 TO 5 FEET WIDE - 55 TO 59.99 FOOT SPAN)</t>
  </si>
  <si>
    <t>ARCH FRAME UNIT (5.01 TO 6 FEET WIDE - 55 TO 59.99 FOOT SPAN)</t>
  </si>
  <si>
    <t>ARCH FRAME UNIT (OVER 6 FEET WIDE - 55 TO 59.99 FOOT SPAN)</t>
  </si>
  <si>
    <t>ARCH FRAME UNIT (4 FEET OR LESS WIDE - 60 OR MORE FOOT SPAN)</t>
  </si>
  <si>
    <t>ARCH FRAME UNIT (4.01 TO 5 FEET WIDE - 60 OR MORE FOOT SPAN)</t>
  </si>
  <si>
    <t>ARCH FRAME UNIT (5.01 TO 6 FEET WIDE - -60 OR MORE FOOT SPAN)</t>
  </si>
  <si>
    <t>ARCH FRAME UNIT (OVER 6 FEET WIDE - 60 OR MORE FOOT SPAN)</t>
  </si>
  <si>
    <t>QUARRY FACED GRANITE</t>
  </si>
  <si>
    <t>LAMINATED  ELASTOMERIC BEARING W/ ANCHOR BOLTS (0-50)</t>
  </si>
  <si>
    <t>LAMINATED  ELASTOMERIC BEARING W/ ANCHOR BOLTS (51-100)</t>
  </si>
  <si>
    <t>LAMINATED  ELASTOMERIC BEARING W/ ANCHOR BOLTS (101-150)</t>
  </si>
  <si>
    <t>LAMINATED  ELASTOMERIC BEARING W/ ANCHOR BOLTS (151-200)</t>
  </si>
  <si>
    <t>LAMINATED  ELASTOMERIC BEARING W/ ANCHOR BOLTS (&gt;200)</t>
  </si>
  <si>
    <t>LAMINATED  ELASTOMERIC BEARING W/O ANCHOR BOLTS (0-50)</t>
  </si>
  <si>
    <t>LAMINATED  ELASTOMERIC BEARING W/O ANCHOR BOLTS (51-100)</t>
  </si>
  <si>
    <t>LAMINATED  ELASTOMERIC BEARING W/O ANCHOR BOLTS (101-150)</t>
  </si>
  <si>
    <t>LAMINATED  ELASTOMERIC BEARING W/O ANCHOR BOLTS (151-200)</t>
  </si>
  <si>
    <t>LAMINATED  ELASTOMERIC BEARING W/O ANCHOR BOLTS (&gt;200)</t>
  </si>
  <si>
    <t>LAMINATED SLIDING ELASTOMERIC BEARING W/ ANCHOR BOLTS (0-50)</t>
  </si>
  <si>
    <t>LAMINATED SLIDING ELASTOMERIC BEARING W/ ANCHOR BOLTS (51-100)</t>
  </si>
  <si>
    <t>LAMINATED SLIDING ELASTOMERIC BEARING W/ ANCHOR BOLTS (101-150)</t>
  </si>
  <si>
    <t>LAMINATED SLIDING ELASTOMERIC BEARING W/ ANCHOR BOLTS (151-200)</t>
  </si>
  <si>
    <t>LAMINATED SLIDING ELASTOMERIC BEARING W/ ANCHOR BOLTS (&gt;200)</t>
  </si>
  <si>
    <t>LAMINATED SLIDING ELASTOMERIC BEARING W/O ANCHOR BOLTS (0-50)</t>
  </si>
  <si>
    <t>LAMINATED SLIDING ELASTOMERIC BEARING W/O ANCHOR BOLTS (51-100)</t>
  </si>
  <si>
    <t>LAMINATED SLIDING ELASTOMERIC BEARING W/O ANCHOR BOLTS (101-150)</t>
  </si>
  <si>
    <t>LAMINATED SLIDING ELASTOMERIC BEARING W/O ANCHOR BOLTS (151-200)</t>
  </si>
  <si>
    <t>LAMINATED SLIDING ELASTOMERIC BEARING W/O ANCHOR BOLTS (&gt;200)</t>
  </si>
  <si>
    <t>PRESTRESSED CONCRETE DECK BEAMS (S36-12)</t>
  </si>
  <si>
    <t>PRESTRESSED CONCRETE DECK BEAMS (S36-15)</t>
  </si>
  <si>
    <t>PRESTRESSED CONCRETE DECK BEAMS (S36-18)</t>
  </si>
  <si>
    <t>PRESTRESSED CONCRETE DECK BEAMS (S36-21)</t>
  </si>
  <si>
    <t>PRESTRESSED CONCRETE DECK BEAMS (S48-12)</t>
  </si>
  <si>
    <t>PRESTRESSED CONCRETE DECK BEAMS (S48-15)</t>
  </si>
  <si>
    <t>PRESTRESSED CONCRETE DECK BEAMS (S48-18)</t>
  </si>
  <si>
    <t>PRESTRESSED CONCRETE DECK BEAMS (S48-21)</t>
  </si>
  <si>
    <t>PRESTRESSED CONCRETE BOX BEAMS (B36-24)</t>
  </si>
  <si>
    <t>PRESTRESSED CONCRETE BOX BEAMS (B36-27)</t>
  </si>
  <si>
    <t>PRESTRESSED CONCRETE BOX BEAMS (B36-30)</t>
  </si>
  <si>
    <t>PRESTRESSED CONCRETE BOX BEAMS (B36-33)</t>
  </si>
  <si>
    <t>PRESTRESSED CONCRETE BOX BEAMS (B36-36)</t>
  </si>
  <si>
    <t>PRESTRESSED CONCRETE BOX BEAMS (B36-39)</t>
  </si>
  <si>
    <t>PRESTRESSED CONCRETE BOX BEAMS (B36-42)</t>
  </si>
  <si>
    <t>PRESTRESSED CONCRETE BOX BEAMS (B36-45)</t>
  </si>
  <si>
    <t>PRESTRESSED CONCRETE BOX BEAMS (B36-48)</t>
  </si>
  <si>
    <t>PRESTRESSED CONCRETE BOX BEAMS (B48-24)</t>
  </si>
  <si>
    <t>PRESTRESSED CONCRETE BOX BEAMS (B48-27)</t>
  </si>
  <si>
    <t>PRESTRESSED CONCRETE BOX BEAMS (B48-30)</t>
  </si>
  <si>
    <t>PRESTRESSED CONCRETE BOX BEAMS (B48-33)</t>
  </si>
  <si>
    <t>PRESTRESSED CONCRETE BOX BEAMS (B48-36)</t>
  </si>
  <si>
    <t>PRESTRESSED CONCRETE BOX BEAMS (B48-39)</t>
  </si>
  <si>
    <t>PRESTRESSED CONCRETE BOX BEAMS (B48-42)</t>
  </si>
  <si>
    <t>PRESTRESSED CONCRETE BOX BEAMS (B48-45)</t>
  </si>
  <si>
    <t>PRESTRESSED CONCRETE BOX BEAMS (B48-48)</t>
  </si>
  <si>
    <t>HIGH PERFORMANCE PRESTRESSED CONCRETE BOX BEAMS (B36-24)</t>
  </si>
  <si>
    <t>HIGH PERFORMANCE PRESTRESSED CONCRETE BOX BEAMS (B36-27)</t>
  </si>
  <si>
    <t>HIGH PERFORMANCE PRESTRESSED CONCRETE BOX BEAMS (B36-30)</t>
  </si>
  <si>
    <t>HIGH PERFORMANCE PRESTRESSED CONCRETE BOX BEAMS (B36-33)</t>
  </si>
  <si>
    <t>HIGH PERFORMANCE PRESTRESSED CONCRETE BOX BEAMS (B36-36)</t>
  </si>
  <si>
    <t>HIGH PERFORMANCE PRESTRESSED CONCRETE BOX BEAMS (B36-39)</t>
  </si>
  <si>
    <t>HIGH PERFORMANCE PRESTRESSED CONCRETE BOX BEAMS (B36-42)</t>
  </si>
  <si>
    <t>HIGH PERFORMANCE PRESTRESSED CONCRETE BOX BEAMS (B36-45)</t>
  </si>
  <si>
    <t>HIGH PERFORMANCE PRESTRESSED CONCRETE BOX BEAMS (B36-48)</t>
  </si>
  <si>
    <t>HIGH PERFORMANCE PRESTRESSED CONCRETE BOX BEAMS (B48-24)</t>
  </si>
  <si>
    <t>HIGH PERFORMANCE PRESTRESSED CONCRETE BOX BEAMS (B48-27)</t>
  </si>
  <si>
    <t>HIGH PERFORMANCE PRESTRESSED CONCRETE BOX BEAMS (B48-30)</t>
  </si>
  <si>
    <t>HIGH PERFORMANCE PRESTRESSED CONCRETE BOX BEAMS (B48-33)</t>
  </si>
  <si>
    <t>HIGH PERFORMANCE PRESTRESSED CONCRETE BOX BEAMS (B48-36)</t>
  </si>
  <si>
    <t>HIGH PERFORMANCE PRESTRESSED CONCRETE BOX BEAMS (B48-39)</t>
  </si>
  <si>
    <t>HIGH PERFORMANCE PRESTRESSED CONCRETE BOX BEAMS (B48-42)</t>
  </si>
  <si>
    <t>HIGH PERFORMANCE PRESTRESSED CONCRETE BOX BEAMS (B48-45)</t>
  </si>
  <si>
    <t>HIGH PERFORMANCE PRESTRESSED CONCRETE BOX BEAMS (B48-48)</t>
  </si>
  <si>
    <t>PRESTRESSED CONCRETE BULB TEE BEAMS (NEBT 1000)</t>
  </si>
  <si>
    <t>PRESTRESSED CONCRETE BULB TEE BEAMS (NEBT 1200)</t>
  </si>
  <si>
    <t>PRESTRESSED CONCRETE BULB TEE BEAMS (NEBT 1400)</t>
  </si>
  <si>
    <t>PRESTRESSED CONCRETE BULB TEE BEAMS (NEBT 1600)</t>
  </si>
  <si>
    <t>PRESTRESSED CONCRETE BULB TEE BEAMS (NEBT 1800)</t>
  </si>
  <si>
    <t>HIGH PERFORM. PRESTRESSED CONCRETE BULB TEE BEAMS (NEBT1000)</t>
  </si>
  <si>
    <t>HIGH PERFORM. PRESTRESSED CONCRETE BULB TEE BEAMS (NEBT1200)</t>
  </si>
  <si>
    <t>HIGH PERFORM. PRESTRESSED CONCRETE BULB TEE BEAMS (NEBT1400)</t>
  </si>
  <si>
    <t>HIGH PERFORM. PRESTRESSED CONCRETE BULB TEE BEAMS (NEBT1600)</t>
  </si>
  <si>
    <t>HIGH PERFORM. PRESTRESSED CONCRETE BULB TEE BEAMS (NEBT1800)</t>
  </si>
  <si>
    <t>ELASTOMERIC BRIDGE BEARING PAD</t>
  </si>
  <si>
    <t>UNTREATED TIMBER PILES</t>
  </si>
  <si>
    <t>TREATED TIMBER PILES</t>
  </si>
  <si>
    <t>STEEL PILE HP 10 X 42</t>
  </si>
  <si>
    <t>STEEL PILE HP 12 X 53</t>
  </si>
  <si>
    <t>STEEL PILE HP 12 X 63.</t>
  </si>
  <si>
    <t>STEEL PILE HP 12 X 74</t>
  </si>
  <si>
    <t>STEEL PILE HP 14 X 73</t>
  </si>
  <si>
    <t>STEEL PILE HP 14 X 102</t>
  </si>
  <si>
    <t>STEEL PILE HP 14 X 117</t>
  </si>
  <si>
    <t>STEEL PIPE PILE 8-5/8 INCH OUTSIDE DIAMETER</t>
  </si>
  <si>
    <t>STEEL PIPE PILE 10 INCH OUTSIDE DIAMETER</t>
  </si>
  <si>
    <t>STEEL PIPE PILE 10-3/4 INCH OUTSIDE DIAMETER</t>
  </si>
  <si>
    <t>STEEL PIPE PILE 12 INCH OUTSIDE DIAMETER</t>
  </si>
  <si>
    <t>STEEL PIPE PILE 12-3/4 INCH OUTSIDE DIAMETER</t>
  </si>
  <si>
    <t>STEEL PIPE PILE 14 INCH OUTSIDE DIAMETER</t>
  </si>
  <si>
    <t>STEEL PIPE PILE 16 INCH OUTSIDE DIAMETER</t>
  </si>
  <si>
    <t>STEEL PILE SPLICE HP 10 X 42</t>
  </si>
  <si>
    <t>STEEL PILE SPLICE HP 10 X 57</t>
  </si>
  <si>
    <t>STEEL PILE SPLICE HP 12 X 53</t>
  </si>
  <si>
    <t>STEEL PILE SPLICE HP 12 X 63</t>
  </si>
  <si>
    <t>STEEL PILE SPLICE HP 12 X 74</t>
  </si>
  <si>
    <t>STEEL PILE SPLICE HP 14 X 73</t>
  </si>
  <si>
    <t>STEEL PILE SPLICE HP 14 X 102</t>
  </si>
  <si>
    <t>STEEL PILE SPLICE HP 14 X 117</t>
  </si>
  <si>
    <t>CAST-IN-PLACE CONCRETE PILES</t>
  </si>
  <si>
    <t>DRILLED SHAFT EXCAVATION 3.0 FOOT DIAMETER</t>
  </si>
  <si>
    <t>DRILLED SHAFT EXCAVATION 4.0 FOOT DIAMETER</t>
  </si>
  <si>
    <t>DRILLED SHAFT EXCAVATION 4.5 FOOT DIAMETER</t>
  </si>
  <si>
    <t>DRILLED SHAFT EXCAVATION 5.5 FOOT DIAMETER</t>
  </si>
  <si>
    <t>DRILLED SHAFT EXCAVATION 6.0 FOOT DIAMETER</t>
  </si>
  <si>
    <t>DRILLED SHAFT EXCAVATION 6.5 FOOT DIAMETER</t>
  </si>
  <si>
    <t>DRILLED SHAFT EXCAVATION 7.0 FOOT DIAMETER</t>
  </si>
  <si>
    <t>DRILLED SHAFT EXCAVATION 7.5 FOOT DIAMETER</t>
  </si>
  <si>
    <t>DRILLED SHAFT EXCAVATION 8.0 FOOT DIAMETER</t>
  </si>
  <si>
    <t>DRILLED SHAFT EXCAVATION 8.5 FOOT DIAMETER</t>
  </si>
  <si>
    <t>DRILLED SHAFT EXCAVATION 9.0 FOOT DIAMETER</t>
  </si>
  <si>
    <t>ROCK SOCKET EXCAVATION 3.0 FOOT DIAMETER</t>
  </si>
  <si>
    <t>ROCK SOCKET EXCAVATION 4.0 FOOT DIAMETER</t>
  </si>
  <si>
    <t>ROCK SOCKET EXCAVATION 5.0 FOOT DIAMETER</t>
  </si>
  <si>
    <t>ROCK SOCKET EXCAVATION 5.5 FOOT DIAMETER</t>
  </si>
  <si>
    <t>ROCK SOCKET EXCAVATION 6.0 FOOT DIAMETER</t>
  </si>
  <si>
    <t>ROCK SOCKET EXCAVATION 6.5 FOOT DIAMETER</t>
  </si>
  <si>
    <t>ROCK SOCKET EXCAVATION 7.0 FOOT DIAMETER</t>
  </si>
  <si>
    <t>ROCK SOCKET EXCAVATION 7.5 FOOT DIAMETER</t>
  </si>
  <si>
    <t>ROCK SOCKET EXCAVATION 8.0 FOOT DIAMETER</t>
  </si>
  <si>
    <t>ROCK SOCKET EXCAVATION 8.5 FOOT DIAMETER</t>
  </si>
  <si>
    <t>ROCK SOCKET EXCAVATION 9.0 FOOT DIAMETER</t>
  </si>
  <si>
    <t>OBSTRUCTION EXCAVATION 3.0 FOOT DIAMETER</t>
  </si>
  <si>
    <t>OBSTRUCTION EXCAVATION 3.5 FOOT DIAMETER</t>
  </si>
  <si>
    <t>OBSTRUCTION EXCAVATION 4.0 FOOT DIAMETER</t>
  </si>
  <si>
    <t>OBSTRUCTION EXCAVATION 4.5 FOOT DIAMETER</t>
  </si>
  <si>
    <t>OBSTRUCTION EXCAVATION 5.5 FOOT DIAMETER</t>
  </si>
  <si>
    <t>OBSTRUCTION EXCAVATION 6.0 FOOT DIAMETER</t>
  </si>
  <si>
    <t>OBSTRUCTION EXCAVATION 6.5 FOOT DIAMETER</t>
  </si>
  <si>
    <t>OBSTRUCTION EXCAVATION 7.0 FOOT DIAMETER</t>
  </si>
  <si>
    <t>OBSTRUCTION EXCAVATION 7.5 FOOT DIAMETER</t>
  </si>
  <si>
    <t>OBSTRUCTION EXCAVATION 8.0 FOOT DIAMETER</t>
  </si>
  <si>
    <t>OBSTRUCTION EXCAVATION 8.5 FOOT DIAMETER</t>
  </si>
  <si>
    <t>OBSTRUCTION EXCAVATION 9.0 FOOT DIAMETER</t>
  </si>
  <si>
    <t>TRIAL SHAFT 3.0 FOOT DIAMETER</t>
  </si>
  <si>
    <t>TRIAL SHAFT 3.5 FOOT DIAMETER</t>
  </si>
  <si>
    <t>TRIAL SHAFT 4.0 FOOT DIAMETER</t>
  </si>
  <si>
    <t>TRIAL SHAFT 4.5 FOOT DIAMETER</t>
  </si>
  <si>
    <t>TRIAL SHAFT 5.5 FOOT DIAMETER</t>
  </si>
  <si>
    <t>TRIAL SHAFT 6.0 FOOT DIAMETER</t>
  </si>
  <si>
    <t>TRIAL SHAFT 6.5 FOOT DIAMETER</t>
  </si>
  <si>
    <t>TRIAL SHAFT 7.0 FOOT DIAMETER</t>
  </si>
  <si>
    <t>TRIAL SHAFT 7.5 FOOT DIAMETER</t>
  </si>
  <si>
    <t>TRIAL SHAFT 8.0 FOOT DIAMETER</t>
  </si>
  <si>
    <t>TRIAL SHAFT 8.5 FOOT DIAMETER</t>
  </si>
  <si>
    <t>TRIAL SHAFT 9.0 FOOT DIAMETER</t>
  </si>
  <si>
    <t>DRILLED SHAFT 3.0 FOOT DIAMETER</t>
  </si>
  <si>
    <t>DRILLED SHAFT 4.0 FOOT DIAMETER</t>
  </si>
  <si>
    <t>DRILLED SHAFT 4.5 FOOT DIAMETER</t>
  </si>
  <si>
    <t>DRILLED SHAFT 5.5 FOOT DIAMETER</t>
  </si>
  <si>
    <t>DRILLED SHAFT 6.0 FOOT DIAMETER</t>
  </si>
  <si>
    <t>DRILLED SHAFT 6.5 FOOT DIAMETER</t>
  </si>
  <si>
    <t>DRILLED SHAFT 7.0 FOOT DIAMETER</t>
  </si>
  <si>
    <t>DRILLED SHAFT 7.5 FOOT DIAMETER</t>
  </si>
  <si>
    <t>DRILLED SHAFT 8.0 FOOT DIAMETER</t>
  </si>
  <si>
    <t>DRILLED SHAFT 8.5 FOOT DIAMETER</t>
  </si>
  <si>
    <t>DRILLED SHAFT 9.0 FOOT DIAMETER</t>
  </si>
  <si>
    <t>PERMANENT CASING 3.0 FOOT DIAMETER</t>
  </si>
  <si>
    <t>PERMANENT CASING 3.5 FOOT DIAMETER</t>
  </si>
  <si>
    <t>PERMANENT CASING 4.0 FOOT DIAMETER</t>
  </si>
  <si>
    <t>PERMANENT CASING 4.5 FOOT DIAMETER</t>
  </si>
  <si>
    <t>PERMANENT CASING 5.5 FOOT DIAMETER</t>
  </si>
  <si>
    <t>PERMANENT CASING 6.0 FOOT DIAMETER</t>
  </si>
  <si>
    <t>PERMANENT CASING 6.5 FOOT DIAMETER</t>
  </si>
  <si>
    <t>PERMANENT CASING 7.0 FOOT DIAMETER</t>
  </si>
  <si>
    <t>PERMANENT CASING 7.5 FOOT DIAMETER</t>
  </si>
  <si>
    <t>PERMANENT CASING 8.0 FOOT DIAMETER</t>
  </si>
  <si>
    <t>PERMANENT CASING 8.5 FOOT DIAMETER</t>
  </si>
  <si>
    <t>PERMANENT CASING 9.0 FOOT DIAMETER</t>
  </si>
  <si>
    <t>CONVENTIONAL AXIAL LOAD TEST</t>
  </si>
  <si>
    <t>PRECAST-PRESTRESSED CONCRETE PILE - 14 INCH</t>
  </si>
  <si>
    <t>PRECAST-PRESTRESSED CONCRETE PILE - 16 INCH</t>
  </si>
  <si>
    <t>PRECAST-PRESTRESSED CONCRETE PILE - 18 INCH</t>
  </si>
  <si>
    <t>PRECAST-PRESTRESSED CONCRETE PILE - 20 INCH</t>
  </si>
  <si>
    <t>TIMBER TEST PILE</t>
  </si>
  <si>
    <t>MAINTAINED LOAD TEST</t>
  </si>
  <si>
    <t>QUICK LOAD TEST</t>
  </si>
  <si>
    <t>STATIC - CYCLIC (EXPRESS) LOAD TEST</t>
  </si>
  <si>
    <t>DYNAMIC LOAD TEST PREPARATION</t>
  </si>
  <si>
    <t>LUMBER SHEETING</t>
  </si>
  <si>
    <t>WOOD SHEETING</t>
  </si>
  <si>
    <t>STEEL SHEETING</t>
  </si>
  <si>
    <t>STRUCTURAL STEEL</t>
  </si>
  <si>
    <t>STRUCTURAL STEEL - UNCOATED</t>
  </si>
  <si>
    <t>STRUCTURAL STEEL - M270 GRADE 70HPS AND 50 HPS</t>
  </si>
  <si>
    <t>CLEAN AND PAINT (OVERCOAT) STEEL BRIDGE NO.                               </t>
  </si>
  <si>
    <t>CLEAN (FULL REMOVAL) AND PAINT STEEL BRIDGE NO.                 </t>
  </si>
  <si>
    <t>CLEAN (FULL REMOVAL) AND PAINT STEEL BRIDGE NO.               </t>
  </si>
  <si>
    <t>CLEAN (FULL REMOVAL) AND PAINT STEEL BRIDGE NO.           </t>
  </si>
  <si>
    <t>LINSEED ANTI-SPALLING COMPOUND</t>
  </si>
  <si>
    <t>EPOXY PROTECTIVE COATING</t>
  </si>
  <si>
    <t>EPOXY BONDING UNDER PRESSURE</t>
  </si>
  <si>
    <t>WATERPROOFING PROTECTIVE COURSE</t>
  </si>
  <si>
    <t>SCUPPER</t>
  </si>
  <si>
    <t>DAMP-PROOFING</t>
  </si>
  <si>
    <t>METAL BRIDGE RAILING REMOVED AND RESET</t>
  </si>
  <si>
    <t>METAL BRIDGE RAILING REMOVED AND STACKED</t>
  </si>
  <si>
    <t>METAL BRIDGE RAILING (3 RAIL), STEEL (TYPE S3-TL4)</t>
  </si>
  <si>
    <t>METAL BRIDGE RAILING (3 RAIL), ALUMINUM (TYPE AL-3)</t>
  </si>
  <si>
    <t>PROTECTIVE SCREEN TYPE I</t>
  </si>
  <si>
    <t>SNOW FENCE 3 FEET HIGH</t>
  </si>
  <si>
    <t>SNOW FENCE 4 FEET HIGH</t>
  </si>
  <si>
    <t>MARINE HARDWARE</t>
  </si>
  <si>
    <t>FENDER LOG</t>
  </si>
  <si>
    <t>ALUMINUM GANGWAY</t>
  </si>
  <si>
    <t>TIMBER GANGWAY</t>
  </si>
  <si>
    <t>MODIFIED DUMPED RIPRAP</t>
  </si>
  <si>
    <t>RIPRAP (MORTARED)</t>
  </si>
  <si>
    <t>STONE AND STONE CHIPS FOR FOR WATEWAY REVETMENTS, GROINS, JETTIES, BREAKWATERS AND MOUNDS</t>
  </si>
  <si>
    <t>STONE FOR EROSION CONTROL</t>
  </si>
  <si>
    <t>SLOPE PAVING</t>
  </si>
  <si>
    <t>SPECIAL SLOPE PAVING UNDER BRIDGE - QUARRY STONE</t>
  </si>
  <si>
    <t>SPECIAL SLOPE PAVING UNDER BRIDGE - QUARRY STONE GROUTED</t>
  </si>
  <si>
    <t>SPECIAL SLOPE PAVING UNDER BRIDGE - PRECAST CONCRETE BLOCKS</t>
  </si>
  <si>
    <t>GROUTED CHANNEL PAVING</t>
  </si>
  <si>
    <t>MODIFIED CHANNEL PAVING</t>
  </si>
  <si>
    <t>REPAIRS TO CONCRETE</t>
  </si>
  <si>
    <t>REPAIRS TO CONCRETE STAIRS</t>
  </si>
  <si>
    <t>COFFERDAM STRUCTURE NO.             </t>
  </si>
  <si>
    <t>CONTROL OF WATER - STRUCTURE NO.             </t>
  </si>
  <si>
    <t>ALTERATION TO BRIDGE STRUCTURE NO.             </t>
  </si>
  <si>
    <t>TEMPORARY SUPPORTS FOR WATER PIPE</t>
  </si>
  <si>
    <t>TEMPORARY BRIDGE NO.             </t>
  </si>
  <si>
    <t>TEMPORARY BRIDGE NO.              REMOVED AND STACKED</t>
  </si>
  <si>
    <t>TEMPORARY PROTECTIVE SHIELDING  BRIDGE NO.                               </t>
  </si>
  <si>
    <t>INSTALL PROTECTIVE SHIELDING</t>
  </si>
  <si>
    <t>REMOVE PROTECTIVE SHIELDING</t>
  </si>
  <si>
    <t>BRIDGE SUPERSTRUCTURE, BRIDGE NO.              </t>
  </si>
  <si>
    <t>BRIDGE STRUCTURE, BRIDGE NO.             </t>
  </si>
  <si>
    <t>CULVERT STRUCTURE, CULVERT NO.               </t>
  </si>
  <si>
    <t>BRIDGE STRUCTURE, BRIDGE NO.               </t>
  </si>
  <si>
    <t>CULVERT STRUCTURE, CULVERT NO.             </t>
  </si>
  <si>
    <t>WALL STRUCTURE, WALL NO.                                 </t>
  </si>
  <si>
    <t>NOISE BARRIER STRUCTURE</t>
  </si>
  <si>
    <t>NOISE BARRIER FOUNDATION</t>
  </si>
  <si>
    <t>WEEP HOLE FOR NOISE BARRIER STRUCTURE</t>
  </si>
  <si>
    <t>MECHANICALLY STABILIZED EARTH WALL</t>
  </si>
  <si>
    <t>Section100_Earthwork</t>
  </si>
  <si>
    <t>Section200_Drainage</t>
  </si>
  <si>
    <t>Section300_Water</t>
  </si>
  <si>
    <t>Section400_Pavement</t>
  </si>
  <si>
    <t>Section500_Edging</t>
  </si>
  <si>
    <t>Section700_Incidental</t>
  </si>
  <si>
    <t>Section900_Structures</t>
  </si>
  <si>
    <t>Section600_Guard_Fence_Wall</t>
  </si>
  <si>
    <t>Section800_TrafficControl</t>
  </si>
  <si>
    <t>ITEM NUMBER</t>
  </si>
  <si>
    <t>LOCK AND HIDE ROW AFTER</t>
  </si>
  <si>
    <t>Error?</t>
  </si>
  <si>
    <t xml:space="preserve">Step #2: </t>
  </si>
  <si>
    <t xml:space="preserve">Step #3: </t>
  </si>
  <si>
    <t>Step #1:</t>
  </si>
  <si>
    <t>Please follow the steps below to best utilize this cost estimating tool for your project:</t>
  </si>
  <si>
    <r>
      <t>What is the length of the segment or roadway?</t>
    </r>
    <r>
      <rPr>
        <i/>
        <sz val="9"/>
        <rFont val="Calibri"/>
        <family val="2"/>
        <scheme val="minor"/>
      </rPr>
      <t xml:space="preserve"> (in feet)</t>
    </r>
  </si>
  <si>
    <r>
      <t>What is the existing width of the roadway?</t>
    </r>
    <r>
      <rPr>
        <i/>
        <sz val="9"/>
        <rFont val="Calibri"/>
        <family val="2"/>
        <scheme val="minor"/>
      </rPr>
      <t xml:space="preserve"> (in feet)</t>
    </r>
  </si>
  <si>
    <r>
      <t>What is the proposed width of the roadway?</t>
    </r>
    <r>
      <rPr>
        <i/>
        <sz val="9"/>
        <rFont val="Calibri"/>
        <family val="2"/>
        <scheme val="minor"/>
      </rPr>
      <t xml:space="preserve"> (in feet)</t>
    </r>
  </si>
  <si>
    <r>
      <t>How many driveways are along the roadway?</t>
    </r>
    <r>
      <rPr>
        <i/>
        <sz val="9"/>
        <rFont val="Calibri"/>
        <family val="2"/>
        <scheme val="minor"/>
      </rPr>
      <t xml:space="preserve"> (both sides)</t>
    </r>
  </si>
  <si>
    <r>
      <rPr>
        <sz val="10"/>
        <rFont val="Calibri"/>
        <family val="2"/>
        <scheme val="minor"/>
      </rPr>
      <t xml:space="preserve">Total Length </t>
    </r>
    <r>
      <rPr>
        <i/>
        <sz val="9"/>
        <rFont val="Calibri"/>
        <family val="2"/>
        <scheme val="minor"/>
      </rPr>
      <t>(in feet)</t>
    </r>
  </si>
  <si>
    <r>
      <t>How many bike signals are proposed?</t>
    </r>
    <r>
      <rPr>
        <i/>
        <sz val="9"/>
        <rFont val="Calibri"/>
        <family val="2"/>
        <scheme val="minor"/>
      </rPr>
      <t xml:space="preserve"> (each, per direction)</t>
    </r>
  </si>
  <si>
    <r>
      <t>Proposed HMA Thickness</t>
    </r>
    <r>
      <rPr>
        <i/>
        <sz val="11"/>
        <rFont val="Calibri"/>
        <family val="2"/>
        <scheme val="minor"/>
      </rPr>
      <t xml:space="preserve"> (in inches)</t>
    </r>
  </si>
  <si>
    <r>
      <t xml:space="preserve">Proposed Agg Base Thickness  </t>
    </r>
    <r>
      <rPr>
        <i/>
        <sz val="11"/>
        <rFont val="Calibri"/>
        <family val="2"/>
        <scheme val="minor"/>
      </rPr>
      <t>(in inches)</t>
    </r>
  </si>
  <si>
    <r>
      <t>Approximate total additional areas to be treated?</t>
    </r>
    <r>
      <rPr>
        <i/>
        <sz val="11"/>
        <rFont val="Calibri"/>
        <family val="2"/>
        <scheme val="minor"/>
      </rPr>
      <t xml:space="preserve"> (in SF)</t>
    </r>
  </si>
  <si>
    <t>CONTINGENCY</t>
  </si>
  <si>
    <t>CONSTRUCTION COST (WITHOUT ESCALATION)</t>
  </si>
  <si>
    <t>What is the proposed curbing on the left side of the road?</t>
  </si>
  <si>
    <t>What is the proposed curbing on the right side of the road?</t>
  </si>
  <si>
    <t>VGC, Conc, Edging, R&amp;R</t>
  </si>
  <si>
    <t>assume 1.5' wide</t>
  </si>
  <si>
    <t>Circumference of island =</t>
  </si>
  <si>
    <t>Roundabout edging =</t>
  </si>
  <si>
    <t>Roadway edging =</t>
  </si>
  <si>
    <t>Mini Roundabouts:</t>
  </si>
  <si>
    <r>
      <rPr>
        <sz val="9"/>
        <rFont val="Calibri"/>
        <family val="2"/>
        <scheme val="minor"/>
      </rPr>
      <t>|</t>
    </r>
    <r>
      <rPr>
        <i/>
        <sz val="9"/>
        <rFont val="Calibri"/>
        <family val="2"/>
        <scheme val="minor"/>
      </rPr>
      <t xml:space="preserve"> 1.75"+1.75"+4"+4"+8"</t>
    </r>
  </si>
  <si>
    <r>
      <rPr>
        <sz val="9"/>
        <rFont val="Calibri"/>
        <family val="2"/>
        <scheme val="minor"/>
      </rPr>
      <t>|</t>
    </r>
    <r>
      <rPr>
        <i/>
        <sz val="9"/>
        <rFont val="Calibri"/>
        <family val="2"/>
        <scheme val="minor"/>
      </rPr>
      <t xml:space="preserve"> 1.75"+1.75"+6"+8"</t>
    </r>
  </si>
  <si>
    <r>
      <rPr>
        <sz val="9"/>
        <rFont val="Calibri"/>
        <family val="2"/>
        <scheme val="minor"/>
      </rPr>
      <t>|</t>
    </r>
    <r>
      <rPr>
        <i/>
        <sz val="9"/>
        <rFont val="Calibri"/>
        <family val="2"/>
        <scheme val="minor"/>
      </rPr>
      <t xml:space="preserve"> assume gravel across 6" rise</t>
    </r>
  </si>
  <si>
    <r>
      <rPr>
        <sz val="9"/>
        <rFont val="Calibri"/>
        <family val="2"/>
        <scheme val="minor"/>
      </rPr>
      <t xml:space="preserve">| </t>
    </r>
    <r>
      <rPr>
        <i/>
        <sz val="9"/>
        <rFont val="Calibri"/>
        <family val="2"/>
        <scheme val="minor"/>
      </rPr>
      <t>Add 25% for swell</t>
    </r>
  </si>
  <si>
    <r>
      <rPr>
        <sz val="9"/>
        <rFont val="Calibri"/>
        <family val="2"/>
        <scheme val="minor"/>
      </rPr>
      <t>|</t>
    </r>
    <r>
      <rPr>
        <i/>
        <sz val="9"/>
        <rFont val="Calibri"/>
        <family val="2"/>
        <scheme val="minor"/>
      </rPr>
      <t xml:space="preserve"> Sum of SW, SUP, and BL</t>
    </r>
  </si>
  <si>
    <t>| Assume half as many sanitary structures needing adjustment compared to drainage</t>
  </si>
  <si>
    <t>Questions to resolve</t>
  </si>
  <si>
    <r>
      <t>Average width of roadway for the treatment area:</t>
    </r>
    <r>
      <rPr>
        <i/>
        <sz val="11"/>
        <rFont val="Calibri"/>
        <family val="2"/>
        <scheme val="minor"/>
      </rPr>
      <t xml:space="preserve"> (in feet)</t>
    </r>
  </si>
  <si>
    <r>
      <t>Existing HMA Thickness, if known</t>
    </r>
    <r>
      <rPr>
        <i/>
        <sz val="11"/>
        <rFont val="Calibri"/>
        <family val="2"/>
        <scheme val="minor"/>
      </rPr>
      <t xml:space="preserve"> (in inches)</t>
    </r>
  </si>
  <si>
    <r>
      <t>Existing Agg Base Thickness, if known</t>
    </r>
    <r>
      <rPr>
        <i/>
        <sz val="11"/>
        <rFont val="Calibri"/>
        <family val="2"/>
        <scheme val="minor"/>
      </rPr>
      <t xml:space="preserve"> (in inches)</t>
    </r>
  </si>
  <si>
    <t>Aggregate?</t>
  </si>
  <si>
    <t>PAVEMENT PRESERVATION PROJECT INPUTS</t>
  </si>
  <si>
    <t>Ped Ramps?</t>
  </si>
  <si>
    <t>Resurfacing sub list</t>
  </si>
  <si>
    <t>Should this ever have crack seal?</t>
  </si>
  <si>
    <t>Should this ever have Patching?</t>
  </si>
  <si>
    <t>Utility density</t>
  </si>
  <si>
    <t>Other - Non-Standard Bid Item</t>
  </si>
  <si>
    <t>Are you doing Crack Seal?</t>
  </si>
  <si>
    <t>Preparation:</t>
  </si>
  <si>
    <t>Pedestrian Pushbuttons</t>
  </si>
  <si>
    <t>Pavement Alerts</t>
  </si>
  <si>
    <t>Roundabout</t>
  </si>
  <si>
    <t>CIVIL</t>
  </si>
  <si>
    <t>Furnish &amp; Install Rack Mounted 2 Channel Loop Detector Amplifier</t>
  </si>
  <si>
    <t>Assume 1000 ft per approach- needed for any loop detection upgrades or ex intersection upgrades</t>
  </si>
  <si>
    <t>Small Pipe/Box Culvert Concrete/Fieldstone Headwall Calculation (MassDOT E206.6.0 - Assumes 36" Pipe, 1V:2H)</t>
  </si>
  <si>
    <t>Medium Pipe/Box Culvert Concrete/Fieldstone Headwall Calculation (MassDOT E206.6.0 - Assumes 72" Pipe, 1V:2H)</t>
  </si>
  <si>
    <t>Large Pipe/Box Culvert Concrete/Fieldstone Headwall Calculation (Extrapolated, Assumes 120" Pipe, 1V:2H)</t>
  </si>
  <si>
    <t>Total (SY)</t>
  </si>
  <si>
    <t>12" RCP</t>
  </si>
  <si>
    <t>Proposed Roadway Width</t>
  </si>
  <si>
    <t>Existing Roadway Width</t>
  </si>
  <si>
    <t>18" RCP</t>
  </si>
  <si>
    <t>36" RCP</t>
  </si>
  <si>
    <t>72" RCP</t>
  </si>
  <si>
    <t>Medium Box Culvert:</t>
  </si>
  <si>
    <t>Small Box Culvert:</t>
  </si>
  <si>
    <t>Large Box Culvert:</t>
  </si>
  <si>
    <t>HMA Area:</t>
  </si>
  <si>
    <t>Conc Area:</t>
  </si>
  <si>
    <t>Curb Extensions</t>
  </si>
  <si>
    <t>assume 40' (2 sides) x 6' (parking lane -1)</t>
  </si>
  <si>
    <t>assume 20' x 6'</t>
  </si>
  <si>
    <t>Curb Extensions:</t>
  </si>
  <si>
    <t>Total New Length:</t>
  </si>
  <si>
    <t>|Rebuilt and New Conc Walls</t>
  </si>
  <si>
    <t>|Rebuilt and New Masonry Walls</t>
  </si>
  <si>
    <r>
      <rPr>
        <sz val="9"/>
        <rFont val="Calibri"/>
        <family val="2"/>
        <scheme val="minor"/>
      </rPr>
      <t>|</t>
    </r>
    <r>
      <rPr>
        <i/>
        <sz val="9"/>
        <rFont val="Calibri"/>
        <family val="2"/>
        <scheme val="minor"/>
      </rPr>
      <t xml:space="preserve"> exist barrier to be removed</t>
    </r>
  </si>
  <si>
    <t>Exist Conc Barriers:</t>
  </si>
  <si>
    <t>Masonry &amp; Conc Walls:</t>
  </si>
  <si>
    <r>
      <rPr>
        <sz val="9"/>
        <rFont val="Calibri"/>
        <family val="2"/>
        <scheme val="minor"/>
      </rPr>
      <t>|</t>
    </r>
    <r>
      <rPr>
        <i/>
        <sz val="9"/>
        <rFont val="Calibri"/>
        <family val="2"/>
        <scheme val="minor"/>
      </rPr>
      <t xml:space="preserve"> existing walls to be removed</t>
    </r>
  </si>
  <si>
    <t>AMENITIES</t>
  </si>
  <si>
    <t># =</t>
  </si>
  <si>
    <t>| From Multimodal tab</t>
  </si>
  <si>
    <t>MULTIMODAL AMENITIES</t>
  </si>
  <si>
    <r>
      <t xml:space="preserve">Total roadway length to be treated: </t>
    </r>
    <r>
      <rPr>
        <i/>
        <sz val="11"/>
        <rFont val="Calibri"/>
        <family val="2"/>
        <scheme val="minor"/>
      </rPr>
      <t>(in feet)</t>
    </r>
  </si>
  <si>
    <r>
      <t xml:space="preserve">If mixed treatment, area of resurfacing: </t>
    </r>
    <r>
      <rPr>
        <i/>
        <sz val="11"/>
        <rFont val="Calibri"/>
        <family val="2"/>
        <scheme val="minor"/>
      </rPr>
      <t>(in square feet)</t>
    </r>
  </si>
  <si>
    <t>TRAFFIC SIGNAL CONSTRUCTION LOCATION NO. 1</t>
  </si>
  <si>
    <t>TRAFFIC SIGNAL CONSTRUCTION LOCATION NO. 2</t>
  </si>
  <si>
    <t>TRAFFIC SIGNAL CONSTRUCTION LOCATION NO. 3</t>
  </si>
  <si>
    <t>TRAFFIC SIGNAL CONSTRUCTION LOCATION NO. 4</t>
  </si>
  <si>
    <t>DO NOT INPUT BELOW THIS LINE</t>
  </si>
  <si>
    <t>Spot Survey Only</t>
  </si>
  <si>
    <t>Full topo</t>
  </si>
  <si>
    <t>Pedestrian Signal Equipment</t>
  </si>
  <si>
    <t>If separated, what is the method of separation?</t>
  </si>
  <si>
    <t xml:space="preserve"> </t>
  </si>
  <si>
    <t>QC Checklist</t>
  </si>
  <si>
    <t>input msgs</t>
  </si>
  <si>
    <t>areas</t>
  </si>
  <si>
    <t>hyperlinks</t>
  </si>
  <si>
    <t>Basic Proj Data tab</t>
  </si>
  <si>
    <t>Roadway tab</t>
  </si>
  <si>
    <t>Multimodal tab</t>
  </si>
  <si>
    <t>Area tab</t>
  </si>
  <si>
    <t>Civil tab</t>
  </si>
  <si>
    <t>Edging tab</t>
  </si>
  <si>
    <t>Amenities tab</t>
  </si>
  <si>
    <t>Civil/Drainage/Edging Costs</t>
  </si>
  <si>
    <t>Standard Item Number &amp; Name</t>
  </si>
  <si>
    <r>
      <t>Length of roadway from Basic Project Data tab</t>
    </r>
    <r>
      <rPr>
        <i/>
        <sz val="9"/>
        <rFont val="Calibri"/>
        <family val="2"/>
        <scheme val="minor"/>
      </rPr>
      <t xml:space="preserve"> (in feet)</t>
    </r>
  </si>
  <si>
    <t>Assume spot survey is half the cost of a full - for pavement preservation-only projects</t>
  </si>
  <si>
    <t>Assume shoulder striping if pavement treatment besides repairs are proposed. Multiply length x 2 for both sides.</t>
  </si>
  <si>
    <t>Assume centerline striping if pavement treatment besides repairs are proposed. Multiply length x 2 for double line.</t>
  </si>
  <si>
    <t>How many utility poles, if any, must be relocated?</t>
  </si>
  <si>
    <t>SP01</t>
  </si>
  <si>
    <t>UTILITY POLE RELOCATION</t>
  </si>
  <si>
    <t># Poles:</t>
  </si>
  <si>
    <t># of utility structures to be adjusted?</t>
  </si>
  <si>
    <t>vc 10/25/2021</t>
  </si>
  <si>
    <t>FHWA Safe Transportation for Every Pedestrian (STEP)</t>
  </si>
  <si>
    <t>Signal Controller</t>
  </si>
  <si>
    <t>Retained</t>
  </si>
  <si>
    <t>HIGH FRICTION GREEN BICYCLE FACILITY SURFACE TREATMENT</t>
  </si>
  <si>
    <t>Separated Bike Lanes:</t>
  </si>
  <si>
    <t>These are good</t>
  </si>
  <si>
    <t>vc 10/26/2021</t>
  </si>
  <si>
    <t>Percentage</t>
  </si>
  <si>
    <t>Intersections:</t>
  </si>
  <si>
    <t>Driveways:</t>
  </si>
  <si>
    <t>Bike Boxes:</t>
  </si>
  <si>
    <t>| Assume 8' wide ladder-style CW</t>
  </si>
  <si>
    <t>| Assume average of 16'H x 30'W</t>
  </si>
  <si>
    <t>Bike Boxes</t>
  </si>
  <si>
    <t>| Assumed average 30' L  x 5'W</t>
  </si>
  <si>
    <t>| Assumed average 100' L  x 5'W</t>
  </si>
  <si>
    <t>PATH LIGHTING FIXTURE "A"</t>
  </si>
  <si>
    <t>Full Cost:</t>
  </si>
  <si>
    <t>Culvert Extensions</t>
  </si>
  <si>
    <t>TOTAL LIGHTING (SEE BELOW FOR PEDESTRIAN/ROADWAY BREAKDOWN)</t>
  </si>
  <si>
    <t>Full Depth &lt;4' for setting new granite curb:</t>
  </si>
  <si>
    <t>| Taken from Lighting</t>
  </si>
  <si>
    <t>Non Standard Item Number &amp; Name</t>
  </si>
  <si>
    <t>What is the depth (inches)?</t>
  </si>
  <si>
    <t>| Assumed 3 per approach</t>
  </si>
  <si>
    <t>| Additional based on Lighting fixtures</t>
  </si>
  <si>
    <t>Assumed 1 per  approach</t>
  </si>
  <si>
    <t>| From Multi-Modal Tab Wayfinding Signs</t>
  </si>
  <si>
    <t>Will pedestrian/bicycle-scale lighting (i.e. along a shared use path or facility offset from the roadway) be installed?</t>
  </si>
  <si>
    <t># Passes (Assume one per 12' width)</t>
  </si>
  <si>
    <t>Length of project * # passes =</t>
  </si>
  <si>
    <t>spell check</t>
  </si>
  <si>
    <t>Cem Conc SUP:</t>
  </si>
  <si>
    <t>Cem Conc SBL:</t>
  </si>
  <si>
    <t>Cem Conc Buffers:</t>
  </si>
  <si>
    <t>Ped Refuge Islands:</t>
  </si>
  <si>
    <t>Conc Medians:</t>
  </si>
  <si>
    <t>FURNISH &amp; INSTALL 3 SECTION 8" BICYCLE HEAD</t>
  </si>
  <si>
    <t>Drainage tab</t>
  </si>
  <si>
    <t>Traffic tab</t>
  </si>
  <si>
    <t>Signal tab</t>
  </si>
  <si>
    <t>Lighting Tab</t>
  </si>
  <si>
    <t>SK 10/19/21, VC 10/25/21</t>
  </si>
  <si>
    <t>Medians:</t>
  </si>
  <si>
    <r>
      <t xml:space="preserve">| </t>
    </r>
    <r>
      <rPr>
        <i/>
        <sz val="9"/>
        <rFont val="Calibri"/>
        <family val="2"/>
        <scheme val="minor"/>
      </rPr>
      <t>Conc, HMA, Hardscaped</t>
    </r>
  </si>
  <si>
    <r>
      <rPr>
        <sz val="9"/>
        <rFont val="Calibri"/>
        <family val="2"/>
        <scheme val="minor"/>
      </rPr>
      <t xml:space="preserve">| </t>
    </r>
    <r>
      <rPr>
        <i/>
        <sz val="9"/>
        <rFont val="Calibri"/>
        <family val="2"/>
        <scheme val="minor"/>
      </rPr>
      <t>Conc, HMA, Hardscaped</t>
    </r>
  </si>
  <si>
    <t>Raised Non-Landscaped Buffers:</t>
  </si>
  <si>
    <t>PEDESTRIAN HYBRID BEACON (PHB)</t>
  </si>
  <si>
    <t>Ped Refuge Islands</t>
  </si>
  <si>
    <t>Total Pavement:</t>
  </si>
  <si>
    <t>Exist CLF:</t>
  </si>
  <si>
    <t>NEW Wood Rail Fence:</t>
  </si>
  <si>
    <t>SUBTRACT OUT COSTS ASSOCIATED WITH HANDHOLES AND CONDUIT NEEDED FOR LIGHTING</t>
  </si>
  <si>
    <t>804.3 FOR LIGHTING</t>
  </si>
  <si>
    <t>811.22 FOR LIGHTING</t>
  </si>
  <si>
    <t>Is work to be done Resurfacing or Pavement Preservation?</t>
  </si>
  <si>
    <t>Preservation</t>
  </si>
  <si>
    <t>Options</t>
  </si>
  <si>
    <t>If any, how many culverts require extensions?</t>
  </si>
  <si>
    <t>vc 10/27/2021</t>
  </si>
  <si>
    <r>
      <rPr>
        <sz val="9"/>
        <rFont val="Calibri"/>
        <family val="2"/>
        <scheme val="minor"/>
      </rPr>
      <t>|</t>
    </r>
    <r>
      <rPr>
        <i/>
        <sz val="9"/>
        <rFont val="Calibri"/>
        <family val="2"/>
        <scheme val="minor"/>
      </rPr>
      <t xml:space="preserve"> assume same depth for all </t>
    </r>
  </si>
  <si>
    <r>
      <rPr>
        <sz val="9"/>
        <rFont val="Calibri"/>
        <family val="2"/>
        <scheme val="minor"/>
      </rPr>
      <t>|</t>
    </r>
    <r>
      <rPr>
        <i/>
        <sz val="9"/>
        <rFont val="Calibri"/>
        <family val="2"/>
        <scheme val="minor"/>
      </rPr>
      <t xml:space="preserve"> landscape, hardscape, conc, HMA</t>
    </r>
  </si>
  <si>
    <t>HMA Ped/Bike Facilities:</t>
  </si>
  <si>
    <t>Conc Ped/Bike Facilities:</t>
  </si>
  <si>
    <t>Agg Ped/Bike Facilities::</t>
  </si>
  <si>
    <t>Porous Ped/Bike Facilities:</t>
  </si>
  <si>
    <r>
      <rPr>
        <sz val="9"/>
        <rFont val="Calibri"/>
        <family val="2"/>
        <scheme val="minor"/>
      </rPr>
      <t>|</t>
    </r>
    <r>
      <rPr>
        <i/>
        <sz val="9"/>
        <rFont val="Calibri"/>
        <family val="2"/>
        <scheme val="minor"/>
      </rPr>
      <t xml:space="preserve"> sidewalk + SUP + SBL</t>
    </r>
  </si>
  <si>
    <t>Raised Non-Landscaped Medians:</t>
  </si>
  <si>
    <t>|From Item 201</t>
  </si>
  <si>
    <t>|From Item 202</t>
  </si>
  <si>
    <t>|From Item 220.3</t>
  </si>
  <si>
    <t>MassDOT Item #</t>
  </si>
  <si>
    <t>MassDOT Item Name</t>
  </si>
  <si>
    <t>Cost/ton</t>
  </si>
  <si>
    <t>RBT</t>
  </si>
  <si>
    <t>Pavement Pres Tab</t>
  </si>
  <si>
    <t xml:space="preserve">How many mid-block crosswalks will be installed or reconstructed? </t>
  </si>
  <si>
    <t>If any, how many TOTAL RRFB* locations will be installed to enhance these mid-block crosswalks?</t>
  </si>
  <si>
    <t>If any, how many TOTAL PHB* locations will be installed to enhance these mid-block crosswalks?</t>
  </si>
  <si>
    <t>*Review Link for Selection of Appropriate Midblock Crossing Treatments:</t>
  </si>
  <si>
    <t>Items from the User-Inputs tab</t>
  </si>
  <si>
    <t>Roadway Widening*</t>
  </si>
  <si>
    <t>*When the proposed width of the roadway is wider than the existing width, full depth construction is assumed for the difference in width.</t>
  </si>
  <si>
    <t>From % FD</t>
  </si>
  <si>
    <t>Full Depth</t>
  </si>
  <si>
    <t>Bike Only**</t>
  </si>
  <si>
    <t>**pavement for flex post, paint, and modular curbing in bike buffers are assumed to be included in the roadway width, which is inputted as curb-to-curb.</t>
  </si>
  <si>
    <t>assume this width of grading limits wherever there is a proposed SUP or SW:</t>
  </si>
  <si>
    <t>Unit Price (Max or Override)</t>
  </si>
  <si>
    <t xml:space="preserve">Standard Items are sorted by category. Standard specifications can be found at: </t>
  </si>
  <si>
    <t>https://www.mass.gov/lists/construction-specifications</t>
  </si>
  <si>
    <t>BACKUP INFO</t>
  </si>
  <si>
    <t>Based on answer to detection question</t>
  </si>
  <si>
    <t>vc 10/29</t>
  </si>
  <si>
    <t>Area and Treatment Type (SF)</t>
  </si>
  <si>
    <t>Total Area (SF)</t>
  </si>
  <si>
    <t>Total Vol (CF)</t>
  </si>
  <si>
    <t>Indicate Existing condition equipment that will be retained (if black, do not fill out)</t>
  </si>
  <si>
    <t>Light poles will be relocated</t>
  </si>
  <si>
    <t>Lights will be upgraded to LED</t>
  </si>
  <si>
    <t>RELOCATED LIGHTING?</t>
  </si>
  <si>
    <t>Assumes 14’ to 20’ ornamental pole, does not include new foundations - quantity has been added to Item # 812.09</t>
  </si>
  <si>
    <t>Assume a precast foundation for every new and relocated light pole</t>
  </si>
  <si>
    <t>UPGRADED LIGHTING?</t>
  </si>
  <si>
    <t>Highway Lighting Pole and Luminaire Removed and Reset</t>
  </si>
  <si>
    <t>Highway Lighting Luminaire LED Upgrade</t>
  </si>
  <si>
    <t>Assumed a Central Business District or Downtown area; price may vary  based on luminaire type</t>
  </si>
  <si>
    <t>RECTANGULAR RAPID FLASHING BEACON (RRFB)</t>
  </si>
  <si>
    <t>If approach is greater than 2 lanes this is assumed needed</t>
  </si>
  <si>
    <t>Assumed 2 needed per crosswalk</t>
  </si>
  <si>
    <t>vc 11/2/2021</t>
  </si>
  <si>
    <t>Anticipated Project Elements</t>
  </si>
  <si>
    <t>Click on the checkboxes to check off the anticipated project elements that will be included in the project. This will help identify which of the tabs must be filled in next in the 4 boxes at the bottom of the page. Check the INSTRUCTIONS tab for elements excluded from this tool, such as bridges and high retaining walls.</t>
  </si>
  <si>
    <t>What are the proposed pedestrian accommodations?</t>
  </si>
  <si>
    <t>What is the buffer width to the adjacent bicycle facility or roadway?</t>
  </si>
  <si>
    <t>What are the proposed bicycle accommodations?</t>
  </si>
  <si>
    <t>Roadway &amp; Multimodal</t>
  </si>
  <si>
    <t>Areas are calculated on this page based on inputs on the Roadway and Multimodal tabs. No user inputs are required on this page.</t>
  </si>
  <si>
    <t>ks 12/17/21</t>
  </si>
  <si>
    <t>DESIGN AND SURVEY COSTS</t>
  </si>
  <si>
    <t>CONCEPTUAL COST ESTIMATE</t>
  </si>
  <si>
    <t># side streets question?</t>
  </si>
  <si>
    <t>How many bike crossings across intersections and side streets will be painted green?</t>
  </si>
  <si>
    <t>How many bike crossings across driveways will be painted green?</t>
  </si>
  <si>
    <t>| Assume at half of curb extensions where there is exist drainage</t>
  </si>
  <si>
    <t>| Assume at half of curb extensions, add 1 CB</t>
  </si>
  <si>
    <t>|Length from Item 241.18</t>
  </si>
  <si>
    <t>|Length from Item 241.36</t>
  </si>
  <si>
    <t>|Length from Item 241.72</t>
  </si>
  <si>
    <t>|Length from Item 904.4</t>
  </si>
  <si>
    <t>|Length from Item 241.12</t>
  </si>
  <si>
    <t>Raised Crossings :</t>
  </si>
  <si>
    <t>| Total length of Raised Crossings</t>
  </si>
  <si>
    <t>Medium Box Culvert Calculation (10'x6')</t>
  </si>
  <si>
    <t>| Assume each pair of ramps needs 1 CW</t>
  </si>
  <si>
    <t>| Assume 50'L x 8' W ladder-style CW</t>
  </si>
  <si>
    <t>Crosswalks:</t>
  </si>
  <si>
    <t>width of trench = diam of pipe + 36"</t>
  </si>
  <si>
    <t>1.5 = depth of gravel</t>
  </si>
  <si>
    <t>Adding LPI's</t>
  </si>
  <si>
    <t>Item # 
(Not MassDOT Bid Item)</t>
  </si>
  <si>
    <t>Total Wt. (tons)</t>
  </si>
  <si>
    <t>Depth (in)</t>
  </si>
  <si>
    <t>HMA Unit Wt (pcf)</t>
  </si>
  <si>
    <t>depth taken from Pvmnt tab |</t>
  </si>
  <si>
    <t>Unit Wt (pcf)</t>
  </si>
  <si>
    <t>1.15 = % swell</t>
  </si>
  <si>
    <t>TEMPORARY IMPACT ATTENUATOR, REMOVED AND RESET</t>
  </si>
  <si>
    <t>LOAM FOR ROADSIDES</t>
  </si>
  <si>
    <t>this calc takes length of pipe from linked pipe items, multiplies by area of trench, converts to cy and then assumes additional 15% swell.</t>
  </si>
  <si>
    <t>area = total culvert area - culvert void</t>
  </si>
  <si>
    <t>assume wall thickness = 1'</t>
  </si>
  <si>
    <t>dimension is of the culvert void</t>
  </si>
  <si>
    <t>assume wall thickness = 1.5'</t>
  </si>
  <si>
    <t>assume wall thickness = 2'</t>
  </si>
  <si>
    <t>Pipe trench depth only includes excavation for the size of the pipe + 1' gravel bedding, assuming pipe will be installed deeper than 5'. The depth up to 5' is paid for under the pipe item per standard spec.</t>
  </si>
  <si>
    <t>Pipe trench width = size of pipe + 1.5' on each side per spec</t>
  </si>
  <si>
    <t>Culvert trench depth = height of culvert including wall thickness + 1' gravel bedding. See 904.4 for dimensions</t>
  </si>
  <si>
    <t>Culvert trench width = width of culvert including wall thickness + 1' on each side</t>
  </si>
  <si>
    <t xml:space="preserve">	WIRE TYPE 8 NO. 4 DIRECT BURIAL</t>
  </si>
  <si>
    <t>STABILIZED AGGREGATE</t>
  </si>
  <si>
    <t>Stabilized Aggeragate ped/bike facilities:</t>
  </si>
  <si>
    <t>Hardscape buffers/islands:</t>
  </si>
  <si>
    <t>| From Area Summary, assume hardscape is brick</t>
  </si>
  <si>
    <t>CALCULATION BREAKDOWN</t>
  </si>
  <si>
    <t>Asphalt Cost Per Ton?</t>
  </si>
  <si>
    <t>Cost Multiplier</t>
  </si>
  <si>
    <t>HMA Product?</t>
  </si>
  <si>
    <r>
      <rPr>
        <b/>
        <sz val="12"/>
        <rFont val="Calibri"/>
        <family val="2"/>
        <scheme val="minor"/>
      </rPr>
      <t xml:space="preserve">Output Cost   </t>
    </r>
    <r>
      <rPr>
        <b/>
        <sz val="10"/>
        <rFont val="Calibri"/>
        <family val="2"/>
        <scheme val="minor"/>
      </rPr>
      <t xml:space="preserve"> </t>
    </r>
    <r>
      <rPr>
        <b/>
        <i/>
        <sz val="8"/>
        <rFont val="Calibri"/>
        <family val="2"/>
        <scheme val="minor"/>
      </rPr>
      <t>(Incl. Utility Relocation, if necessary and Cost Multiplier)</t>
    </r>
  </si>
  <si>
    <t>Unit Cost Override</t>
  </si>
  <si>
    <t>Cost Source</t>
  </si>
  <si>
    <t>i.e. cul-de-sacs, side street approaches, turnout areas</t>
  </si>
  <si>
    <t>Price Override?</t>
  </si>
  <si>
    <t>M</t>
  </si>
  <si>
    <t>Will the project involve relocating and/or replacing/new road signs?</t>
  </si>
  <si>
    <t>Signs</t>
  </si>
  <si>
    <t>Relocating</t>
  </si>
  <si>
    <t>Replacing/New</t>
  </si>
  <si>
    <t>Mean District Price</t>
  </si>
  <si>
    <t>Traffic/Signal Costs</t>
  </si>
  <si>
    <t>CALC TABS</t>
  </si>
  <si>
    <t>PRIMARY INPUT CATEGORY</t>
  </si>
  <si>
    <t>State Aid Reimburseable Program Estimating Tool (SARPET)</t>
  </si>
  <si>
    <t>Chapter 90/Complete Streets/Safe Routes to School/Shared Streets</t>
  </si>
  <si>
    <t>Total Cost for Survey &amp; Design</t>
  </si>
  <si>
    <t>Did the user want the design fee per answers in Basic Project Data?</t>
  </si>
  <si>
    <t>State Aid Reimbursable Programs Estimating Tool (SARPET)</t>
  </si>
  <si>
    <t>Project Estimate</t>
  </si>
  <si>
    <t>Costs not Included in Tool</t>
  </si>
  <si>
    <t>Important Notes for Using Tool</t>
  </si>
  <si>
    <t xml:space="preserve">A tool for estimating project costs for Chapter 90, Complete Streets, Safe Routes to School, Shared Streets and Spaces, Local Bottleneck Reduction, Municipal Pavement, and other local projects. </t>
  </si>
  <si>
    <t>The tool makes calculations based on MassDOT weighted bid prices and data entered on the following tabs:</t>
  </si>
  <si>
    <t>The tool results are shown in two forms on the following tabs:</t>
  </si>
  <si>
    <t>The tool's background calculations can be seen on the following tabs:</t>
  </si>
  <si>
    <t>This table can be pasted directly into MassDOT's Preliminary Estimate Form. In order to ensure no formulas or formatting are lost, be sure to paste as "Values."</t>
  </si>
  <si>
    <t>Lighting &amp; Amenities</t>
  </si>
  <si>
    <t>Ped/Roadway Lighting/Amenities Costs</t>
  </si>
  <si>
    <t>PVMTPRES</t>
  </si>
  <si>
    <t>MISCELLANEOUS USER-INPUTTED ITEMS</t>
  </si>
  <si>
    <t>Miscellaneous User-Inputted Costs</t>
  </si>
  <si>
    <t>Link to ProjectEstimate Sheet for Items List</t>
  </si>
  <si>
    <t>Link to Override Unit Costs and See Calcs</t>
  </si>
  <si>
    <t>Assumed pricing - could range from $300k to $1 million, update as necessary on Project Estimate</t>
  </si>
  <si>
    <t>Last Updated:</t>
  </si>
  <si>
    <t>Use this tab to input any unique or special project items that are not included in the ProjectEstimate tab. Depending on the specific scope of your project, the ProjectEstimate may not include some uncommon items. Check the ProjectEstimate tab and then fill in the chart below for any additional items that you would like to add to your cost estimate. If an item inputted below is already included in the ProjectEstimate tab, the tool will inform you.</t>
  </si>
  <si>
    <t>State Aid Reimbursable Program Estimating Tool (SARPET)</t>
  </si>
  <si>
    <t>Items are calculated in the grey tabs of this document</t>
  </si>
  <si>
    <t>SARPET INSTRUCTIONS</t>
  </si>
  <si>
    <t>HMA JOINT ADHESIVE</t>
  </si>
  <si>
    <t>PW is "BIDPRICE"</t>
  </si>
  <si>
    <t>DATA LAST UPDATED:</t>
  </si>
  <si>
    <t xml:space="preserve">Input your project scope information into the Basic Project Data tab. This tab will identify which of the other input tabs need to be filled in based on your project scope. </t>
  </si>
  <si>
    <t>Fill in Roadway, Multimodal, Traffic Control and Pavement tabs as directed by the Basic Project Data tab.</t>
  </si>
  <si>
    <t>Review which items are included in the construction cost estimate by navigating to the ProjectEstimate tab. If any items appear to be missing, enter them in the MiscItems tab.</t>
  </si>
  <si>
    <t>Step #4:</t>
  </si>
  <si>
    <t xml:space="preserve">Step #6: </t>
  </si>
  <si>
    <t xml:space="preserve">Step #5 (Optional): </t>
  </si>
  <si>
    <t xml:space="preserve">Double check the calculations and assumptions in the grey tabs and make edits as appropriate. Unit prices can be overridden in the highlighted cells to the right of the calculations. To prevent accidental errors, certain cells have been locked. Use password “MODIFY” if you wish to unlock these cells for any reason. </t>
  </si>
  <si>
    <t>Review the cost estimate in the ProjectSummary and ProjectEstimate tabs. The ProjectSummary tab provides the overall project cost broken down by category and includes costs beyond construction items, such as contingencies. The ProjectEstimate tab shows construction costs using MassDOT Standard Items, user-inputted items, and pavement items. This sheet can be used to fill the MassDOT Preliminary Estimate Form.</t>
  </si>
  <si>
    <t>•Costs associated with environmental mitigation, landscaping, permitting and right-of-way are not included in this tool.</t>
  </si>
  <si>
    <t>•Costs associated with stormwater quality measures or sedimentation and erosion control measures are not included in this tool.</t>
  </si>
  <si>
    <t xml:space="preserve">•Projects that include bridges or structural retaining walls over four feet are not good candidates for SARPET. A structural engineer should be consulted to estimate these costs.	</t>
  </si>
  <si>
    <t xml:space="preserve">•Items that are unique to certain situations and locations may not be estimated by this tool. The tool attempts to quantify the most common items needed for local projects, but the user should verify whether all project elements have been included and input any items that are missing in the MiscItems tab. Examples include sediment control barriers and clearing &amp; grubbing. Local experience with estimating project cost should always be considered. </t>
  </si>
  <si>
    <t xml:space="preserve">•The tool can only calculate estimates for up to four roadway segments and four signalized intersections at a time.		</t>
  </si>
  <si>
    <t xml:space="preserve">•Survey costs are calculated using an average base price developed through analysis of past design projects. This can be very sensitive to location and project scope, so it is recommended to get a survey quote from a qualified firm.	</t>
  </si>
  <si>
    <t xml:space="preserve">•Cost estimates are based on MassDOT's weighted bid prices. When available, the tool uses the Mean Unit Price of an item for the appropriate MassDOT District. If no District price is available, the Statewide Mean Unit Price is used. This document is updated biannually to refresh data to reflect the latest bid prices. It is important to visit the SARPET website periodically to download the latest version of the tool.		</t>
  </si>
  <si>
    <t>•Assumptions related to calculations of unit quantities can be seen in the grey tabs and can be edited as needed. Use password “MODIFY” to edit the data in the grey tabs. The password is case sensitive. Values that can be updated by the user are shaded in green.</t>
  </si>
  <si>
    <t xml:space="preserve">•Any changes made by the user to the formatting or formulas of this tool may adversely impact its functionality and result in inaccurate calculations. MassDOT recommends downloading a clean version of the tool from the SARPET website for each project.	</t>
  </si>
  <si>
    <t>•Informational messages are provided when clicking on various cells in the input tabs. If the info box is distracting or blocks too much information, it can be dragged off the screen where it will remain until the next time Excel is opened.</t>
  </si>
  <si>
    <t xml:space="preserve">•Items provided as output in the ProjectSummary and ProjectEstimate tabs are not necessarily eligible through all MassDOT funding programs. Always confirm eligibility of specific items with the Program Guidance of the relevant funding program or the appropriate MassDOT staff. </t>
  </si>
  <si>
    <t xml:space="preserve">•The ProjectSummary tab includes contingencies that are not included in the ProjectEstimate tab, which is strictly construction items.	</t>
  </si>
  <si>
    <t xml:space="preserve">•MassDOT has provided this tool to municipalities in an effort to assist in the development of cost estimates for local projects. MassDOT is not responsible for any cost differences between estimates provided by this tool and actual costs realized through the bidding or construction process. The user of this tool is responsible for ensuring that the inputs and outputs are accurate and reflective of the proposed project. Use of this tool is at the risk of the user.	</t>
  </si>
  <si>
    <t>Major Roadway</t>
  </si>
  <si>
    <t>Roadway 2 Name</t>
  </si>
  <si>
    <t>Roadway 3 Name</t>
  </si>
  <si>
    <t>Roadway 4 Name</t>
  </si>
  <si>
    <t>BASED ON YOUR BASIC PROJECT DATA INPUTS, PLEASE FILL OUT THE FOLLOWING COLORED TABS:</t>
  </si>
  <si>
    <t>Assumed Inflation:</t>
  </si>
  <si>
    <t>Assumed 4.5% increase in costs per year; assumes current year if none entered on Basic Project Data</t>
  </si>
  <si>
    <t>Based on an assumed Mast Arm Mounted RRFB, if post mounted reduce unit price by 30% or more</t>
  </si>
  <si>
    <t>Column1</t>
  </si>
  <si>
    <t>HERBICIDE TREATMENT OF INVASIVE PLANTS</t>
  </si>
  <si>
    <t>12 INCH REINFORCED CONCRETE PIPE CLASS III</t>
  </si>
  <si>
    <t>15 INCH REINFORCED CONCRETE PIPE CLASS III</t>
  </si>
  <si>
    <t>18 INCH REINFORCED CONCRETE PIPE CLASS III</t>
  </si>
  <si>
    <t>24 INCH REINFORCED CONCRETE PIPE CLASS III</t>
  </si>
  <si>
    <t>36 INCH REINFORCED CONCRETE PIPE CLASS III</t>
  </si>
  <si>
    <t>PAVEMENT CRACK SEALING - CRACK SEALER</t>
  </si>
  <si>
    <t>PAVEMENT CRACK SEALING - HIGH PERFORMANCE CRACK SEALER</t>
  </si>
  <si>
    <t>IMPACT ATTENUATOR FOR SHOULDER, CAPABLE OF REDIRECTION</t>
  </si>
  <si>
    <t>LOAM FOR LAWNS</t>
  </si>
  <si>
    <t>COMPOST BLANKET</t>
  </si>
  <si>
    <t>SWEETGUM - FRUITLESS 2-2.5 INCH CALIPER</t>
  </si>
  <si>
    <t>SERVICEBERRY - AUTUMN BRILLIANCE 4-5 FEET</t>
  </si>
  <si>
    <t>BLUEBERRY - HIGHBUSH 2-3 FEET / #3</t>
  </si>
  <si>
    <t>DOGWOOD - SILKY 2-3 FEET / #3</t>
  </si>
  <si>
    <t>SUMMERSWEET SHRUB 3-4 FEET / #3</t>
  </si>
  <si>
    <t>ARBORVITAE 5-6 FEET</t>
  </si>
  <si>
    <t>MAPLE - RED 2-2.5 INCH CALIPER</t>
  </si>
  <si>
    <t>MAPLE - RED - RED SUNSET 2-2.5 INCH CALIPER</t>
  </si>
  <si>
    <t>INKBERRY - COMPACT 18-24 INCH / #1</t>
  </si>
  <si>
    <t>BAYBERRY SHRUB - NORTHERN 2-3 FEET / #3</t>
  </si>
  <si>
    <t>ELDERBERRY 2-3 FEET / #2</t>
  </si>
  <si>
    <t>SWEETFERN #1</t>
  </si>
  <si>
    <t>VIBURNUM - ARROWWOOD 18-24 INCHES / #2</t>
  </si>
  <si>
    <t>WINTERBERRY - MALE 18-24 INCH / #1</t>
  </si>
  <si>
    <t>WINTERBERRY - FEMALE 18-24 INCH / #1</t>
  </si>
  <si>
    <t>How many intersections include signal or roundabout work?</t>
  </si>
  <si>
    <t>If problems occur, please contact Andrew Fabiszewski - afabiszewski@hshassoc.com</t>
  </si>
  <si>
    <t>ENGINEER'S FIELD OFFICE AND EQUIPMENT (TYPE A)</t>
  </si>
  <si>
    <t>HAWTHORN - COCKSPUR 1.5-2 INCH CALIPER</t>
  </si>
  <si>
    <t>INKBERRY - COMPACT 2-3 FEET / #3</t>
  </si>
  <si>
    <t>DOGWOOD - REDOSIER 18-24 INCH / #1</t>
  </si>
  <si>
    <t>VIBURNUM - ARROWWOOD 3-4 FEET / #5</t>
  </si>
  <si>
    <t>JUNCTION BOX 12 X 12 X 8 INCHES</t>
  </si>
  <si>
    <t>TREE PROTECTION - ARMORING AND PRUNING</t>
  </si>
  <si>
    <t>DEMOLITION OF BUILDING NO. _____</t>
  </si>
  <si>
    <t>LARGE HOOK LOCK BAR GRATE - FURNISHED AND INSTALLED</t>
  </si>
  <si>
    <t>42 INCH REINFORCED CONCRETE PIPE CLASS III</t>
  </si>
  <si>
    <t>SUPERPAVE SURFACE COURSE - 9.5 (SSC - 9.5)</t>
  </si>
  <si>
    <t>SUPERPAVE SURFACE COURSE - 9.5 POLYMER (SSC - 9.5 - P)</t>
  </si>
  <si>
    <t>SUPERPAVE BRIDGE PROTECTIVE COURSE - 12.5 (SPC-B - 12.5)</t>
  </si>
  <si>
    <t>SUPERPAVE BRIDGE PROTECTIVE COURSE - 12.5POLYMER (SPC-B - 12.5 - P)</t>
  </si>
  <si>
    <t>SUPERPAVE HIGH PERFORMANCE SURFACE COURSE (HP-12.5)</t>
  </si>
  <si>
    <t>SAWING AND SEALING JOINTS IN ASPHALT PAVEMENT AT BRIDGES</t>
  </si>
  <si>
    <t>CHAIN LINK FENCE GATE W/GATE POSTS REMOVED AND STACKED</t>
  </si>
  <si>
    <t>CHAIN LINK FENCE GATE W/GATE POSTS REMOVED AND RESET</t>
  </si>
  <si>
    <t>LOCUST - HONEY - SHADEMASTER 2-2.5 INCH CALIPER</t>
  </si>
  <si>
    <t>MAPLE - RED - OCTOBER GLORY 8-10 FEET / #15</t>
  </si>
  <si>
    <t>MAPLE - RED - RED SUNSET 8-10 FEET / #15</t>
  </si>
  <si>
    <t>MAPLE - SUGAR - GREEN MOUNTAIN 2-2.5 INCH CALIPER</t>
  </si>
  <si>
    <t>OAK - SCARLET 1.5-2 INCH CALIPER</t>
  </si>
  <si>
    <t>OAK - WHITE 2-2.5 INCH CALIPER</t>
  </si>
  <si>
    <t>SWEETGUM - FRUITLESS 1.5-2 INCH CALIPER</t>
  </si>
  <si>
    <t>BIRCH - RIVER HERITAGE 4-5 FOOT / #7 CLUMP</t>
  </si>
  <si>
    <t>HAWTHORN - CRIMSON CLOUD 1.5-2 INCH CALIPER</t>
  </si>
  <si>
    <t>LILAC TREE - JAPANESE IVORY SILK 1.5-2 INCH CALIPER</t>
  </si>
  <si>
    <t>REDBUD - EASTERN 4-5 FEET</t>
  </si>
  <si>
    <t>REDBUD - EASTERN 6-8 FEET CLUMP</t>
  </si>
  <si>
    <t>REDBUD - EASTERN 7-8 FEET</t>
  </si>
  <si>
    <t>SERVICEBERRY - ALLEGHENY CLUMP 4-5 FEET</t>
  </si>
  <si>
    <t>SERVICEBERRY - ALLEGHENY CLUMP 7-8 FEET</t>
  </si>
  <si>
    <t>TULIP TREE 2-2.5 INCH CALIPER</t>
  </si>
  <si>
    <t>BEACH PLUM SHRUB 2-3 FEET / #3</t>
  </si>
  <si>
    <t>DOGWOOD - REDOSIER 2-3 FEET / #3</t>
  </si>
  <si>
    <t>DOGWOOD - SILKY 18-24 INCH / #1</t>
  </si>
  <si>
    <t>ROSE-VIRGINIA 18-24 INCH / #2</t>
  </si>
  <si>
    <t>SUMAC SHRUB - FRAGRANT-GRO-LOW 2-3 FEET / #2</t>
  </si>
  <si>
    <t>WINTERBERRY - MALE 24-30 INCH / #3</t>
  </si>
  <si>
    <t>WINTERBERRY - FEMALE 24-30 INCH / #3</t>
  </si>
  <si>
    <t>WITCH HAZEL - SPRING BLOOMING 2-3 FEET / #3</t>
  </si>
  <si>
    <t>WILLOW - PUSSY 2-3 FEET / #2</t>
  </si>
  <si>
    <t>JUNCTION BOX 24 X 24 X 10 INCHES</t>
  </si>
  <si>
    <t>LAMINATED ELASTOMERIC BEARING W/O ANCHOR BOLTS (151-200)</t>
  </si>
  <si>
    <t>CULVERT STRUCTURE, CULVERT NO. ______</t>
  </si>
  <si>
    <t>OPEN GRADED FRICTION COURSE - 9.5 - POLYMER MODIFIED (OGFC - P)</t>
  </si>
  <si>
    <t>LOCUST - HONEY - SKYLINE 2-2.5 INCH CALIPER</t>
  </si>
  <si>
    <t>MAPLE - RED - ARMSTRONG 2-2.5 INCH CALIPER</t>
  </si>
  <si>
    <t>MAPLE - RED - OCTOBER GLORY 2-2.5 INCH CALIPER</t>
  </si>
  <si>
    <t>ZELKOVA - VILLAGE GREEN 2-2.5 INCH CALIPER</t>
  </si>
  <si>
    <t>JUNE 2024</t>
  </si>
  <si>
    <t>ULTRATHIN BONDED OVERLAY - TYPE 2 - POLYMER</t>
  </si>
  <si>
    <t>SUPERPAVE SURFACE COURSE - 19.0 POLYMER (SSC - 19.0 - P)</t>
  </si>
  <si>
    <t>STRESS ABSORBING MEMBRANE - 1/2 INCH</t>
  </si>
  <si>
    <t>JUNIPER - GREEN SARGENT 18-24 INCH / #2</t>
  </si>
  <si>
    <t>YEW - UPRIGHT 2-2.5 FEET / #7</t>
  </si>
  <si>
    <t>JUNCTION BOX 6 X 6 X 4 INCHES</t>
  </si>
  <si>
    <t>JUNCTION BOX 12 X 12 X 6 INCHES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</si>
</sst>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6">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0.0000"/>
    <numFmt numFmtId="165" formatCode="&quot;$&quot;#,##0.00"/>
    <numFmt numFmtId="166" formatCode="&quot;$&quot;#,##0"/>
    <numFmt numFmtId="167" formatCode="##&quot;+&quot;##"/>
    <numFmt numFmtId="168" formatCode="0.0"/>
    <numFmt numFmtId="169" formatCode="#,##0.0"/>
    <numFmt numFmtId="170" formatCode="#,##0\ &quot;ft/&quot;"/>
    <numFmt numFmtId="171" formatCode="General\ &quot;ft&quot;"/>
    <numFmt numFmtId="172" formatCode="General&quot; +&quot;"/>
    <numFmt numFmtId="173" formatCode="#,##0\ &quot;ft&quot;"/>
    <numFmt numFmtId="174" formatCode="0&quot; ft&quot;"/>
    <numFmt numFmtId="175" formatCode="General&quot;*&quot;"/>
    <numFmt numFmtId="176" formatCode="0.00_)"/>
    <numFmt numFmtId="177" formatCode="0.0&quot; ft&quot;"/>
    <numFmt numFmtId="178" formatCode="0.00&quot; *&quot;"/>
    <numFmt numFmtId="179" formatCode="0.00&quot;/&quot;"/>
    <numFmt numFmtId="180" formatCode="0&quot; CY&quot;"/>
    <numFmt numFmtId="181" formatCode="0.0&quot; cy *&quot;"/>
    <numFmt numFmtId="182" formatCode="0&quot; SY&quot;"/>
    <numFmt numFmtId="183" formatCode="0.0&quot; sy *&quot;"/>
    <numFmt numFmtId="184" formatCode="0.00&quot; ft /&quot;"/>
    <numFmt numFmtId="185" formatCode="0\ &quot;LB&quot;"/>
    <numFmt numFmtId="186" formatCode="0&quot; ft /&quot;"/>
    <numFmt numFmtId="187" formatCode="0&quot; FT&quot;"/>
    <numFmt numFmtId="188" formatCode="0&quot; ft *&quot;"/>
    <numFmt numFmtId="189" formatCode="General&quot; ft)&quot;"/>
    <numFmt numFmtId="190" formatCode="0&quot; ft +&quot;"/>
    <numFmt numFmtId="191" formatCode="General&quot; SF&quot;"/>
    <numFmt numFmtId="192" formatCode="General&quot; ft *&quot;"/>
    <numFmt numFmtId="193" formatCode="General&quot; ft&quot;"/>
    <numFmt numFmtId="194" formatCode="0.00&quot; SY&quot;"/>
    <numFmt numFmtId="195" formatCode="###\+##\'\ ##\'\ \R\T"/>
    <numFmt numFmtId="196" formatCode="0\ &quot;FT&quot;"/>
    <numFmt numFmtId="197" formatCode="General&quot; wcr *&quot;"/>
    <numFmt numFmtId="198" formatCode="0&quot; CF&quot;"/>
    <numFmt numFmtId="199" formatCode="0.000"/>
    <numFmt numFmtId="200" formatCode="&quot;(&quot;0&quot; ft /&quot;"/>
    <numFmt numFmtId="201" formatCode="0&quot; ft)*&quot;"/>
    <numFmt numFmtId="202" formatCode="General\ \F\T"/>
    <numFmt numFmtId="203" formatCode="&quot;(&quot;General&quot; ft /&quot;"/>
    <numFmt numFmtId="204" formatCode="0&quot; ft) *&quot;"/>
    <numFmt numFmtId="205" formatCode="_(* #,##0_);_(* \(#,##0\);_(* &quot;-&quot;??_);_(@_)"/>
    <numFmt numFmtId="206" formatCode="0.0%"/>
    <numFmt numFmtId="207" formatCode="General&quot; sf *&quot;"/>
    <numFmt numFmtId="208" formatCode="General&quot; sf&quot;"/>
    <numFmt numFmtId="209" formatCode="0&quot; sf&quot;"/>
    <numFmt numFmtId="210" formatCode="General&quot; sf /&quot;"/>
    <numFmt numFmtId="211" formatCode="General&quot; &quot;"/>
    <numFmt numFmtId="212" formatCode="_(&quot;$&quot;* #,##0_);_(&quot;$&quot;* \(#,##0\);_(&quot;$&quot;* &quot;-&quot;??_);_(@_)"/>
    <numFmt numFmtId="213" formatCode="General&quot; ft /&quot;"/>
    <numFmt numFmtId="214" formatCode="General\ \f\t"/>
    <numFmt numFmtId="215" formatCode="0&quot; sf /&quot;"/>
    <numFmt numFmtId="216" formatCode="General&quot; SY&quot;"/>
    <numFmt numFmtId="217" formatCode="0.00&quot; sf /&quot;"/>
    <numFmt numFmtId="218" formatCode="0.00&quot; ft&quot;"/>
    <numFmt numFmtId="219" formatCode="0.0&quot; sf&quot;"/>
    <numFmt numFmtId="220" formatCode="0\ &quot;sf&quot;"/>
    <numFmt numFmtId="221" formatCode="0.0&quot; FT&quot;"/>
    <numFmt numFmtId="222" formatCode="#\ ?/?&quot;*&quot;"/>
    <numFmt numFmtId="223" formatCode="0&quot; SF&quot;"/>
    <numFmt numFmtId="224" formatCode="0.0&quot; ft *&quot;"/>
    <numFmt numFmtId="225" formatCode="0.0&quot; ft +&quot;"/>
    <numFmt numFmtId="226" formatCode="0.0&quot; SF&quot;"/>
    <numFmt numFmtId="227" formatCode="#,##0&quot; ft&quot;"/>
    <numFmt numFmtId="228" formatCode="General&quot; ft +&quot;"/>
    <numFmt numFmtId="229" formatCode="0&quot; in&quot;"/>
    <numFmt numFmtId="230" formatCode="0;\-0;;@"/>
    <numFmt numFmtId="231" formatCode="0\ &quot;SF&quot;"/>
    <numFmt numFmtId="232" formatCode="#,##0&quot; ft &quot;"/>
    <numFmt numFmtId="233" formatCode="&quot;$&quot;0.##&quot;/sf&quot;"/>
    <numFmt numFmtId="234" formatCode="&quot;(&quot;0.0&quot; sf +&quot;"/>
    <numFmt numFmtId="235" formatCode="0.0&quot; sf)&quot;"/>
    <numFmt numFmtId="236" formatCode="&quot;(&quot;General&quot; sf *&quot;"/>
    <numFmt numFmtId="237" formatCode="0&quot; ft) /&quot;"/>
    <numFmt numFmtId="238" formatCode="0.0&quot; cf /&quot;"/>
    <numFmt numFmtId="239" formatCode="#,###&quot; cy&quot;"/>
    <numFmt numFmtId="240" formatCode="#,###&quot; lb&quot;"/>
    <numFmt numFmtId="241" formatCode="00&quot; SF&quot;"/>
    <numFmt numFmtId="242" formatCode="General&quot; ft ^2/&quot;"/>
    <numFmt numFmtId="243" formatCode="0&quot; cy&quot;"/>
    <numFmt numFmtId="244" formatCode="&quot;&quot;General&quot; per 500 ft&quot;"/>
    <numFmt numFmtId="245" formatCode="#,##0&quot; lb&quot;"/>
    <numFmt numFmtId="246" formatCode="#,##0\ &quot;cy&quot;"/>
    <numFmt numFmtId="247" formatCode="General\ &quot;sf&quot;"/>
    <numFmt numFmtId="248" formatCode="&quot;(&quot;0&quot; ft +&quot;"/>
    <numFmt numFmtId="249" formatCode="0.0&quot; SY&quot;"/>
    <numFmt numFmtId="250" formatCode="General&quot; ft*&quot;"/>
    <numFmt numFmtId="251" formatCode="General&quot; CWs*&quot;"/>
    <numFmt numFmtId="252" formatCode="&quot;(&quot;General&quot; ft *&quot;"/>
    <numFmt numFmtId="253" formatCode="0&quot; ft)&quot;"/>
    <numFmt numFmtId="254" formatCode="General&quot; sf/&quot;"/>
  </numFmts>
  <fonts count="12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1"/>
      <name val="Times New Roman"/>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Futura Bk BT"/>
      <family val="2"/>
    </font>
    <font>
      <b/>
      <sz val="11"/>
      <name val="Futura Bk BT"/>
      <family val="2"/>
    </font>
    <font>
      <sz val="10"/>
      <name val="Arial"/>
      <family val="2"/>
    </font>
    <font>
      <sz val="10"/>
      <name val="Arial"/>
      <family val="2"/>
    </font>
    <font>
      <sz val="10"/>
      <name val="Arial"/>
      <family val="2"/>
    </font>
    <font>
      <sz val="10"/>
      <name val="Arial"/>
      <family val="2"/>
    </font>
    <font>
      <sz val="10"/>
      <name val="Arial"/>
      <family val="2"/>
    </font>
    <font>
      <sz val="12"/>
      <name val="Arial"/>
      <family val="2"/>
    </font>
    <font>
      <sz val="10"/>
      <name val="Arial"/>
      <family val="2"/>
    </font>
    <font>
      <sz val="10"/>
      <name val="Times New Roman"/>
      <family val="1"/>
    </font>
    <font>
      <b/>
      <sz val="11"/>
      <name val="Futura Bk B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2"/>
      <color theme="1"/>
      <name val="Calibri"/>
      <family val="2"/>
      <scheme val="minor"/>
    </font>
    <font>
      <sz val="20"/>
      <color rgb="FFFF0000"/>
      <name val="Futura Bk BT"/>
      <family val="2"/>
    </font>
    <font>
      <b/>
      <sz val="12"/>
      <name val="Futura Bk BT"/>
      <family val="2"/>
    </font>
    <font>
      <i/>
      <sz val="11"/>
      <name val="Futura Bk BT"/>
      <family val="2"/>
    </font>
    <font>
      <sz val="11"/>
      <color rgb="FFFF0000"/>
      <name val="Futura Bk BT"/>
      <family val="2"/>
    </font>
    <font>
      <b/>
      <u/>
      <sz val="11"/>
      <name val="Futura Bk BT"/>
      <family val="2"/>
    </font>
    <font>
      <b/>
      <sz val="11"/>
      <color rgb="FF333333"/>
      <name val="Futura Bk BT"/>
      <family val="2"/>
    </font>
    <font>
      <sz val="8"/>
      <color rgb="FF000000"/>
      <name val="Segoe UI"/>
      <family val="2"/>
    </font>
    <font>
      <b/>
      <sz val="11"/>
      <name val="Calibri"/>
      <family val="2"/>
      <scheme val="minor"/>
    </font>
    <font>
      <sz val="10"/>
      <color theme="1"/>
      <name val="Calibri"/>
      <family val="2"/>
      <scheme val="minor"/>
    </font>
    <font>
      <sz val="10"/>
      <name val="Arial"/>
      <family val="2"/>
    </font>
    <font>
      <b/>
      <sz val="12"/>
      <name val="Calibri"/>
      <family val="2"/>
      <scheme val="minor"/>
    </font>
    <font>
      <sz val="10"/>
      <name val="Arial"/>
      <family val="2"/>
    </font>
    <font>
      <u/>
      <sz val="10"/>
      <color theme="10"/>
      <name val="Arial"/>
      <family val="2"/>
    </font>
    <font>
      <u/>
      <sz val="11"/>
      <name val="Futura Bk BT"/>
      <family val="2"/>
    </font>
    <font>
      <b/>
      <sz val="10"/>
      <color theme="1"/>
      <name val="Calibri"/>
      <family val="2"/>
      <scheme val="minor"/>
    </font>
    <font>
      <b/>
      <sz val="16"/>
      <name val="Calibri"/>
      <family val="2"/>
      <scheme val="minor"/>
    </font>
    <font>
      <sz val="10"/>
      <name val="Calibri"/>
      <family val="2"/>
      <scheme val="minor"/>
    </font>
    <font>
      <sz val="12"/>
      <name val="Calibri"/>
      <family val="2"/>
      <scheme val="minor"/>
    </font>
    <font>
      <b/>
      <sz val="10"/>
      <name val="Calibri"/>
      <family val="2"/>
      <scheme val="minor"/>
    </font>
    <font>
      <sz val="11"/>
      <name val="Calibri"/>
      <family val="2"/>
      <scheme val="minor"/>
    </font>
    <font>
      <i/>
      <sz val="10"/>
      <name val="Calibri"/>
      <family val="2"/>
      <scheme val="minor"/>
    </font>
    <font>
      <i/>
      <sz val="8"/>
      <name val="Calibri"/>
      <family val="2"/>
      <scheme val="minor"/>
    </font>
    <font>
      <sz val="9"/>
      <name val="Calibri"/>
      <family val="2"/>
      <scheme val="minor"/>
    </font>
    <font>
      <sz val="9"/>
      <color rgb="FFFF0000"/>
      <name val="Calibri"/>
      <family val="2"/>
      <scheme val="minor"/>
    </font>
    <font>
      <i/>
      <sz val="9"/>
      <name val="Calibri"/>
      <family val="2"/>
      <scheme val="minor"/>
    </font>
    <font>
      <sz val="10"/>
      <color theme="0"/>
      <name val="Calibri"/>
      <family val="2"/>
      <scheme val="minor"/>
    </font>
    <font>
      <sz val="10"/>
      <color rgb="FFFF0000"/>
      <name val="Calibri"/>
      <family val="2"/>
      <scheme val="minor"/>
    </font>
    <font>
      <strike/>
      <sz val="10"/>
      <name val="Calibri"/>
      <family val="2"/>
      <scheme val="minor"/>
    </font>
    <font>
      <sz val="8"/>
      <name val="Calibri"/>
      <family val="2"/>
      <scheme val="minor"/>
    </font>
    <font>
      <i/>
      <sz val="11"/>
      <name val="Calibri"/>
      <family val="2"/>
      <scheme val="minor"/>
    </font>
    <font>
      <b/>
      <sz val="11"/>
      <color rgb="FFFF0000"/>
      <name val="Calibri"/>
      <family val="2"/>
      <scheme val="minor"/>
    </font>
    <font>
      <b/>
      <i/>
      <sz val="10"/>
      <name val="Calibri"/>
      <family val="2"/>
      <scheme val="minor"/>
    </font>
    <font>
      <b/>
      <i/>
      <sz val="11"/>
      <color theme="0" tint="-0.499984740745262"/>
      <name val="Calibri"/>
      <family val="2"/>
      <scheme val="minor"/>
    </font>
    <font>
      <b/>
      <u/>
      <sz val="11"/>
      <name val="Calibri"/>
      <family val="2"/>
      <scheme val="minor"/>
    </font>
    <font>
      <b/>
      <sz val="11"/>
      <color rgb="FF333333"/>
      <name val="Calibri"/>
      <family val="2"/>
      <scheme val="minor"/>
    </font>
    <font>
      <b/>
      <i/>
      <sz val="11"/>
      <name val="Calibri"/>
      <family val="2"/>
      <scheme val="minor"/>
    </font>
    <font>
      <i/>
      <sz val="14"/>
      <name val="Calibri"/>
      <family val="2"/>
      <scheme val="minor"/>
    </font>
    <font>
      <sz val="14"/>
      <name val="Calibri"/>
      <family val="2"/>
      <scheme val="minor"/>
    </font>
    <font>
      <b/>
      <i/>
      <sz val="14"/>
      <name val="Calibri"/>
      <family val="2"/>
      <scheme val="minor"/>
    </font>
    <font>
      <u/>
      <sz val="10"/>
      <color theme="10"/>
      <name val="Calibri"/>
      <family val="2"/>
      <scheme val="minor"/>
    </font>
    <font>
      <b/>
      <i/>
      <sz val="12"/>
      <name val="Calibri"/>
      <family val="2"/>
      <scheme val="minor"/>
    </font>
    <font>
      <b/>
      <u/>
      <sz val="12"/>
      <name val="Calibri"/>
      <family val="2"/>
      <scheme val="minor"/>
    </font>
    <font>
      <u/>
      <sz val="10"/>
      <name val="Calibri"/>
      <family val="2"/>
      <scheme val="minor"/>
    </font>
    <font>
      <i/>
      <u/>
      <sz val="10"/>
      <name val="Calibri"/>
      <family val="2"/>
      <scheme val="minor"/>
    </font>
    <font>
      <b/>
      <sz val="10"/>
      <color rgb="FFFF0000"/>
      <name val="Calibri"/>
      <family val="2"/>
      <scheme val="minor"/>
    </font>
    <font>
      <b/>
      <sz val="8"/>
      <name val="Calibri"/>
      <family val="2"/>
      <scheme val="minor"/>
    </font>
    <font>
      <b/>
      <sz val="13"/>
      <name val="Calibri"/>
      <family val="2"/>
      <scheme val="minor"/>
    </font>
    <font>
      <b/>
      <sz val="9"/>
      <name val="Calibri"/>
      <family val="2"/>
      <scheme val="minor"/>
    </font>
    <font>
      <b/>
      <u/>
      <sz val="10"/>
      <name val="Calibri"/>
      <family val="2"/>
      <scheme val="minor"/>
    </font>
    <font>
      <i/>
      <u/>
      <sz val="9"/>
      <name val="Calibri"/>
      <family val="2"/>
      <scheme val="minor"/>
    </font>
    <font>
      <i/>
      <sz val="12"/>
      <name val="Calibri"/>
      <family val="2"/>
      <scheme val="minor"/>
    </font>
    <font>
      <u/>
      <sz val="9"/>
      <name val="Calibri"/>
      <family val="2"/>
      <scheme val="minor"/>
    </font>
    <font>
      <b/>
      <u/>
      <sz val="9"/>
      <name val="Calibri"/>
      <family val="2"/>
      <scheme val="minor"/>
    </font>
    <font>
      <sz val="8"/>
      <color theme="0"/>
      <name val="Calibri"/>
      <family val="2"/>
      <scheme val="minor"/>
    </font>
    <font>
      <u/>
      <sz val="9"/>
      <color rgb="FF0070C0"/>
      <name val="Calibri"/>
      <family val="2"/>
      <scheme val="minor"/>
    </font>
    <font>
      <i/>
      <strike/>
      <sz val="10"/>
      <color rgb="FFFF0000"/>
      <name val="Calibri"/>
      <family val="2"/>
      <scheme val="minor"/>
    </font>
    <font>
      <b/>
      <sz val="11"/>
      <color theme="4"/>
      <name val="Calibri"/>
      <family val="2"/>
      <scheme val="minor"/>
    </font>
    <font>
      <u/>
      <sz val="11"/>
      <name val="Calibri"/>
      <family val="2"/>
      <scheme val="minor"/>
    </font>
    <font>
      <b/>
      <i/>
      <sz val="8"/>
      <name val="Calibri"/>
      <family val="2"/>
      <scheme val="minor"/>
    </font>
    <font>
      <b/>
      <sz val="18"/>
      <name val="Calibri"/>
      <family val="2"/>
      <scheme val="minor"/>
    </font>
    <font>
      <u/>
      <sz val="11"/>
      <color rgb="FF00B050"/>
      <name val="Arial"/>
      <family val="2"/>
    </font>
    <font>
      <sz val="14"/>
      <color theme="1"/>
      <name val="Calibri"/>
      <family val="2"/>
      <scheme val="minor"/>
    </font>
    <font>
      <sz val="11"/>
      <color rgb="FF002060"/>
      <name val="Calibri"/>
      <family val="2"/>
      <scheme val="minor"/>
    </font>
    <font>
      <b/>
      <sz val="11"/>
      <color rgb="FF002060"/>
      <name val="Calibri"/>
      <family val="2"/>
      <scheme val="minor"/>
    </font>
    <font>
      <u/>
      <sz val="11"/>
      <color rgb="FF004620"/>
      <name val="Arial"/>
      <family val="2"/>
    </font>
    <font>
      <b/>
      <sz val="11"/>
      <color rgb="FFD20000"/>
      <name val="Calibri"/>
      <family val="2"/>
      <scheme val="minor"/>
    </font>
    <font>
      <sz val="10"/>
      <color rgb="FFD20000"/>
      <name val="Calibri"/>
      <family val="2"/>
      <scheme val="minor"/>
    </font>
    <font>
      <sz val="11"/>
      <color rgb="FFD20000"/>
      <name val="Calibri"/>
      <family val="2"/>
      <scheme val="minor"/>
    </font>
    <font>
      <sz val="11"/>
      <color rgb="FFD20000"/>
      <name val="Futura Bk BT"/>
      <family val="2"/>
    </font>
    <font>
      <b/>
      <sz val="9"/>
      <color rgb="FFD20000"/>
      <name val="Calibri"/>
      <family val="2"/>
      <scheme val="minor"/>
    </font>
  </fonts>
  <fills count="7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9"/>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rgb="FFF5F5F5"/>
        <bgColor indexed="64"/>
      </patternFill>
    </fill>
    <fill>
      <patternFill patternType="solid">
        <fgColor rgb="FFFFFF00"/>
        <bgColor indexed="64"/>
      </patternFill>
    </fill>
    <fill>
      <patternFill patternType="solid">
        <fgColor theme="0" tint="-0.249977111117893"/>
        <bgColor indexed="64"/>
      </patternFill>
    </fill>
    <fill>
      <patternFill patternType="solid">
        <fgColor theme="4"/>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6"/>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1"/>
        <bgColor indexed="64"/>
      </patternFill>
    </fill>
    <fill>
      <patternFill patternType="solid">
        <fgColor rgb="FFFFC000"/>
        <bgColor indexed="64"/>
      </patternFill>
    </fill>
    <fill>
      <patternFill patternType="solid">
        <fgColor theme="0" tint="-0.34998626667073579"/>
        <bgColor indexed="64"/>
      </patternFill>
    </fill>
    <fill>
      <patternFill patternType="solid">
        <fgColor rgb="FFFFFF66"/>
        <bgColor indexed="64"/>
      </patternFill>
    </fill>
    <fill>
      <patternFill patternType="solid">
        <fgColor theme="1" tint="0.34998626667073579"/>
        <bgColor indexed="64"/>
      </patternFill>
    </fill>
    <fill>
      <patternFill patternType="solid">
        <fgColor rgb="FF92D050"/>
        <bgColor indexed="64"/>
      </patternFill>
    </fill>
  </fills>
  <borders count="8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
      <left style="medium">
        <color indexed="64"/>
      </left>
      <right style="thin">
        <color theme="0" tint="-0.14999847407452621"/>
      </right>
      <top style="medium">
        <color indexed="64"/>
      </top>
      <bottom style="medium">
        <color indexed="64"/>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thin">
        <color rgb="FF000000"/>
      </left>
      <right style="thin">
        <color rgb="FF000000"/>
      </right>
      <top style="thin">
        <color rgb="FF000000"/>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auto="1"/>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rgb="FF000000"/>
      </left>
      <right/>
      <top style="thin">
        <color rgb="FF000000"/>
      </top>
      <bottom/>
      <diagonal/>
    </border>
    <border>
      <left style="thin">
        <color indexed="64"/>
      </left>
      <right style="thin">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style="thin">
        <color indexed="64"/>
      </left>
      <right/>
      <top/>
      <bottom style="medium">
        <color indexed="64"/>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indexed="64"/>
      </left>
      <right/>
      <top style="thin">
        <color theme="0"/>
      </top>
      <bottom style="medium">
        <color indexed="64"/>
      </bottom>
      <diagonal/>
    </border>
    <border>
      <left/>
      <right/>
      <top style="thin">
        <color theme="0"/>
      </top>
      <bottom style="medium">
        <color indexed="64"/>
      </bottom>
      <diagonal/>
    </border>
    <border>
      <left/>
      <right style="medium">
        <color indexed="64"/>
      </right>
      <top style="thin">
        <color theme="0"/>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s>
  <cellStyleXfs count="252">
    <xf numFmtId="0" fontId="0" fillId="0" borderId="0"/>
    <xf numFmtId="0" fontId="9" fillId="2" borderId="0" applyNumberFormat="0" applyBorder="0" applyAlignment="0" applyProtection="0"/>
    <xf numFmtId="0" fontId="37" fillId="25" borderId="0" applyNumberFormat="0" applyBorder="0" applyAlignment="0" applyProtection="0"/>
    <xf numFmtId="0" fontId="9" fillId="3" borderId="0" applyNumberFormat="0" applyBorder="0" applyAlignment="0" applyProtection="0"/>
    <xf numFmtId="0" fontId="37" fillId="26" borderId="0" applyNumberFormat="0" applyBorder="0" applyAlignment="0" applyProtection="0"/>
    <xf numFmtId="0" fontId="9" fillId="4" borderId="0" applyNumberFormat="0" applyBorder="0" applyAlignment="0" applyProtection="0"/>
    <xf numFmtId="0" fontId="37" fillId="27" borderId="0" applyNumberFormat="0" applyBorder="0" applyAlignment="0" applyProtection="0"/>
    <xf numFmtId="0" fontId="9" fillId="5" borderId="0" applyNumberFormat="0" applyBorder="0" applyAlignment="0" applyProtection="0"/>
    <xf numFmtId="0" fontId="37" fillId="28" borderId="0" applyNumberFormat="0" applyBorder="0" applyAlignment="0" applyProtection="0"/>
    <xf numFmtId="0" fontId="9" fillId="6" borderId="0" applyNumberFormat="0" applyBorder="0" applyAlignment="0" applyProtection="0"/>
    <xf numFmtId="0" fontId="37" fillId="29" borderId="0" applyNumberFormat="0" applyBorder="0" applyAlignment="0" applyProtection="0"/>
    <xf numFmtId="0" fontId="9" fillId="7" borderId="0" applyNumberFormat="0" applyBorder="0" applyAlignment="0" applyProtection="0"/>
    <xf numFmtId="0" fontId="37" fillId="30" borderId="0" applyNumberFormat="0" applyBorder="0" applyAlignment="0" applyProtection="0"/>
    <xf numFmtId="0" fontId="9" fillId="8" borderId="0" applyNumberFormat="0" applyBorder="0" applyAlignment="0" applyProtection="0"/>
    <xf numFmtId="0" fontId="37" fillId="31" borderId="0" applyNumberFormat="0" applyBorder="0" applyAlignment="0" applyProtection="0"/>
    <xf numFmtId="0" fontId="9" fillId="9" borderId="0" applyNumberFormat="0" applyBorder="0" applyAlignment="0" applyProtection="0"/>
    <xf numFmtId="0" fontId="37" fillId="32" borderId="0" applyNumberFormat="0" applyBorder="0" applyAlignment="0" applyProtection="0"/>
    <xf numFmtId="0" fontId="9" fillId="10" borderId="0" applyNumberFormat="0" applyBorder="0" applyAlignment="0" applyProtection="0"/>
    <xf numFmtId="0" fontId="37" fillId="33" borderId="0" applyNumberFormat="0" applyBorder="0" applyAlignment="0" applyProtection="0"/>
    <xf numFmtId="0" fontId="9" fillId="5" borderId="0" applyNumberFormat="0" applyBorder="0" applyAlignment="0" applyProtection="0"/>
    <xf numFmtId="0" fontId="37" fillId="34" borderId="0" applyNumberFormat="0" applyBorder="0" applyAlignment="0" applyProtection="0"/>
    <xf numFmtId="0" fontId="9" fillId="8" borderId="0" applyNumberFormat="0" applyBorder="0" applyAlignment="0" applyProtection="0"/>
    <xf numFmtId="0" fontId="37" fillId="35" borderId="0" applyNumberFormat="0" applyBorder="0" applyAlignment="0" applyProtection="0"/>
    <xf numFmtId="0" fontId="9" fillId="11" borderId="0" applyNumberFormat="0" applyBorder="0" applyAlignment="0" applyProtection="0"/>
    <xf numFmtId="0" fontId="37" fillId="36" borderId="0" applyNumberFormat="0" applyBorder="0" applyAlignment="0" applyProtection="0"/>
    <xf numFmtId="0" fontId="10" fillId="12" borderId="0" applyNumberFormat="0" applyBorder="0" applyAlignment="0" applyProtection="0"/>
    <xf numFmtId="0" fontId="38" fillId="37" borderId="0" applyNumberFormat="0" applyBorder="0" applyAlignment="0" applyProtection="0"/>
    <xf numFmtId="0" fontId="10" fillId="9" borderId="0" applyNumberFormat="0" applyBorder="0" applyAlignment="0" applyProtection="0"/>
    <xf numFmtId="0" fontId="38" fillId="38" borderId="0" applyNumberFormat="0" applyBorder="0" applyAlignment="0" applyProtection="0"/>
    <xf numFmtId="0" fontId="10" fillId="10" borderId="0" applyNumberFormat="0" applyBorder="0" applyAlignment="0" applyProtection="0"/>
    <xf numFmtId="0" fontId="38" fillId="39" borderId="0" applyNumberFormat="0" applyBorder="0" applyAlignment="0" applyProtection="0"/>
    <xf numFmtId="0" fontId="10" fillId="13" borderId="0" applyNumberFormat="0" applyBorder="0" applyAlignment="0" applyProtection="0"/>
    <xf numFmtId="0" fontId="38" fillId="40" borderId="0" applyNumberFormat="0" applyBorder="0" applyAlignment="0" applyProtection="0"/>
    <xf numFmtId="0" fontId="10" fillId="14" borderId="0" applyNumberFormat="0" applyBorder="0" applyAlignment="0" applyProtection="0"/>
    <xf numFmtId="0" fontId="38" fillId="41" borderId="0" applyNumberFormat="0" applyBorder="0" applyAlignment="0" applyProtection="0"/>
    <xf numFmtId="0" fontId="10" fillId="15" borderId="0" applyNumberFormat="0" applyBorder="0" applyAlignment="0" applyProtection="0"/>
    <xf numFmtId="0" fontId="38" fillId="42" borderId="0" applyNumberFormat="0" applyBorder="0" applyAlignment="0" applyProtection="0"/>
    <xf numFmtId="0" fontId="10" fillId="16" borderId="0" applyNumberFormat="0" applyBorder="0" applyAlignment="0" applyProtection="0"/>
    <xf numFmtId="0" fontId="38" fillId="43" borderId="0" applyNumberFormat="0" applyBorder="0" applyAlignment="0" applyProtection="0"/>
    <xf numFmtId="0" fontId="10" fillId="17" borderId="0" applyNumberFormat="0" applyBorder="0" applyAlignment="0" applyProtection="0"/>
    <xf numFmtId="0" fontId="38" fillId="44" borderId="0" applyNumberFormat="0" applyBorder="0" applyAlignment="0" applyProtection="0"/>
    <xf numFmtId="0" fontId="10" fillId="18" borderId="0" applyNumberFormat="0" applyBorder="0" applyAlignment="0" applyProtection="0"/>
    <xf numFmtId="0" fontId="38" fillId="45" borderId="0" applyNumberFormat="0" applyBorder="0" applyAlignment="0" applyProtection="0"/>
    <xf numFmtId="0" fontId="10" fillId="13" borderId="0" applyNumberFormat="0" applyBorder="0" applyAlignment="0" applyProtection="0"/>
    <xf numFmtId="0" fontId="38" fillId="46" borderId="0" applyNumberFormat="0" applyBorder="0" applyAlignment="0" applyProtection="0"/>
    <xf numFmtId="0" fontId="10" fillId="14" borderId="0" applyNumberFormat="0" applyBorder="0" applyAlignment="0" applyProtection="0"/>
    <xf numFmtId="0" fontId="38" fillId="47" borderId="0" applyNumberFormat="0" applyBorder="0" applyAlignment="0" applyProtection="0"/>
    <xf numFmtId="0" fontId="10" fillId="19" borderId="0" applyNumberFormat="0" applyBorder="0" applyAlignment="0" applyProtection="0"/>
    <xf numFmtId="0" fontId="38" fillId="48" borderId="0" applyNumberFormat="0" applyBorder="0" applyAlignment="0" applyProtection="0"/>
    <xf numFmtId="0" fontId="11" fillId="3" borderId="0" applyNumberFormat="0" applyBorder="0" applyAlignment="0" applyProtection="0"/>
    <xf numFmtId="0" fontId="39" fillId="49" borderId="0" applyNumberFormat="0" applyBorder="0" applyAlignment="0" applyProtection="0"/>
    <xf numFmtId="0" fontId="12" fillId="20" borderId="1" applyNumberFormat="0" applyAlignment="0" applyProtection="0"/>
    <xf numFmtId="0" fontId="40" fillId="50" borderId="30" applyNumberFormat="0" applyAlignment="0" applyProtection="0"/>
    <xf numFmtId="0" fontId="13" fillId="21" borderId="2" applyNumberFormat="0" applyAlignment="0" applyProtection="0"/>
    <xf numFmtId="0" fontId="41" fillId="51" borderId="31" applyNumberFormat="0" applyAlignment="0" applyProtection="0"/>
    <xf numFmtId="43" fontId="28"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30" fillId="0" borderId="0" applyFont="0" applyFill="0" applyBorder="0" applyAlignment="0" applyProtection="0"/>
    <xf numFmtId="43" fontId="28" fillId="0" borderId="0" applyFont="0" applyFill="0" applyBorder="0" applyAlignment="0" applyProtection="0"/>
    <xf numFmtId="43" fontId="3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31"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14" fillId="0" borderId="0" applyNumberFormat="0" applyFill="0" applyBorder="0" applyAlignment="0" applyProtection="0"/>
    <xf numFmtId="0" fontId="42" fillId="0" borderId="0" applyNumberFormat="0" applyFill="0" applyBorder="0" applyAlignment="0" applyProtection="0"/>
    <xf numFmtId="0" fontId="15" fillId="4" borderId="0" applyNumberFormat="0" applyBorder="0" applyAlignment="0" applyProtection="0"/>
    <xf numFmtId="0" fontId="43" fillId="52" borderId="0" applyNumberFormat="0" applyBorder="0" applyAlignment="0" applyProtection="0"/>
    <xf numFmtId="0" fontId="16" fillId="0" borderId="3" applyNumberFormat="0" applyFill="0" applyAlignment="0" applyProtection="0"/>
    <xf numFmtId="0" fontId="44" fillId="0" borderId="32" applyNumberFormat="0" applyFill="0" applyAlignment="0" applyProtection="0"/>
    <xf numFmtId="0" fontId="17" fillId="0" borderId="4" applyNumberFormat="0" applyFill="0" applyAlignment="0" applyProtection="0"/>
    <xf numFmtId="0" fontId="45" fillId="0" borderId="33" applyNumberFormat="0" applyFill="0" applyAlignment="0" applyProtection="0"/>
    <xf numFmtId="0" fontId="18" fillId="0" borderId="5" applyNumberFormat="0" applyFill="0" applyAlignment="0" applyProtection="0"/>
    <xf numFmtId="0" fontId="46" fillId="0" borderId="34" applyNumberFormat="0" applyFill="0" applyAlignment="0" applyProtection="0"/>
    <xf numFmtId="0" fontId="18" fillId="0" borderId="0" applyNumberFormat="0" applyFill="0" applyBorder="0" applyAlignment="0" applyProtection="0"/>
    <xf numFmtId="0" fontId="46" fillId="0" borderId="0" applyNumberFormat="0" applyFill="0" applyBorder="0" applyAlignment="0" applyProtection="0"/>
    <xf numFmtId="0" fontId="19" fillId="7" borderId="1" applyNumberFormat="0" applyAlignment="0" applyProtection="0"/>
    <xf numFmtId="0" fontId="47" fillId="53" borderId="30" applyNumberFormat="0" applyAlignment="0" applyProtection="0"/>
    <xf numFmtId="0" fontId="20" fillId="0" borderId="6" applyNumberFormat="0" applyFill="0" applyAlignment="0" applyProtection="0"/>
    <xf numFmtId="0" fontId="48" fillId="0" borderId="35" applyNumberFormat="0" applyFill="0" applyAlignment="0" applyProtection="0"/>
    <xf numFmtId="0" fontId="21" fillId="22" borderId="0" applyNumberFormat="0" applyBorder="0" applyAlignment="0" applyProtection="0"/>
    <xf numFmtId="0" fontId="49" fillId="54" borderId="0" applyNumberFormat="0" applyBorder="0" applyAlignment="0" applyProtection="0"/>
    <xf numFmtId="0" fontId="28" fillId="0" borderId="0"/>
    <xf numFmtId="0" fontId="28" fillId="0" borderId="0"/>
    <xf numFmtId="0" fontId="33" fillId="23" borderId="0"/>
    <xf numFmtId="0" fontId="33" fillId="23" borderId="0"/>
    <xf numFmtId="0" fontId="32" fillId="0" borderId="0">
      <alignment wrapText="1"/>
    </xf>
    <xf numFmtId="0" fontId="28" fillId="0" borderId="0">
      <alignment wrapText="1"/>
    </xf>
    <xf numFmtId="0" fontId="28" fillId="0" borderId="0"/>
    <xf numFmtId="0" fontId="37" fillId="0" borderId="0"/>
    <xf numFmtId="0" fontId="28" fillId="0" borderId="0">
      <alignment wrapText="1"/>
    </xf>
    <xf numFmtId="0" fontId="37" fillId="0" borderId="0"/>
    <xf numFmtId="0" fontId="28" fillId="0" borderId="0"/>
    <xf numFmtId="49"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 fillId="24" borderId="7" applyNumberFormat="0" applyFont="0" applyAlignment="0" applyProtection="0"/>
    <xf numFmtId="0" fontId="28" fillId="24" borderId="7" applyNumberFormat="0" applyFont="0" applyAlignment="0" applyProtection="0"/>
    <xf numFmtId="0" fontId="31" fillId="24" borderId="7" applyNumberFormat="0" applyFont="0" applyAlignment="0" applyProtection="0"/>
    <xf numFmtId="0" fontId="28" fillId="24" borderId="7" applyNumberFormat="0" applyFont="0" applyAlignment="0" applyProtection="0"/>
    <xf numFmtId="0" fontId="28" fillId="24" borderId="7" applyNumberFormat="0" applyFont="0" applyAlignment="0" applyProtection="0"/>
    <xf numFmtId="0" fontId="28" fillId="24" borderId="7" applyNumberFormat="0" applyFont="0" applyAlignment="0" applyProtection="0"/>
    <xf numFmtId="0" fontId="37" fillId="55" borderId="36" applyNumberFormat="0" applyFont="0" applyAlignment="0" applyProtection="0"/>
    <xf numFmtId="0" fontId="28" fillId="24" borderId="7" applyNumberFormat="0" applyFont="0" applyAlignment="0" applyProtection="0"/>
    <xf numFmtId="0" fontId="28" fillId="24" borderId="7" applyNumberFormat="0" applyFont="0" applyAlignment="0" applyProtection="0"/>
    <xf numFmtId="0" fontId="28" fillId="24" borderId="7" applyNumberFormat="0" applyFont="0" applyAlignment="0" applyProtection="0"/>
    <xf numFmtId="0" fontId="28" fillId="24" borderId="7" applyNumberFormat="0" applyFont="0" applyAlignment="0" applyProtection="0"/>
    <xf numFmtId="0" fontId="28" fillId="24" borderId="7" applyNumberFormat="0" applyFont="0" applyAlignment="0" applyProtection="0"/>
    <xf numFmtId="0" fontId="28" fillId="24" borderId="7" applyNumberFormat="0" applyFont="0" applyAlignment="0" applyProtection="0"/>
    <xf numFmtId="0" fontId="22" fillId="20" borderId="8" applyNumberFormat="0" applyAlignment="0" applyProtection="0"/>
    <xf numFmtId="0" fontId="50" fillId="50" borderId="37" applyNumberFormat="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3" fillId="0" borderId="0" applyNumberFormat="0" applyFill="0" applyBorder="0" applyAlignment="0" applyProtection="0"/>
    <xf numFmtId="0" fontId="51" fillId="0" borderId="0" applyNumberFormat="0" applyFill="0" applyBorder="0" applyAlignment="0" applyProtection="0"/>
    <xf numFmtId="0" fontId="24" fillId="0" borderId="9" applyNumberFormat="0" applyFill="0" applyAlignment="0" applyProtection="0"/>
    <xf numFmtId="0" fontId="52" fillId="0" borderId="38" applyNumberFormat="0" applyFill="0" applyAlignment="0" applyProtection="0"/>
    <xf numFmtId="0" fontId="25" fillId="0" borderId="0" applyNumberFormat="0" applyFill="0" applyBorder="0" applyAlignment="0" applyProtection="0"/>
    <xf numFmtId="0" fontId="53" fillId="0" borderId="0" applyNumberFormat="0" applyFill="0" applyBorder="0" applyAlignment="0" applyProtection="0"/>
    <xf numFmtId="0" fontId="6" fillId="0" borderId="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alignment wrapText="1"/>
    </xf>
    <xf numFmtId="0" fontId="6" fillId="0" borderId="0">
      <alignment wrapText="1"/>
    </xf>
    <xf numFmtId="0" fontId="6" fillId="0" borderId="0"/>
    <xf numFmtId="0" fontId="5" fillId="0" borderId="0"/>
    <xf numFmtId="0" fontId="6" fillId="0" borderId="0">
      <alignment wrapText="1"/>
    </xf>
    <xf numFmtId="0" fontId="5" fillId="0" borderId="0"/>
    <xf numFmtId="0" fontId="6" fillId="0" borderId="0"/>
    <xf numFmtId="49"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4" borderId="7" applyNumberFormat="0" applyFont="0" applyAlignment="0" applyProtection="0"/>
    <xf numFmtId="0" fontId="6" fillId="24" borderId="7" applyNumberFormat="0" applyFont="0" applyAlignment="0" applyProtection="0"/>
    <xf numFmtId="0" fontId="6" fillId="24" borderId="7" applyNumberFormat="0" applyFont="0" applyAlignment="0" applyProtection="0"/>
    <xf numFmtId="0" fontId="6" fillId="24" borderId="7" applyNumberFormat="0" applyFont="0" applyAlignment="0" applyProtection="0"/>
    <xf numFmtId="0" fontId="6" fillId="24" borderId="7" applyNumberFormat="0" applyFont="0" applyAlignment="0" applyProtection="0"/>
    <xf numFmtId="0" fontId="5" fillId="55" borderId="36" applyNumberFormat="0" applyFont="0" applyAlignment="0" applyProtection="0"/>
    <xf numFmtId="0" fontId="6" fillId="24" borderId="7" applyNumberFormat="0" applyFont="0" applyAlignment="0" applyProtection="0"/>
    <xf numFmtId="0" fontId="6" fillId="24" borderId="7" applyNumberFormat="0" applyFont="0" applyAlignment="0" applyProtection="0"/>
    <xf numFmtId="0" fontId="6" fillId="24" borderId="7" applyNumberFormat="0" applyFont="0" applyAlignment="0" applyProtection="0"/>
    <xf numFmtId="0" fontId="6" fillId="24" borderId="7" applyNumberFormat="0" applyFont="0" applyAlignment="0" applyProtection="0"/>
    <xf numFmtId="0" fontId="6" fillId="24" borderId="7" applyNumberFormat="0" applyFont="0" applyAlignment="0" applyProtection="0"/>
    <xf numFmtId="0" fontId="6" fillId="24" borderId="7"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4" fillId="0" borderId="0"/>
    <xf numFmtId="44" fontId="64" fillId="0" borderId="0" applyFont="0" applyFill="0" applyBorder="0" applyAlignment="0" applyProtection="0"/>
    <xf numFmtId="9" fontId="66" fillId="0" borderId="0" applyFont="0" applyFill="0" applyBorder="0" applyAlignment="0" applyProtection="0"/>
    <xf numFmtId="0" fontId="67" fillId="0" borderId="0" applyNumberFormat="0" applyFill="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55" borderId="36" applyNumberFormat="0" applyFont="0" applyAlignment="0" applyProtection="0"/>
    <xf numFmtId="0" fontId="2" fillId="55" borderId="36" applyNumberFormat="0" applyFont="0" applyAlignment="0" applyProtection="0"/>
  </cellStyleXfs>
  <cellXfs count="1267">
    <xf numFmtId="0" fontId="0" fillId="0" borderId="0" xfId="0"/>
    <xf numFmtId="0" fontId="8" fillId="0" borderId="10" xfId="0" applyFont="1" applyBorder="1"/>
    <xf numFmtId="0" fontId="8" fillId="0" borderId="10" xfId="0" applyFont="1" applyBorder="1" applyAlignment="1">
      <alignment horizontal="center"/>
    </xf>
    <xf numFmtId="0" fontId="26" fillId="0" borderId="0" xfId="0" applyFont="1"/>
    <xf numFmtId="0" fontId="27" fillId="0" borderId="0" xfId="0" applyFont="1"/>
    <xf numFmtId="0" fontId="8" fillId="0" borderId="14" xfId="0" applyFont="1" applyBorder="1" applyAlignment="1">
      <alignment horizontal="center"/>
    </xf>
    <xf numFmtId="0" fontId="36" fillId="0" borderId="0" xfId="0" applyFont="1"/>
    <xf numFmtId="0" fontId="8" fillId="0" borderId="11" xfId="0" applyFont="1" applyBorder="1"/>
    <xf numFmtId="0" fontId="8" fillId="0" borderId="12" xfId="0" applyFont="1" applyBorder="1"/>
    <xf numFmtId="0" fontId="8" fillId="0" borderId="13" xfId="0" applyFont="1" applyBorder="1"/>
    <xf numFmtId="0" fontId="35" fillId="0" borderId="14" xfId="0" applyFont="1" applyBorder="1" applyAlignment="1">
      <alignment horizontal="left"/>
    </xf>
    <xf numFmtId="0" fontId="35" fillId="0" borderId="15" xfId="0" applyFont="1" applyBorder="1" applyAlignment="1">
      <alignment horizontal="left"/>
    </xf>
    <xf numFmtId="0" fontId="52" fillId="64" borderId="45" xfId="0" applyFont="1" applyFill="1" applyBorder="1" applyAlignment="1">
      <alignment vertical="center" wrapText="1"/>
    </xf>
    <xf numFmtId="0" fontId="52" fillId="64" borderId="43" xfId="0" applyFont="1" applyFill="1" applyBorder="1" applyAlignment="1">
      <alignment horizontal="center" vertical="center"/>
    </xf>
    <xf numFmtId="0" fontId="62" fillId="0" borderId="46" xfId="0" applyFont="1" applyBorder="1" applyAlignment="1">
      <alignment vertical="center" wrapText="1"/>
    </xf>
    <xf numFmtId="0" fontId="52" fillId="0" borderId="0" xfId="0" quotePrefix="1" applyFont="1" applyAlignment="1">
      <alignment horizontal="center" vertical="center"/>
    </xf>
    <xf numFmtId="0" fontId="54" fillId="0" borderId="39" xfId="217" applyFont="1" applyBorder="1" applyAlignment="1">
      <alignment wrapText="1"/>
    </xf>
    <xf numFmtId="0" fontId="54" fillId="0" borderId="39" xfId="217" applyFont="1" applyBorder="1" applyAlignment="1">
      <alignment horizontal="center" wrapText="1"/>
    </xf>
    <xf numFmtId="0" fontId="4" fillId="0" borderId="0" xfId="217"/>
    <xf numFmtId="0" fontId="63" fillId="0" borderId="39" xfId="217" applyFont="1" applyBorder="1" applyAlignment="1">
      <alignment horizontal="center" wrapText="1"/>
    </xf>
    <xf numFmtId="0" fontId="63" fillId="0" borderId="39" xfId="217" applyFont="1" applyBorder="1" applyAlignment="1">
      <alignment wrapText="1"/>
    </xf>
    <xf numFmtId="0" fontId="63" fillId="57" borderId="39" xfId="217" applyFont="1" applyFill="1" applyBorder="1" applyAlignment="1">
      <alignment horizontal="center" wrapText="1"/>
    </xf>
    <xf numFmtId="0" fontId="63" fillId="57" borderId="39" xfId="217" applyFont="1" applyFill="1" applyBorder="1" applyAlignment="1">
      <alignment wrapText="1"/>
    </xf>
    <xf numFmtId="3" fontId="63" fillId="57" borderId="39" xfId="217" applyNumberFormat="1" applyFont="1" applyFill="1" applyBorder="1" applyAlignment="1">
      <alignment horizontal="right" wrapText="1"/>
    </xf>
    <xf numFmtId="0" fontId="63" fillId="57" borderId="39" xfId="217" applyFont="1" applyFill="1" applyBorder="1" applyAlignment="1">
      <alignment horizontal="right" wrapText="1"/>
    </xf>
    <xf numFmtId="8" fontId="63" fillId="57" borderId="39" xfId="217" applyNumberFormat="1" applyFont="1" applyFill="1" applyBorder="1" applyAlignment="1">
      <alignment horizontal="right" wrapText="1"/>
    </xf>
    <xf numFmtId="0" fontId="4" fillId="57" borderId="0" xfId="217" applyFill="1"/>
    <xf numFmtId="8" fontId="0" fillId="0" borderId="19" xfId="0" applyNumberFormat="1" applyBorder="1" applyAlignment="1">
      <alignment horizontal="right" wrapText="1"/>
    </xf>
    <xf numFmtId="0" fontId="0" fillId="0" borderId="0" xfId="0" applyAlignment="1">
      <alignment wrapText="1"/>
    </xf>
    <xf numFmtId="0" fontId="0" fillId="0" borderId="19" xfId="0" applyBorder="1" applyAlignment="1">
      <alignment wrapText="1"/>
    </xf>
    <xf numFmtId="0" fontId="0" fillId="0" borderId="19" xfId="0" applyBorder="1" applyAlignment="1">
      <alignment horizontal="right" wrapText="1"/>
    </xf>
    <xf numFmtId="0" fontId="63" fillId="0" borderId="19" xfId="217" applyFont="1" applyBorder="1" applyAlignment="1">
      <alignment horizontal="left" wrapText="1"/>
    </xf>
    <xf numFmtId="0" fontId="63" fillId="58" borderId="39" xfId="217" applyFont="1" applyFill="1" applyBorder="1" applyAlignment="1">
      <alignment horizontal="center" wrapText="1"/>
    </xf>
    <xf numFmtId="0" fontId="63" fillId="58" borderId="39" xfId="217" applyFont="1" applyFill="1" applyBorder="1" applyAlignment="1">
      <alignment wrapText="1"/>
    </xf>
    <xf numFmtId="0" fontId="63" fillId="0" borderId="19" xfId="217" applyFont="1" applyBorder="1" applyAlignment="1">
      <alignment wrapText="1"/>
    </xf>
    <xf numFmtId="0" fontId="69" fillId="0" borderId="19" xfId="217" applyFont="1" applyBorder="1" applyAlignment="1">
      <alignment horizontal="left" wrapText="1"/>
    </xf>
    <xf numFmtId="0" fontId="3" fillId="0" borderId="0" xfId="217" applyFont="1"/>
    <xf numFmtId="0" fontId="3" fillId="57" borderId="0" xfId="217" applyFont="1" applyFill="1"/>
    <xf numFmtId="0" fontId="71" fillId="0" borderId="0" xfId="0" applyFont="1"/>
    <xf numFmtId="0" fontId="73" fillId="0" borderId="0" xfId="0" applyFont="1" applyAlignment="1">
      <alignment horizontal="center"/>
    </xf>
    <xf numFmtId="0" fontId="74" fillId="0" borderId="0" xfId="0" applyFont="1"/>
    <xf numFmtId="0" fontId="72" fillId="0" borderId="0" xfId="0" applyFont="1"/>
    <xf numFmtId="0" fontId="8" fillId="0" borderId="17" xfId="0" applyFont="1" applyBorder="1"/>
    <xf numFmtId="0" fontId="74" fillId="0" borderId="14" xfId="0" applyFont="1" applyBorder="1" applyAlignment="1">
      <alignment horizontal="center"/>
    </xf>
    <xf numFmtId="0" fontId="74" fillId="0" borderId="10" xfId="0" applyFont="1" applyBorder="1"/>
    <xf numFmtId="0" fontId="74" fillId="0" borderId="11" xfId="0" applyFont="1" applyBorder="1" applyAlignment="1">
      <alignment horizontal="center"/>
    </xf>
    <xf numFmtId="0" fontId="74" fillId="0" borderId="12" xfId="0" applyFont="1" applyBorder="1"/>
    <xf numFmtId="0" fontId="74" fillId="0" borderId="13" xfId="0" applyFont="1" applyBorder="1"/>
    <xf numFmtId="0" fontId="74" fillId="0" borderId="10" xfId="0" applyFont="1" applyBorder="1" applyAlignment="1">
      <alignment horizontal="center"/>
    </xf>
    <xf numFmtId="0" fontId="71" fillId="0" borderId="40" xfId="0" applyFont="1" applyBorder="1" applyAlignment="1">
      <alignment horizontal="left" shrinkToFit="1"/>
    </xf>
    <xf numFmtId="0" fontId="71" fillId="0" borderId="14" xfId="0" applyFont="1" applyBorder="1" applyAlignment="1">
      <alignment horizontal="left" shrinkToFit="1"/>
    </xf>
    <xf numFmtId="0" fontId="71" fillId="0" borderId="0" xfId="0" applyFont="1" applyAlignment="1">
      <alignment horizontal="right"/>
    </xf>
    <xf numFmtId="3" fontId="71" fillId="69" borderId="19" xfId="0" applyNumberFormat="1" applyFont="1" applyFill="1" applyBorder="1" applyAlignment="1">
      <alignment horizontal="center"/>
    </xf>
    <xf numFmtId="173" fontId="71" fillId="0" borderId="0" xfId="0" applyNumberFormat="1" applyFont="1" applyAlignment="1" applyProtection="1">
      <alignment horizontal="center" shrinkToFit="1"/>
      <protection locked="0"/>
    </xf>
    <xf numFmtId="0" fontId="74" fillId="0" borderId="0" xfId="0" applyFont="1" applyAlignment="1">
      <alignment horizontal="center"/>
    </xf>
    <xf numFmtId="0" fontId="73" fillId="0" borderId="0" xfId="0" applyFont="1" applyAlignment="1">
      <alignment horizontal="left"/>
    </xf>
    <xf numFmtId="173" fontId="71" fillId="59" borderId="0" xfId="0" applyNumberFormat="1" applyFont="1" applyFill="1" applyAlignment="1" applyProtection="1">
      <alignment horizontal="center" shrinkToFit="1"/>
      <protection locked="0"/>
    </xf>
    <xf numFmtId="0" fontId="74" fillId="0" borderId="0" xfId="0" applyFont="1" applyAlignment="1">
      <alignment vertical="center"/>
    </xf>
    <xf numFmtId="0" fontId="74" fillId="0" borderId="0" xfId="0" quotePrefix="1" applyFont="1"/>
    <xf numFmtId="0" fontId="81" fillId="0" borderId="0" xfId="0" applyFont="1"/>
    <xf numFmtId="3" fontId="71" fillId="0" borderId="0" xfId="0" applyNumberFormat="1" applyFont="1" applyAlignment="1" applyProtection="1">
      <alignment horizontal="center" shrinkToFit="1"/>
      <protection locked="0"/>
    </xf>
    <xf numFmtId="3" fontId="77" fillId="0" borderId="0" xfId="0" applyNumberFormat="1" applyFont="1" applyAlignment="1" applyProtection="1">
      <alignment horizontal="center" vertical="center" wrapText="1" shrinkToFit="1"/>
      <protection locked="0"/>
    </xf>
    <xf numFmtId="0" fontId="74" fillId="0" borderId="0" xfId="0" applyFont="1" applyProtection="1">
      <protection hidden="1"/>
    </xf>
    <xf numFmtId="1" fontId="71" fillId="0" borderId="0" xfId="0" applyNumberFormat="1" applyFont="1" applyAlignment="1" applyProtection="1">
      <alignment horizontal="center" shrinkToFit="1"/>
      <protection locked="0"/>
    </xf>
    <xf numFmtId="0" fontId="53" fillId="0" borderId="0" xfId="0" applyFont="1"/>
    <xf numFmtId="193" fontId="71" fillId="0" borderId="0" xfId="0" applyNumberFormat="1" applyFont="1" applyAlignment="1" applyProtection="1">
      <alignment horizontal="center" shrinkToFit="1"/>
      <protection locked="0"/>
    </xf>
    <xf numFmtId="227" fontId="71" fillId="0" borderId="0" xfId="0" applyNumberFormat="1" applyFont="1" applyAlignment="1" applyProtection="1">
      <alignment horizontal="center" shrinkToFit="1"/>
      <protection locked="0"/>
    </xf>
    <xf numFmtId="0" fontId="71" fillId="0" borderId="0" xfId="0" applyFont="1" applyAlignment="1">
      <alignment wrapText="1"/>
    </xf>
    <xf numFmtId="0" fontId="79" fillId="0" borderId="0" xfId="0" applyFont="1" applyAlignment="1">
      <alignment horizontal="right"/>
    </xf>
    <xf numFmtId="174" fontId="71" fillId="0" borderId="0" xfId="0" applyNumberFormat="1" applyFont="1" applyAlignment="1" applyProtection="1">
      <alignment horizontal="center"/>
      <protection locked="0"/>
    </xf>
    <xf numFmtId="0" fontId="78" fillId="0" borderId="0" xfId="0" applyFont="1"/>
    <xf numFmtId="0" fontId="75" fillId="0" borderId="16" xfId="0" applyFont="1" applyBorder="1" applyAlignment="1">
      <alignment horizontal="left" indent="1"/>
    </xf>
    <xf numFmtId="0" fontId="74" fillId="0" borderId="17" xfId="0" applyFont="1" applyBorder="1"/>
    <xf numFmtId="0" fontId="84" fillId="0" borderId="14" xfId="0" applyFont="1" applyBorder="1" applyAlignment="1">
      <alignment horizontal="left"/>
    </xf>
    <xf numFmtId="0" fontId="75" fillId="0" borderId="0" xfId="0" applyFont="1" applyAlignment="1">
      <alignment horizontal="left"/>
    </xf>
    <xf numFmtId="0" fontId="75" fillId="0" borderId="0" xfId="0" applyFont="1" applyAlignment="1">
      <alignment horizontal="center"/>
    </xf>
    <xf numFmtId="0" fontId="75" fillId="0" borderId="0" xfId="0" applyFont="1"/>
    <xf numFmtId="0" fontId="84" fillId="0" borderId="0" xfId="0" applyFont="1"/>
    <xf numFmtId="0" fontId="84" fillId="0" borderId="10" xfId="0" applyFont="1" applyBorder="1" applyAlignment="1">
      <alignment horizontal="center"/>
    </xf>
    <xf numFmtId="0" fontId="83" fillId="0" borderId="0" xfId="0" applyFont="1" applyAlignment="1">
      <alignment horizontal="center" wrapText="1"/>
    </xf>
    <xf numFmtId="0" fontId="83" fillId="0" borderId="0" xfId="0" applyFont="1" applyAlignment="1">
      <alignment horizontal="center"/>
    </xf>
    <xf numFmtId="0" fontId="83" fillId="0" borderId="0" xfId="0" applyFont="1" applyAlignment="1">
      <alignment horizontal="right" wrapText="1"/>
    </xf>
    <xf numFmtId="0" fontId="53" fillId="0" borderId="0" xfId="185" applyFont="1" applyAlignment="1">
      <alignment vertical="center"/>
    </xf>
    <xf numFmtId="0" fontId="86" fillId="0" borderId="14" xfId="0" applyFont="1" applyBorder="1" applyAlignment="1">
      <alignment horizontal="left"/>
    </xf>
    <xf numFmtId="0" fontId="71" fillId="0" borderId="0" xfId="0" applyFont="1" applyAlignment="1">
      <alignment horizontal="center" vertical="center" wrapText="1"/>
    </xf>
    <xf numFmtId="167" fontId="71" fillId="0" borderId="0" xfId="0" applyNumberFormat="1" applyFont="1"/>
    <xf numFmtId="0" fontId="79" fillId="0" borderId="0" xfId="0" applyFont="1" applyAlignment="1">
      <alignment horizontal="right" indent="1"/>
    </xf>
    <xf numFmtId="0" fontId="74" fillId="0" borderId="0" xfId="0" applyFont="1" applyAlignment="1">
      <alignment horizontal="right"/>
    </xf>
    <xf numFmtId="0" fontId="74" fillId="0" borderId="16" xfId="0" applyFont="1" applyBorder="1"/>
    <xf numFmtId="0" fontId="71" fillId="68" borderId="19" xfId="0" applyFont="1" applyFill="1" applyBorder="1" applyAlignment="1" applyProtection="1">
      <alignment horizontal="center"/>
      <protection locked="0"/>
    </xf>
    <xf numFmtId="0" fontId="75" fillId="0" borderId="15" xfId="0" applyFont="1" applyBorder="1" applyAlignment="1">
      <alignment horizontal="left" indent="1"/>
    </xf>
    <xf numFmtId="3" fontId="71" fillId="0" borderId="0" xfId="0" applyNumberFormat="1" applyFont="1" applyAlignment="1">
      <alignment horizontal="left"/>
    </xf>
    <xf numFmtId="3" fontId="71" fillId="62" borderId="19" xfId="0" applyNumberFormat="1" applyFont="1" applyFill="1" applyBorder="1" applyAlignment="1" applyProtection="1">
      <alignment horizontal="center"/>
      <protection locked="0"/>
    </xf>
    <xf numFmtId="0" fontId="62" fillId="0" borderId="0" xfId="0" applyFont="1" applyProtection="1">
      <protection hidden="1"/>
    </xf>
    <xf numFmtId="173" fontId="71" fillId="62" borderId="19" xfId="0" applyNumberFormat="1" applyFont="1" applyFill="1" applyBorder="1" applyAlignment="1" applyProtection="1">
      <alignment horizontal="center" shrinkToFit="1"/>
      <protection locked="0"/>
    </xf>
    <xf numFmtId="0" fontId="71" fillId="62" borderId="19" xfId="0" applyFont="1" applyFill="1" applyBorder="1" applyAlignment="1" applyProtection="1">
      <alignment horizontal="center" shrinkToFit="1"/>
      <protection locked="0"/>
    </xf>
    <xf numFmtId="0" fontId="71" fillId="0" borderId="0" xfId="0" applyFont="1" applyAlignment="1" applyProtection="1">
      <alignment shrinkToFit="1"/>
      <protection locked="0"/>
    </xf>
    <xf numFmtId="0" fontId="71" fillId="0" borderId="0" xfId="0" applyFont="1" applyAlignment="1">
      <alignment horizontal="center"/>
    </xf>
    <xf numFmtId="0" fontId="74" fillId="0" borderId="23" xfId="0" applyFont="1" applyBorder="1" applyProtection="1">
      <protection hidden="1"/>
    </xf>
    <xf numFmtId="0" fontId="74" fillId="0" borderId="0" xfId="0" applyFont="1" applyAlignment="1" applyProtection="1">
      <alignment vertical="center"/>
      <protection hidden="1"/>
    </xf>
    <xf numFmtId="0" fontId="93" fillId="0" borderId="0" xfId="0" applyFont="1" applyAlignment="1">
      <alignment horizontal="left"/>
    </xf>
    <xf numFmtId="0" fontId="74" fillId="0" borderId="0" xfId="0" applyFont="1" applyAlignment="1">
      <alignment wrapText="1"/>
    </xf>
    <xf numFmtId="0" fontId="75" fillId="0" borderId="0" xfId="0" applyFont="1" applyAlignment="1">
      <alignment horizontal="left" indent="1"/>
    </xf>
    <xf numFmtId="0" fontId="62" fillId="0" borderId="0" xfId="0" applyFont="1"/>
    <xf numFmtId="0" fontId="74" fillId="0" borderId="59" xfId="0" applyFont="1" applyBorder="1" applyAlignment="1">
      <alignment horizontal="left"/>
    </xf>
    <xf numFmtId="0" fontId="74" fillId="0" borderId="0" xfId="0" applyFont="1" applyAlignment="1">
      <alignment vertical="center" wrapText="1"/>
    </xf>
    <xf numFmtId="0" fontId="71" fillId="0" borderId="0" xfId="0" applyFont="1" applyAlignment="1">
      <alignment wrapText="1" shrinkToFit="1"/>
    </xf>
    <xf numFmtId="0" fontId="74" fillId="69" borderId="19" xfId="0" applyFont="1" applyFill="1" applyBorder="1"/>
    <xf numFmtId="0" fontId="74" fillId="69" borderId="19" xfId="0" applyFont="1" applyFill="1" applyBorder="1" applyAlignment="1">
      <alignment horizontal="center"/>
    </xf>
    <xf numFmtId="0" fontId="74" fillId="69" borderId="19" xfId="0" applyFont="1" applyFill="1" applyBorder="1" applyAlignment="1">
      <alignment horizontal="center" wrapText="1"/>
    </xf>
    <xf numFmtId="175" fontId="71" fillId="0" borderId="19" xfId="0" applyNumberFormat="1" applyFont="1" applyBorder="1" applyAlignment="1">
      <alignment horizontal="left" vertical="center" shrinkToFit="1"/>
    </xf>
    <xf numFmtId="0" fontId="71" fillId="0" borderId="19" xfId="0" applyFont="1" applyBorder="1" applyAlignment="1">
      <alignment wrapText="1"/>
    </xf>
    <xf numFmtId="0" fontId="71" fillId="0" borderId="19" xfId="0" applyFont="1" applyBorder="1" applyAlignment="1">
      <alignment horizontal="right" wrapText="1"/>
    </xf>
    <xf numFmtId="8" fontId="71" fillId="0" borderId="19" xfId="0" applyNumberFormat="1" applyFont="1" applyBorder="1" applyAlignment="1">
      <alignment horizontal="right" wrapText="1"/>
    </xf>
    <xf numFmtId="165" fontId="71" fillId="0" borderId="19" xfId="0" applyNumberFormat="1" applyFont="1" applyBorder="1" applyAlignment="1">
      <alignment horizontal="right" wrapText="1"/>
    </xf>
    <xf numFmtId="0" fontId="71" fillId="0" borderId="19" xfId="0" applyFont="1" applyBorder="1" applyAlignment="1">
      <alignment horizontal="left" vertical="center" shrinkToFit="1"/>
    </xf>
    <xf numFmtId="0" fontId="73" fillId="0" borderId="19" xfId="0" applyFont="1" applyBorder="1" applyAlignment="1">
      <alignment horizontal="left" vertical="center" shrinkToFit="1"/>
    </xf>
    <xf numFmtId="0" fontId="71" fillId="64" borderId="19" xfId="0" applyFont="1" applyFill="1" applyBorder="1" applyAlignment="1">
      <alignment wrapText="1"/>
    </xf>
    <xf numFmtId="2" fontId="73" fillId="0" borderId="19" xfId="0" applyNumberFormat="1" applyFont="1" applyBorder="1" applyAlignment="1">
      <alignment horizontal="left" vertical="center" shrinkToFit="1"/>
    </xf>
    <xf numFmtId="199" fontId="73" fillId="0" borderId="19" xfId="0" applyNumberFormat="1" applyFont="1" applyBorder="1" applyAlignment="1">
      <alignment horizontal="left" vertical="center" shrinkToFit="1"/>
    </xf>
    <xf numFmtId="0" fontId="73" fillId="56" borderId="19" xfId="0" applyFont="1" applyFill="1" applyBorder="1" applyAlignment="1">
      <alignment horizontal="left" vertical="center" shrinkToFit="1"/>
    </xf>
    <xf numFmtId="0" fontId="71" fillId="0" borderId="19" xfId="0" applyFont="1" applyBorder="1"/>
    <xf numFmtId="0" fontId="71" fillId="0" borderId="0" xfId="0" applyFont="1" applyAlignment="1">
      <alignment horizontal="left" vertical="center" shrinkToFit="1"/>
    </xf>
    <xf numFmtId="0" fontId="73" fillId="0" borderId="0" xfId="0" applyFont="1" applyAlignment="1">
      <alignment horizontal="right"/>
    </xf>
    <xf numFmtId="44" fontId="73" fillId="0" borderId="0" xfId="218" applyFont="1" applyFill="1"/>
    <xf numFmtId="0" fontId="73" fillId="0" borderId="0" xfId="0" applyFont="1"/>
    <xf numFmtId="0" fontId="73" fillId="0" borderId="0" xfId="0" applyFont="1" applyAlignment="1">
      <alignment horizontal="center" vertical="center"/>
    </xf>
    <xf numFmtId="44" fontId="71" fillId="0" borderId="0" xfId="218" applyFont="1"/>
    <xf numFmtId="44" fontId="71" fillId="0" borderId="0" xfId="218" applyFont="1" applyFill="1" applyAlignment="1">
      <alignment horizontal="center" vertical="center"/>
    </xf>
    <xf numFmtId="2" fontId="71" fillId="0" borderId="0" xfId="0" applyNumberFormat="1" applyFont="1" applyAlignment="1">
      <alignment horizontal="center"/>
    </xf>
    <xf numFmtId="164" fontId="71" fillId="0" borderId="0" xfId="0" applyNumberFormat="1" applyFont="1" applyAlignment="1">
      <alignment horizontal="center"/>
    </xf>
    <xf numFmtId="0" fontId="71" fillId="0" borderId="0" xfId="0" applyFont="1" applyAlignment="1">
      <alignment horizontal="center" vertical="center"/>
    </xf>
    <xf numFmtId="44" fontId="71" fillId="0" borderId="0" xfId="0" applyNumberFormat="1" applyFont="1"/>
    <xf numFmtId="44" fontId="71" fillId="0" borderId="0" xfId="218" applyFont="1" applyFill="1"/>
    <xf numFmtId="206" fontId="71" fillId="0" borderId="0" xfId="219" applyNumberFormat="1" applyFont="1" applyFill="1"/>
    <xf numFmtId="43" fontId="71" fillId="0" borderId="0" xfId="0" applyNumberFormat="1" applyFont="1" applyAlignment="1">
      <alignment horizontal="center" vertical="center"/>
    </xf>
    <xf numFmtId="168" fontId="71" fillId="0" borderId="0" xfId="0" applyNumberFormat="1" applyFont="1" applyAlignment="1">
      <alignment horizontal="center"/>
    </xf>
    <xf numFmtId="205" fontId="71" fillId="0" borderId="0" xfId="0" applyNumberFormat="1" applyFont="1"/>
    <xf numFmtId="44" fontId="73" fillId="0" borderId="0" xfId="218" applyFont="1"/>
    <xf numFmtId="44" fontId="73" fillId="0" borderId="0" xfId="218" applyFont="1" applyFill="1" applyAlignment="1">
      <alignment horizontal="center" vertical="center"/>
    </xf>
    <xf numFmtId="2" fontId="73" fillId="0" borderId="0" xfId="0" applyNumberFormat="1" applyFont="1" applyAlignment="1">
      <alignment horizontal="center"/>
    </xf>
    <xf numFmtId="168" fontId="73" fillId="0" borderId="0" xfId="0" applyNumberFormat="1" applyFont="1" applyAlignment="1">
      <alignment horizontal="center"/>
    </xf>
    <xf numFmtId="164" fontId="73" fillId="0" borderId="0" xfId="0" applyNumberFormat="1" applyFont="1" applyAlignment="1">
      <alignment horizontal="center"/>
    </xf>
    <xf numFmtId="205" fontId="73" fillId="0" borderId="0" xfId="0" applyNumberFormat="1" applyFont="1"/>
    <xf numFmtId="43" fontId="73" fillId="0" borderId="0" xfId="0" applyNumberFormat="1" applyFont="1" applyAlignment="1">
      <alignment horizontal="center" vertical="center"/>
    </xf>
    <xf numFmtId="44" fontId="73" fillId="0" borderId="0" xfId="0" applyNumberFormat="1" applyFont="1"/>
    <xf numFmtId="206" fontId="73" fillId="0" borderId="0" xfId="219" applyNumberFormat="1" applyFont="1" applyFill="1"/>
    <xf numFmtId="6" fontId="71" fillId="0" borderId="0" xfId="0" applyNumberFormat="1" applyFont="1"/>
    <xf numFmtId="0" fontId="74" fillId="0" borderId="0" xfId="101" applyFont="1"/>
    <xf numFmtId="0" fontId="100" fillId="0" borderId="12" xfId="0" applyFont="1" applyBorder="1" applyAlignment="1">
      <alignment horizontal="right"/>
    </xf>
    <xf numFmtId="0" fontId="100" fillId="0" borderId="0" xfId="0" applyFont="1" applyAlignment="1">
      <alignment horizontal="right"/>
    </xf>
    <xf numFmtId="0" fontId="102" fillId="0" borderId="0" xfId="0" applyFont="1" applyAlignment="1">
      <alignment vertical="center" shrinkToFit="1"/>
    </xf>
    <xf numFmtId="1" fontId="73" fillId="0" borderId="0" xfId="0" applyNumberFormat="1" applyFont="1" applyAlignment="1">
      <alignment horizontal="center" vertical="center" shrinkToFit="1"/>
    </xf>
    <xf numFmtId="0" fontId="73" fillId="0" borderId="0" xfId="0" applyFont="1" applyAlignment="1">
      <alignment horizontal="center" vertical="center" shrinkToFit="1"/>
    </xf>
    <xf numFmtId="165" fontId="73" fillId="0" borderId="0" xfId="0" applyNumberFormat="1" applyFont="1" applyAlignment="1">
      <alignment horizontal="right" vertical="center" shrinkToFit="1"/>
    </xf>
    <xf numFmtId="166" fontId="73" fillId="0" borderId="0" xfId="74" applyNumberFormat="1" applyFont="1" applyFill="1" applyBorder="1" applyAlignment="1">
      <alignment horizontal="right" vertical="center" wrapText="1" shrinkToFit="1"/>
    </xf>
    <xf numFmtId="0" fontId="77" fillId="0" borderId="0" xfId="185" applyFont="1" applyAlignment="1">
      <alignment horizontal="right"/>
    </xf>
    <xf numFmtId="0" fontId="73" fillId="0" borderId="0" xfId="0" applyFont="1" applyAlignment="1">
      <alignment horizontal="left" vertical="center" shrinkToFit="1"/>
    </xf>
    <xf numFmtId="0" fontId="102" fillId="0" borderId="0" xfId="0" applyFont="1" applyAlignment="1">
      <alignment horizontal="left" vertical="center" shrinkToFit="1"/>
    </xf>
    <xf numFmtId="0" fontId="74" fillId="0" borderId="0" xfId="185" applyFont="1"/>
    <xf numFmtId="165" fontId="73" fillId="0" borderId="0" xfId="74" applyNumberFormat="1" applyFont="1" applyFill="1" applyBorder="1" applyAlignment="1">
      <alignment horizontal="right" vertical="center" wrapText="1" shrinkToFit="1"/>
    </xf>
    <xf numFmtId="0" fontId="74" fillId="0" borderId="0" xfId="185" applyFont="1" applyAlignment="1">
      <alignment vertical="center"/>
    </xf>
    <xf numFmtId="0" fontId="83" fillId="0" borderId="11" xfId="185" applyFont="1" applyBorder="1" applyAlignment="1">
      <alignment horizontal="center"/>
    </xf>
    <xf numFmtId="0" fontId="100" fillId="0" borderId="12" xfId="185" applyFont="1" applyBorder="1" applyAlignment="1">
      <alignment horizontal="right"/>
    </xf>
    <xf numFmtId="0" fontId="83" fillId="0" borderId="13" xfId="185" applyFont="1" applyBorder="1" applyAlignment="1">
      <alignment horizontal="center"/>
    </xf>
    <xf numFmtId="0" fontId="83" fillId="0" borderId="14" xfId="185" applyFont="1" applyBorder="1" applyAlignment="1">
      <alignment horizontal="center"/>
    </xf>
    <xf numFmtId="0" fontId="100" fillId="0" borderId="0" xfId="185" applyFont="1" applyAlignment="1">
      <alignment horizontal="right"/>
    </xf>
    <xf numFmtId="0" fontId="83" fillId="0" borderId="10" xfId="185" applyFont="1" applyBorder="1" applyAlignment="1">
      <alignment horizontal="center"/>
    </xf>
    <xf numFmtId="0" fontId="74" fillId="0" borderId="15" xfId="185" applyFont="1" applyBorder="1" applyAlignment="1">
      <alignment horizontal="centerContinuous" vertical="center"/>
    </xf>
    <xf numFmtId="0" fontId="62" fillId="0" borderId="16" xfId="185" applyFont="1" applyBorder="1" applyAlignment="1">
      <alignment vertical="center"/>
    </xf>
    <xf numFmtId="0" fontId="74" fillId="0" borderId="16" xfId="185" applyFont="1" applyBorder="1" applyAlignment="1">
      <alignment horizontal="center" vertical="center"/>
    </xf>
    <xf numFmtId="0" fontId="62" fillId="0" borderId="16" xfId="185" applyFont="1" applyBorder="1" applyAlignment="1">
      <alignment horizontal="right" vertical="center"/>
    </xf>
    <xf numFmtId="14" fontId="74" fillId="0" borderId="16" xfId="185" applyNumberFormat="1" applyFont="1" applyBorder="1" applyAlignment="1">
      <alignment vertical="center"/>
    </xf>
    <xf numFmtId="0" fontId="74" fillId="0" borderId="16" xfId="185" quotePrefix="1" applyFont="1" applyBorder="1" applyAlignment="1">
      <alignment horizontal="left" vertical="center"/>
    </xf>
    <xf numFmtId="0" fontId="74" fillId="0" borderId="16" xfId="185" applyFont="1" applyBorder="1" applyAlignment="1">
      <alignment horizontal="centerContinuous" vertical="center"/>
    </xf>
    <xf numFmtId="0" fontId="74" fillId="0" borderId="17" xfId="185" applyFont="1" applyBorder="1" applyAlignment="1">
      <alignment horizontal="centerContinuous" vertical="center"/>
    </xf>
    <xf numFmtId="0" fontId="74" fillId="0" borderId="12" xfId="185" applyFont="1" applyBorder="1" applyAlignment="1">
      <alignment vertical="center"/>
    </xf>
    <xf numFmtId="0" fontId="71" fillId="0" borderId="12" xfId="185" applyFont="1" applyBorder="1" applyAlignment="1">
      <alignment vertical="center"/>
    </xf>
    <xf numFmtId="0" fontId="53" fillId="0" borderId="0" xfId="185" applyFont="1"/>
    <xf numFmtId="0" fontId="62" fillId="0" borderId="0" xfId="185" applyFont="1" applyAlignment="1">
      <alignment horizontal="right" vertical="center"/>
    </xf>
    <xf numFmtId="0" fontId="73" fillId="0" borderId="0" xfId="185" applyFont="1" applyAlignment="1">
      <alignment horizontal="right" vertical="center"/>
    </xf>
    <xf numFmtId="0" fontId="73" fillId="0" borderId="0" xfId="185" applyFont="1" applyAlignment="1">
      <alignment vertical="center"/>
    </xf>
    <xf numFmtId="0" fontId="62" fillId="0" borderId="0" xfId="185" applyFont="1" applyAlignment="1">
      <alignment horizontal="center" vertical="center"/>
    </xf>
    <xf numFmtId="0" fontId="71" fillId="0" borderId="0" xfId="185" applyFont="1" applyAlignment="1">
      <alignment vertical="center"/>
    </xf>
    <xf numFmtId="166" fontId="73" fillId="0" borderId="0" xfId="176" applyNumberFormat="1" applyFont="1" applyFill="1" applyBorder="1" applyAlignment="1">
      <alignment horizontal="right" vertical="center" wrapText="1" shrinkToFit="1"/>
    </xf>
    <xf numFmtId="0" fontId="77" fillId="0" borderId="0" xfId="185" applyFont="1" applyAlignment="1">
      <alignment horizontal="left"/>
    </xf>
    <xf numFmtId="0" fontId="71" fillId="0" borderId="0" xfId="185" applyFont="1" applyAlignment="1">
      <alignment horizontal="right" vertical="center"/>
    </xf>
    <xf numFmtId="196" fontId="71" fillId="0" borderId="0" xfId="0" applyNumberFormat="1" applyFont="1" applyAlignment="1">
      <alignment horizontal="center" vertical="center" shrinkToFit="1"/>
    </xf>
    <xf numFmtId="3" fontId="71" fillId="0" borderId="0" xfId="0" applyNumberFormat="1" applyFont="1" applyAlignment="1">
      <alignment horizontal="left" vertical="center"/>
    </xf>
    <xf numFmtId="196" fontId="71" fillId="0" borderId="19" xfId="0" applyNumberFormat="1" applyFont="1" applyBorder="1" applyAlignment="1">
      <alignment horizontal="center" vertical="center" shrinkToFit="1"/>
    </xf>
    <xf numFmtId="3" fontId="71" fillId="0" borderId="0" xfId="0" applyNumberFormat="1" applyFont="1" applyAlignment="1">
      <alignment horizontal="center"/>
    </xf>
    <xf numFmtId="1" fontId="71" fillId="0" borderId="0" xfId="0" applyNumberFormat="1" applyFont="1" applyAlignment="1">
      <alignment horizontal="center" vertical="center"/>
    </xf>
    <xf numFmtId="166" fontId="73" fillId="0" borderId="0" xfId="176" applyNumberFormat="1" applyFont="1" applyAlignment="1">
      <alignment horizontal="right" vertical="center" wrapText="1" shrinkToFit="1"/>
    </xf>
    <xf numFmtId="3" fontId="71" fillId="0" borderId="0" xfId="0" applyNumberFormat="1" applyFont="1" applyAlignment="1">
      <alignment horizontal="center" vertical="center"/>
    </xf>
    <xf numFmtId="0" fontId="101" fillId="0" borderId="0" xfId="0" applyFont="1" applyAlignment="1">
      <alignment wrapText="1"/>
    </xf>
    <xf numFmtId="0" fontId="71" fillId="0" borderId="0" xfId="185" applyFont="1"/>
    <xf numFmtId="165" fontId="79" fillId="0" borderId="0" xfId="0" applyNumberFormat="1" applyFont="1" applyAlignment="1">
      <alignment horizontal="left" vertical="center"/>
    </xf>
    <xf numFmtId="0" fontId="71" fillId="0" borderId="0" xfId="0" applyFont="1" applyAlignment="1">
      <alignment horizontal="left"/>
    </xf>
    <xf numFmtId="3" fontId="71" fillId="0" borderId="0" xfId="185" applyNumberFormat="1" applyFont="1"/>
    <xf numFmtId="165" fontId="73" fillId="0" borderId="0" xfId="176" applyNumberFormat="1" applyFont="1" applyFill="1" applyBorder="1" applyAlignment="1">
      <alignment horizontal="right" vertical="center" shrinkToFit="1"/>
    </xf>
    <xf numFmtId="0" fontId="71" fillId="0" borderId="0" xfId="0" applyFont="1" applyAlignment="1">
      <alignment horizontal="center" vertical="center" shrinkToFit="1"/>
    </xf>
    <xf numFmtId="196" fontId="71" fillId="0" borderId="18" xfId="0" applyNumberFormat="1" applyFont="1" applyBorder="1" applyAlignment="1">
      <alignment horizontal="center" vertical="center" shrinkToFit="1"/>
    </xf>
    <xf numFmtId="0" fontId="71" fillId="0" borderId="0" xfId="185" quotePrefix="1" applyFont="1" applyAlignment="1">
      <alignment horizontal="center" vertical="center"/>
    </xf>
    <xf numFmtId="228" fontId="77" fillId="0" borderId="0" xfId="185" applyNumberFormat="1" applyFont="1" applyAlignment="1">
      <alignment horizontal="center" vertical="center"/>
    </xf>
    <xf numFmtId="193" fontId="77" fillId="0" borderId="0" xfId="185" applyNumberFormat="1" applyFont="1" applyAlignment="1">
      <alignment horizontal="center" vertical="center"/>
    </xf>
    <xf numFmtId="165" fontId="73" fillId="0" borderId="0" xfId="176" applyNumberFormat="1" applyFont="1" applyAlignment="1">
      <alignment horizontal="right" vertical="center" shrinkToFit="1"/>
    </xf>
    <xf numFmtId="196" fontId="71" fillId="0" borderId="48" xfId="0" applyNumberFormat="1" applyFont="1" applyBorder="1" applyAlignment="1">
      <alignment horizontal="center" vertical="center" shrinkToFit="1"/>
    </xf>
    <xf numFmtId="192" fontId="77" fillId="0" borderId="0" xfId="185" applyNumberFormat="1" applyFont="1" applyAlignment="1">
      <alignment horizontal="center" vertical="center"/>
    </xf>
    <xf numFmtId="9" fontId="77" fillId="0" borderId="0" xfId="185" applyNumberFormat="1" applyFont="1" applyAlignment="1">
      <alignment horizontal="center" vertical="center"/>
    </xf>
    <xf numFmtId="0" fontId="71" fillId="56" borderId="0" xfId="185" applyFont="1" applyFill="1" applyAlignment="1">
      <alignment vertical="center"/>
    </xf>
    <xf numFmtId="0" fontId="73" fillId="56" borderId="0" xfId="0" applyFont="1" applyFill="1" applyAlignment="1">
      <alignment horizontal="left" vertical="center" shrinkToFit="1"/>
    </xf>
    <xf numFmtId="1" fontId="73" fillId="56" borderId="0" xfId="0" applyNumberFormat="1" applyFont="1" applyFill="1" applyAlignment="1">
      <alignment horizontal="center" vertical="center" shrinkToFit="1"/>
    </xf>
    <xf numFmtId="0" fontId="73" fillId="56" borderId="0" xfId="0" applyFont="1" applyFill="1" applyAlignment="1">
      <alignment horizontal="center" vertical="center" shrinkToFit="1"/>
    </xf>
    <xf numFmtId="165" fontId="73" fillId="56" borderId="0" xfId="0" applyNumberFormat="1" applyFont="1" applyFill="1" applyAlignment="1">
      <alignment horizontal="right" vertical="center" shrinkToFit="1"/>
    </xf>
    <xf numFmtId="165" fontId="73" fillId="56" borderId="0" xfId="176" applyNumberFormat="1" applyFont="1" applyFill="1" applyAlignment="1">
      <alignment horizontal="right" vertical="center" shrinkToFit="1"/>
    </xf>
    <xf numFmtId="0" fontId="71" fillId="56" borderId="0" xfId="0" applyFont="1" applyFill="1" applyAlignment="1">
      <alignment horizontal="left" vertical="center" shrinkToFit="1"/>
    </xf>
    <xf numFmtId="0" fontId="71" fillId="56" borderId="0" xfId="0" applyFont="1" applyFill="1" applyAlignment="1">
      <alignment horizontal="center" vertical="center" shrinkToFit="1"/>
    </xf>
    <xf numFmtId="1" fontId="71" fillId="56" borderId="0" xfId="0" applyNumberFormat="1" applyFont="1" applyFill="1" applyAlignment="1">
      <alignment horizontal="center" vertical="center" shrinkToFit="1"/>
    </xf>
    <xf numFmtId="165" fontId="73" fillId="56" borderId="0" xfId="176" applyNumberFormat="1" applyFont="1" applyFill="1" applyBorder="1" applyAlignment="1">
      <alignment horizontal="right" vertical="center" shrinkToFit="1"/>
    </xf>
    <xf numFmtId="0" fontId="71" fillId="0" borderId="0" xfId="0" quotePrefix="1" applyFont="1" applyAlignment="1">
      <alignment horizontal="center" vertical="center" shrinkToFit="1"/>
    </xf>
    <xf numFmtId="197" fontId="77" fillId="0" borderId="0" xfId="185" applyNumberFormat="1" applyFont="1" applyAlignment="1">
      <alignment horizontal="center" vertical="center"/>
    </xf>
    <xf numFmtId="2" fontId="71" fillId="0" borderId="0" xfId="0" applyNumberFormat="1" applyFont="1" applyAlignment="1">
      <alignment horizontal="center" vertical="center" shrinkToFit="1"/>
    </xf>
    <xf numFmtId="165" fontId="79" fillId="0" borderId="0" xfId="0" applyNumberFormat="1" applyFont="1" applyAlignment="1">
      <alignment horizontal="left" vertical="center" indent="1"/>
    </xf>
    <xf numFmtId="1" fontId="71" fillId="0" borderId="18" xfId="0" applyNumberFormat="1" applyFont="1" applyBorder="1" applyAlignment="1">
      <alignment horizontal="center" vertical="center" shrinkToFit="1"/>
    </xf>
    <xf numFmtId="1" fontId="71" fillId="0" borderId="0" xfId="0" applyNumberFormat="1" applyFont="1" applyAlignment="1">
      <alignment horizontal="center" vertical="center" shrinkToFit="1"/>
    </xf>
    <xf numFmtId="167" fontId="71" fillId="0" borderId="0" xfId="0" applyNumberFormat="1" applyFont="1" applyAlignment="1">
      <alignment horizontal="right" vertical="center"/>
    </xf>
    <xf numFmtId="0" fontId="71" fillId="0" borderId="0" xfId="0" applyFont="1" applyAlignment="1">
      <alignment vertical="center"/>
    </xf>
    <xf numFmtId="2" fontId="71" fillId="0" borderId="0" xfId="0" applyNumberFormat="1" applyFont="1" applyAlignment="1">
      <alignment horizontal="center" vertical="center"/>
    </xf>
    <xf numFmtId="2" fontId="71" fillId="0" borderId="0" xfId="185" applyNumberFormat="1" applyFont="1" applyAlignment="1">
      <alignment horizontal="center" vertical="center"/>
    </xf>
    <xf numFmtId="0" fontId="71" fillId="0" borderId="0" xfId="0" applyFont="1" applyAlignment="1">
      <alignment horizontal="right" vertical="center"/>
    </xf>
    <xf numFmtId="0" fontId="73" fillId="0" borderId="19" xfId="0" applyFont="1" applyBorder="1" applyAlignment="1">
      <alignment horizontal="center" vertical="center"/>
    </xf>
    <xf numFmtId="2" fontId="71" fillId="0" borderId="19" xfId="0" applyNumberFormat="1" applyFont="1" applyBorder="1" applyAlignment="1">
      <alignment horizontal="center" vertical="center"/>
    </xf>
    <xf numFmtId="199" fontId="71" fillId="0" borderId="19" xfId="0" applyNumberFormat="1" applyFont="1" applyBorder="1" applyAlignment="1">
      <alignment horizontal="center" vertical="center"/>
    </xf>
    <xf numFmtId="0" fontId="74" fillId="0" borderId="0" xfId="185" applyFont="1" applyAlignment="1">
      <alignment horizontal="left"/>
    </xf>
    <xf numFmtId="167" fontId="71" fillId="0" borderId="0" xfId="185" applyNumberFormat="1" applyFont="1" applyAlignment="1">
      <alignment horizontal="right" vertical="center"/>
    </xf>
    <xf numFmtId="187" fontId="71" fillId="0" borderId="0" xfId="185" applyNumberFormat="1" applyFont="1" applyAlignment="1">
      <alignment horizontal="center" vertical="center" shrinkToFit="1"/>
    </xf>
    <xf numFmtId="187" fontId="71" fillId="0" borderId="48" xfId="185" applyNumberFormat="1" applyFont="1" applyBorder="1" applyAlignment="1">
      <alignment horizontal="center" vertical="center" shrinkToFit="1"/>
    </xf>
    <xf numFmtId="0" fontId="77" fillId="0" borderId="0" xfId="185" quotePrefix="1" applyFont="1" applyAlignment="1">
      <alignment horizontal="right"/>
    </xf>
    <xf numFmtId="166" fontId="73" fillId="0" borderId="0" xfId="176" applyNumberFormat="1" applyFont="1" applyFill="1" applyAlignment="1">
      <alignment horizontal="right" vertical="center" wrapText="1" shrinkToFit="1"/>
    </xf>
    <xf numFmtId="0" fontId="102" fillId="0" borderId="0" xfId="0" quotePrefix="1" applyFont="1" applyAlignment="1">
      <alignment horizontal="left" vertical="center" shrinkToFit="1"/>
    </xf>
    <xf numFmtId="165" fontId="71" fillId="0" borderId="0" xfId="0" applyNumberFormat="1" applyFont="1" applyAlignment="1">
      <alignment horizontal="right" vertical="center" shrinkToFit="1"/>
    </xf>
    <xf numFmtId="165" fontId="73" fillId="0" borderId="0" xfId="176" applyNumberFormat="1" applyFont="1" applyFill="1" applyAlignment="1">
      <alignment horizontal="right" vertical="center" shrinkToFit="1"/>
    </xf>
    <xf numFmtId="199" fontId="73" fillId="0" borderId="0" xfId="0" applyNumberFormat="1" applyFont="1" applyAlignment="1">
      <alignment horizontal="left" vertical="center" shrinkToFit="1"/>
    </xf>
    <xf numFmtId="221" fontId="71" fillId="0" borderId="0" xfId="185" applyNumberFormat="1" applyFont="1" applyAlignment="1">
      <alignment horizontal="center" vertical="center" shrinkToFit="1"/>
    </xf>
    <xf numFmtId="187" fontId="71" fillId="0" borderId="18" xfId="185" applyNumberFormat="1" applyFont="1" applyBorder="1" applyAlignment="1">
      <alignment horizontal="center" vertical="center" shrinkToFit="1"/>
    </xf>
    <xf numFmtId="223" fontId="71" fillId="0" borderId="0" xfId="185" applyNumberFormat="1" applyFont="1" applyAlignment="1">
      <alignment horizontal="center" vertical="center" shrinkToFit="1"/>
    </xf>
    <xf numFmtId="0" fontId="73" fillId="0" borderId="0" xfId="0" quotePrefix="1" applyFont="1" applyAlignment="1">
      <alignment horizontal="left" vertical="center" shrinkToFit="1"/>
    </xf>
    <xf numFmtId="224" fontId="77" fillId="0" borderId="0" xfId="185" applyNumberFormat="1" applyFont="1" applyAlignment="1">
      <alignment horizontal="center" vertical="center"/>
    </xf>
    <xf numFmtId="222" fontId="77" fillId="0" borderId="0" xfId="185" applyNumberFormat="1" applyFont="1" applyAlignment="1">
      <alignment horizontal="center" vertical="center"/>
    </xf>
    <xf numFmtId="177" fontId="77" fillId="0" borderId="0" xfId="185" applyNumberFormat="1" applyFont="1" applyAlignment="1">
      <alignment horizontal="center" vertical="center"/>
    </xf>
    <xf numFmtId="198" fontId="71" fillId="0" borderId="0" xfId="185" applyNumberFormat="1" applyFont="1" applyAlignment="1">
      <alignment horizontal="center" vertical="center"/>
    </xf>
    <xf numFmtId="188" fontId="77" fillId="0" borderId="0" xfId="185" applyNumberFormat="1" applyFont="1" applyAlignment="1">
      <alignment horizontal="center" vertical="center"/>
    </xf>
    <xf numFmtId="180" fontId="71" fillId="0" borderId="48" xfId="185" applyNumberFormat="1" applyFont="1" applyBorder="1" applyAlignment="1">
      <alignment horizontal="center" vertical="center"/>
    </xf>
    <xf numFmtId="207" fontId="77" fillId="0" borderId="0" xfId="185" applyNumberFormat="1" applyFont="1" applyAlignment="1">
      <alignment horizontal="center" vertical="center"/>
    </xf>
    <xf numFmtId="186" fontId="77" fillId="0" borderId="0" xfId="185" applyNumberFormat="1" applyFont="1" applyAlignment="1">
      <alignment horizontal="center" vertical="center"/>
    </xf>
    <xf numFmtId="0" fontId="77" fillId="0" borderId="0" xfId="185" applyFont="1" applyAlignment="1">
      <alignment horizontal="center" vertical="center"/>
    </xf>
    <xf numFmtId="0" fontId="73" fillId="0" borderId="0" xfId="0" applyFont="1" applyAlignment="1">
      <alignment horizontal="left" vertical="center" wrapText="1" shrinkToFit="1"/>
    </xf>
    <xf numFmtId="165" fontId="104" fillId="0" borderId="0" xfId="0" applyNumberFormat="1" applyFont="1" applyAlignment="1">
      <alignment horizontal="left" vertical="center"/>
    </xf>
    <xf numFmtId="182" fontId="71" fillId="0" borderId="0" xfId="185" applyNumberFormat="1" applyFont="1" applyAlignment="1">
      <alignment horizontal="center" vertical="center"/>
    </xf>
    <xf numFmtId="165" fontId="71" fillId="0" borderId="0" xfId="176" applyNumberFormat="1" applyFont="1" applyFill="1" applyAlignment="1">
      <alignment horizontal="right" vertical="center" shrinkToFit="1"/>
    </xf>
    <xf numFmtId="226" fontId="71" fillId="0" borderId="0" xfId="185" applyNumberFormat="1" applyFont="1" applyAlignment="1">
      <alignment horizontal="center" vertical="center" shrinkToFit="1"/>
    </xf>
    <xf numFmtId="234" fontId="77" fillId="0" borderId="0" xfId="185" applyNumberFormat="1" applyFont="1" applyAlignment="1">
      <alignment horizontal="center" vertical="center"/>
    </xf>
    <xf numFmtId="235" fontId="77" fillId="0" borderId="0" xfId="185" applyNumberFormat="1" applyFont="1" applyAlignment="1">
      <alignment horizontal="center" vertical="center"/>
    </xf>
    <xf numFmtId="238" fontId="77" fillId="0" borderId="0" xfId="185" applyNumberFormat="1" applyFont="1" applyAlignment="1">
      <alignment horizontal="center" vertical="center"/>
    </xf>
    <xf numFmtId="225" fontId="77" fillId="0" borderId="0" xfId="185" applyNumberFormat="1" applyFont="1" applyAlignment="1">
      <alignment horizontal="center" vertical="center"/>
    </xf>
    <xf numFmtId="0" fontId="74" fillId="0" borderId="0" xfId="185" quotePrefix="1" applyFont="1"/>
    <xf numFmtId="236" fontId="77" fillId="0" borderId="0" xfId="185" applyNumberFormat="1" applyFont="1" applyAlignment="1">
      <alignment horizontal="center" vertical="center"/>
    </xf>
    <xf numFmtId="237" fontId="77" fillId="0" borderId="0" xfId="185" applyNumberFormat="1" applyFont="1" applyAlignment="1">
      <alignment horizontal="center" vertical="center"/>
    </xf>
    <xf numFmtId="182" fontId="71" fillId="0" borderId="48" xfId="185" applyNumberFormat="1" applyFont="1" applyBorder="1" applyAlignment="1">
      <alignment horizontal="center" vertical="center"/>
    </xf>
    <xf numFmtId="215" fontId="77" fillId="0" borderId="0" xfId="185" applyNumberFormat="1" applyFont="1" applyAlignment="1">
      <alignment horizontal="center" vertical="center"/>
    </xf>
    <xf numFmtId="175" fontId="73" fillId="0" borderId="0" xfId="0" applyNumberFormat="1" applyFont="1" applyAlignment="1">
      <alignment horizontal="left" vertical="center" shrinkToFit="1"/>
    </xf>
    <xf numFmtId="165" fontId="71" fillId="0" borderId="0" xfId="176" applyNumberFormat="1" applyFont="1" applyFill="1" applyBorder="1" applyAlignment="1">
      <alignment horizontal="right" vertical="center" shrinkToFit="1"/>
    </xf>
    <xf numFmtId="223" fontId="71" fillId="0" borderId="48" xfId="185" applyNumberFormat="1" applyFont="1" applyBorder="1" applyAlignment="1">
      <alignment horizontal="center" vertical="center"/>
    </xf>
    <xf numFmtId="0" fontId="74" fillId="0" borderId="12" xfId="185" applyFont="1" applyBorder="1"/>
    <xf numFmtId="1" fontId="71" fillId="0" borderId="0" xfId="0" applyNumberFormat="1" applyFont="1"/>
    <xf numFmtId="0" fontId="97" fillId="0" borderId="0" xfId="185" applyFont="1" applyAlignment="1">
      <alignment vertical="center"/>
    </xf>
    <xf numFmtId="0" fontId="106" fillId="0" borderId="0" xfId="185" applyFont="1" applyAlignment="1">
      <alignment horizontal="center" vertical="center"/>
    </xf>
    <xf numFmtId="0" fontId="77" fillId="0" borderId="0" xfId="185" applyFont="1" applyAlignment="1">
      <alignment vertical="center"/>
    </xf>
    <xf numFmtId="2" fontId="77" fillId="0" borderId="0" xfId="0" applyNumberFormat="1" applyFont="1" applyAlignment="1">
      <alignment horizontal="center" vertical="center"/>
    </xf>
    <xf numFmtId="178" fontId="77" fillId="0" borderId="0" xfId="0" applyNumberFormat="1" applyFont="1" applyAlignment="1">
      <alignment horizontal="center" vertical="center"/>
    </xf>
    <xf numFmtId="3" fontId="71" fillId="0" borderId="0" xfId="0" applyNumberFormat="1" applyFont="1" applyAlignment="1">
      <alignment horizontal="left" vertical="center" shrinkToFit="1"/>
    </xf>
    <xf numFmtId="0" fontId="71" fillId="0" borderId="18" xfId="0" applyFont="1" applyBorder="1" applyAlignment="1">
      <alignment vertical="center"/>
    </xf>
    <xf numFmtId="0" fontId="71" fillId="0" borderId="18" xfId="0" applyFont="1" applyBorder="1" applyAlignment="1">
      <alignment horizontal="right" vertical="center"/>
    </xf>
    <xf numFmtId="0" fontId="81" fillId="0" borderId="0" xfId="0" applyFont="1" applyAlignment="1">
      <alignment vertical="center"/>
    </xf>
    <xf numFmtId="180" fontId="71" fillId="0" borderId="48" xfId="185" applyNumberFormat="1" applyFont="1" applyBorder="1" applyAlignment="1">
      <alignment horizontal="center" vertical="center" shrinkToFit="1"/>
    </xf>
    <xf numFmtId="0" fontId="71" fillId="0" borderId="0" xfId="185" applyFont="1" applyAlignment="1">
      <alignment horizontal="center" vertical="center"/>
    </xf>
    <xf numFmtId="0" fontId="71" fillId="0" borderId="0" xfId="185" applyFont="1" applyAlignment="1">
      <alignment vertical="center" shrinkToFit="1"/>
    </xf>
    <xf numFmtId="180" fontId="71" fillId="0" borderId="19" xfId="185" applyNumberFormat="1" applyFont="1" applyBorder="1" applyAlignment="1">
      <alignment horizontal="center" vertical="center" shrinkToFit="1"/>
    </xf>
    <xf numFmtId="180" fontId="71" fillId="0" borderId="0" xfId="185" applyNumberFormat="1" applyFont="1" applyAlignment="1">
      <alignment horizontal="center" vertical="center" shrinkToFit="1"/>
    </xf>
    <xf numFmtId="1" fontId="71" fillId="0" borderId="0" xfId="0" quotePrefix="1" applyNumberFormat="1" applyFont="1" applyAlignment="1">
      <alignment horizontal="right" vertical="center"/>
    </xf>
    <xf numFmtId="3" fontId="71" fillId="0" borderId="0" xfId="0" quotePrefix="1" applyNumberFormat="1" applyFont="1" applyAlignment="1">
      <alignment horizontal="center" vertical="center"/>
    </xf>
    <xf numFmtId="181" fontId="77" fillId="0" borderId="0" xfId="185" applyNumberFormat="1" applyFont="1" applyAlignment="1">
      <alignment horizontal="center" vertical="center"/>
    </xf>
    <xf numFmtId="10" fontId="71" fillId="0" borderId="0" xfId="185" applyNumberFormat="1" applyFont="1" applyAlignment="1">
      <alignment vertical="center"/>
    </xf>
    <xf numFmtId="2" fontId="71" fillId="0" borderId="0" xfId="185" applyNumberFormat="1" applyFont="1"/>
    <xf numFmtId="0" fontId="73" fillId="0" borderId="0" xfId="185" applyFont="1"/>
    <xf numFmtId="0" fontId="73" fillId="0" borderId="18" xfId="0" applyFont="1" applyBorder="1" applyAlignment="1">
      <alignment horizontal="left" vertical="center" shrinkToFit="1"/>
    </xf>
    <xf numFmtId="2" fontId="71" fillId="0" borderId="18" xfId="0" applyNumberFormat="1" applyFont="1" applyBorder="1" applyAlignment="1">
      <alignment horizontal="center" vertical="center"/>
    </xf>
    <xf numFmtId="1" fontId="71" fillId="0" borderId="0" xfId="0" applyNumberFormat="1" applyFont="1" applyAlignment="1">
      <alignment horizontal="left" vertical="center"/>
    </xf>
    <xf numFmtId="182" fontId="71" fillId="0" borderId="48" xfId="185" applyNumberFormat="1" applyFont="1" applyBorder="1" applyAlignment="1">
      <alignment horizontal="center" vertical="center" shrinkToFit="1"/>
    </xf>
    <xf numFmtId="182" fontId="71" fillId="0" borderId="0" xfId="185" applyNumberFormat="1" applyFont="1" applyAlignment="1">
      <alignment horizontal="center" vertical="center" shrinkToFit="1"/>
    </xf>
    <xf numFmtId="183" fontId="77" fillId="0" borderId="0" xfId="185" applyNumberFormat="1" applyFont="1" applyAlignment="1">
      <alignment horizontal="center" vertical="center"/>
    </xf>
    <xf numFmtId="184" fontId="77" fillId="0" borderId="0" xfId="185" applyNumberFormat="1" applyFont="1" applyAlignment="1">
      <alignment horizontal="center" vertical="center"/>
    </xf>
    <xf numFmtId="0" fontId="77" fillId="0" borderId="0" xfId="0" applyFont="1" applyAlignment="1">
      <alignment horizontal="center" vertical="center"/>
    </xf>
    <xf numFmtId="3" fontId="77" fillId="0" borderId="0" xfId="0" applyNumberFormat="1" applyFont="1" applyAlignment="1">
      <alignment horizontal="left" vertical="center"/>
    </xf>
    <xf numFmtId="182" fontId="71" fillId="0" borderId="27" xfId="185" applyNumberFormat="1" applyFont="1" applyBorder="1" applyAlignment="1">
      <alignment horizontal="center" vertical="center" shrinkToFit="1"/>
    </xf>
    <xf numFmtId="185" fontId="71" fillId="0" borderId="48" xfId="0" applyNumberFormat="1" applyFont="1" applyBorder="1" applyAlignment="1">
      <alignment horizontal="center" vertical="center" shrinkToFit="1"/>
    </xf>
    <xf numFmtId="3" fontId="71" fillId="0" borderId="19" xfId="0" applyNumberFormat="1" applyFont="1" applyBorder="1" applyAlignment="1">
      <alignment horizontal="center" vertical="center"/>
    </xf>
    <xf numFmtId="169" fontId="71" fillId="0" borderId="0" xfId="0" applyNumberFormat="1" applyFont="1" applyAlignment="1">
      <alignment horizontal="center" vertical="center"/>
    </xf>
    <xf numFmtId="0" fontId="73" fillId="0" borderId="0" xfId="185" applyFont="1" applyAlignment="1">
      <alignment horizontal="left" vertical="center"/>
    </xf>
    <xf numFmtId="2" fontId="77" fillId="0" borderId="0" xfId="0" applyNumberFormat="1" applyFont="1" applyAlignment="1">
      <alignment horizontal="center" vertical="center" shrinkToFit="1"/>
    </xf>
    <xf numFmtId="167" fontId="71" fillId="0" borderId="0" xfId="185" applyNumberFormat="1" applyFont="1" applyAlignment="1">
      <alignment horizontal="left" vertical="center"/>
    </xf>
    <xf numFmtId="182" fontId="71" fillId="0" borderId="19" xfId="185" applyNumberFormat="1" applyFont="1" applyBorder="1" applyAlignment="1">
      <alignment horizontal="center" vertical="center" shrinkToFit="1"/>
    </xf>
    <xf numFmtId="4" fontId="71" fillId="0" borderId="19" xfId="0" applyNumberFormat="1" applyFont="1" applyBorder="1" applyAlignment="1">
      <alignment horizontal="center" vertical="center"/>
    </xf>
    <xf numFmtId="0" fontId="77" fillId="0" borderId="0" xfId="0" applyFont="1" applyAlignment="1">
      <alignment horizontal="center" vertical="center" shrinkToFit="1"/>
    </xf>
    <xf numFmtId="4" fontId="71" fillId="0" borderId="19" xfId="185" applyNumberFormat="1" applyFont="1" applyBorder="1" applyAlignment="1">
      <alignment horizontal="center" vertical="center"/>
    </xf>
    <xf numFmtId="0" fontId="71" fillId="0" borderId="19" xfId="185" applyFont="1" applyBorder="1" applyAlignment="1">
      <alignment horizontal="center" vertical="center"/>
    </xf>
    <xf numFmtId="168" fontId="71" fillId="0" borderId="0" xfId="185" applyNumberFormat="1" applyFont="1" applyAlignment="1">
      <alignment horizontal="center" vertical="center"/>
    </xf>
    <xf numFmtId="4" fontId="71" fillId="0" borderId="0" xfId="185" applyNumberFormat="1" applyFont="1" applyAlignment="1">
      <alignment horizontal="center" vertical="center"/>
    </xf>
    <xf numFmtId="0" fontId="77" fillId="0" borderId="19" xfId="185" applyFont="1" applyBorder="1" applyAlignment="1">
      <alignment horizontal="center" vertical="center" wrapText="1"/>
    </xf>
    <xf numFmtId="193" fontId="71" fillId="0" borderId="19" xfId="185" applyNumberFormat="1" applyFont="1" applyBorder="1" applyAlignment="1">
      <alignment horizontal="center" vertical="center"/>
    </xf>
    <xf numFmtId="1" fontId="71" fillId="0" borderId="19" xfId="185" applyNumberFormat="1" applyFont="1" applyBorder="1" applyAlignment="1">
      <alignment horizontal="center" vertical="center"/>
    </xf>
    <xf numFmtId="165" fontId="79" fillId="0" borderId="0" xfId="0" applyNumberFormat="1" applyFont="1" applyAlignment="1">
      <alignment horizontal="right" vertical="center"/>
    </xf>
    <xf numFmtId="174" fontId="77" fillId="0" borderId="0" xfId="185" applyNumberFormat="1" applyFont="1" applyAlignment="1">
      <alignment horizontal="center" vertical="center"/>
    </xf>
    <xf numFmtId="0" fontId="63" fillId="0" borderId="0" xfId="0" applyFont="1" applyAlignment="1">
      <alignment horizontal="right" vertical="center"/>
    </xf>
    <xf numFmtId="0" fontId="71" fillId="0" borderId="0" xfId="0" quotePrefix="1" applyFont="1" applyAlignment="1">
      <alignment horizontal="left" vertical="center" shrinkToFit="1"/>
    </xf>
    <xf numFmtId="189" fontId="77" fillId="0" borderId="0" xfId="0" applyNumberFormat="1" applyFont="1" applyAlignment="1">
      <alignment vertical="center" shrinkToFit="1"/>
    </xf>
    <xf numFmtId="0" fontId="79" fillId="0" borderId="0" xfId="0" applyFont="1" applyAlignment="1">
      <alignment horizontal="center" vertical="center" shrinkToFit="1"/>
    </xf>
    <xf numFmtId="0" fontId="63" fillId="0" borderId="18" xfId="0" applyFont="1" applyBorder="1" applyAlignment="1">
      <alignment horizontal="right" vertical="center"/>
    </xf>
    <xf numFmtId="0" fontId="71" fillId="0" borderId="0" xfId="0" applyFont="1" applyAlignment="1">
      <alignment vertical="center" shrinkToFit="1"/>
    </xf>
    <xf numFmtId="187" fontId="71" fillId="0" borderId="48" xfId="185" applyNumberFormat="1" applyFont="1" applyBorder="1" applyAlignment="1">
      <alignment horizontal="center" vertical="center"/>
    </xf>
    <xf numFmtId="190" fontId="77" fillId="0" borderId="0" xfId="185" applyNumberFormat="1" applyFont="1" applyAlignment="1">
      <alignment vertical="center"/>
    </xf>
    <xf numFmtId="0" fontId="71" fillId="0" borderId="0" xfId="185" applyFont="1" applyAlignment="1">
      <alignment horizontal="left" vertical="center"/>
    </xf>
    <xf numFmtId="191" fontId="71" fillId="0" borderId="0" xfId="185" applyNumberFormat="1" applyFont="1" applyAlignment="1">
      <alignment horizontal="center" vertical="center"/>
    </xf>
    <xf numFmtId="194" fontId="71" fillId="0" borderId="19" xfId="185" applyNumberFormat="1" applyFont="1" applyBorder="1" applyAlignment="1">
      <alignment horizontal="center" vertical="center"/>
    </xf>
    <xf numFmtId="1" fontId="79" fillId="0" borderId="0" xfId="185" applyNumberFormat="1" applyFont="1" applyAlignment="1">
      <alignment horizontal="left" vertical="center"/>
    </xf>
    <xf numFmtId="0" fontId="79" fillId="0" borderId="0" xfId="185" applyFont="1" applyAlignment="1">
      <alignment vertical="center"/>
    </xf>
    <xf numFmtId="195" fontId="71" fillId="0" borderId="0" xfId="185" applyNumberFormat="1" applyFont="1" applyAlignment="1">
      <alignment horizontal="center" vertical="center" wrapText="1"/>
    </xf>
    <xf numFmtId="2" fontId="73" fillId="0" borderId="0" xfId="0" applyNumberFormat="1" applyFont="1" applyAlignment="1">
      <alignment horizontal="left" vertical="center" shrinkToFit="1"/>
    </xf>
    <xf numFmtId="0" fontId="98" fillId="0" borderId="0" xfId="185" applyFont="1"/>
    <xf numFmtId="218" fontId="71" fillId="0" borderId="24" xfId="185" applyNumberFormat="1" applyFont="1" applyBorder="1" applyAlignment="1">
      <alignment horizontal="center" vertical="center"/>
    </xf>
    <xf numFmtId="3" fontId="71" fillId="0" borderId="0" xfId="185" applyNumberFormat="1" applyFont="1" applyAlignment="1">
      <alignment horizontal="center" vertical="center"/>
    </xf>
    <xf numFmtId="219" fontId="71" fillId="0" borderId="54" xfId="185" applyNumberFormat="1" applyFont="1" applyBorder="1" applyAlignment="1">
      <alignment horizontal="center" vertical="center"/>
    </xf>
    <xf numFmtId="219" fontId="71" fillId="0" borderId="55" xfId="185" applyNumberFormat="1" applyFont="1" applyBorder="1" applyAlignment="1">
      <alignment horizontal="center" vertical="center"/>
    </xf>
    <xf numFmtId="219" fontId="71" fillId="0" borderId="56" xfId="185" applyNumberFormat="1" applyFont="1" applyBorder="1" applyAlignment="1">
      <alignment horizontal="center" vertical="center"/>
    </xf>
    <xf numFmtId="199" fontId="71" fillId="0" borderId="18" xfId="185" applyNumberFormat="1" applyFont="1" applyBorder="1" applyAlignment="1">
      <alignment horizontal="center" vertical="center"/>
    </xf>
    <xf numFmtId="219" fontId="71" fillId="0" borderId="51" xfId="185" applyNumberFormat="1" applyFont="1" applyBorder="1" applyAlignment="1">
      <alignment horizontal="center" vertical="center"/>
    </xf>
    <xf numFmtId="219" fontId="71" fillId="0" borderId="52" xfId="185" applyNumberFormat="1" applyFont="1" applyBorder="1" applyAlignment="1">
      <alignment horizontal="center" vertical="center"/>
    </xf>
    <xf numFmtId="219" fontId="71" fillId="0" borderId="53" xfId="185" applyNumberFormat="1" applyFont="1" applyBorder="1" applyAlignment="1">
      <alignment horizontal="center" vertical="center"/>
    </xf>
    <xf numFmtId="220" fontId="71" fillId="56" borderId="0" xfId="0" applyNumberFormat="1" applyFont="1" applyFill="1" applyAlignment="1">
      <alignment horizontal="center" vertical="center"/>
    </xf>
    <xf numFmtId="0" fontId="71" fillId="56" borderId="0" xfId="0" applyFont="1" applyFill="1" applyAlignment="1">
      <alignment vertical="center"/>
    </xf>
    <xf numFmtId="0" fontId="71" fillId="0" borderId="0" xfId="185" quotePrefix="1" applyFont="1"/>
    <xf numFmtId="217" fontId="77" fillId="0" borderId="0" xfId="185" applyNumberFormat="1" applyFont="1" applyAlignment="1">
      <alignment horizontal="center" vertical="center"/>
    </xf>
    <xf numFmtId="2" fontId="71" fillId="56" borderId="0" xfId="0" applyNumberFormat="1" applyFont="1" applyFill="1" applyAlignment="1">
      <alignment vertical="center"/>
    </xf>
    <xf numFmtId="2" fontId="71" fillId="0" borderId="0" xfId="0" applyNumberFormat="1" applyFont="1" applyAlignment="1">
      <alignment vertical="center"/>
    </xf>
    <xf numFmtId="0" fontId="71" fillId="0" borderId="0" xfId="185" quotePrefix="1" applyFont="1" applyAlignment="1">
      <alignment vertical="center"/>
    </xf>
    <xf numFmtId="175" fontId="77" fillId="0" borderId="0" xfId="185" applyNumberFormat="1" applyFont="1" applyAlignment="1">
      <alignment horizontal="center" vertical="center"/>
    </xf>
    <xf numFmtId="0" fontId="79" fillId="0" borderId="0" xfId="185" quotePrefix="1" applyFont="1" applyAlignment="1">
      <alignment vertical="center"/>
    </xf>
    <xf numFmtId="216" fontId="71" fillId="0" borderId="0" xfId="185" applyNumberFormat="1" applyFont="1" applyAlignment="1">
      <alignment horizontal="center" vertical="center"/>
    </xf>
    <xf numFmtId="1" fontId="71" fillId="0" borderId="19" xfId="0" applyNumberFormat="1" applyFont="1" applyBorder="1" applyAlignment="1">
      <alignment horizontal="center" vertical="center"/>
    </xf>
    <xf numFmtId="0" fontId="71" fillId="0" borderId="18" xfId="0" applyFont="1" applyBorder="1" applyAlignment="1">
      <alignment horizontal="left" vertical="center" shrinkToFit="1"/>
    </xf>
    <xf numFmtId="0" fontId="75" fillId="0" borderId="0" xfId="185" applyFont="1" applyAlignment="1">
      <alignment horizontal="center" vertical="center"/>
    </xf>
    <xf numFmtId="1" fontId="71" fillId="0" borderId="0" xfId="185" applyNumberFormat="1" applyFont="1" applyAlignment="1">
      <alignment horizontal="center" vertical="center"/>
    </xf>
    <xf numFmtId="3" fontId="77" fillId="0" borderId="19" xfId="185" applyNumberFormat="1" applyFont="1" applyBorder="1" applyAlignment="1">
      <alignment horizontal="center" vertical="center" wrapText="1"/>
    </xf>
    <xf numFmtId="1" fontId="71" fillId="0" borderId="0" xfId="185" applyNumberFormat="1" applyFont="1" applyAlignment="1">
      <alignment horizontal="center"/>
    </xf>
    <xf numFmtId="3" fontId="62" fillId="0" borderId="0" xfId="185" applyNumberFormat="1" applyFont="1" applyAlignment="1">
      <alignment horizontal="center" vertical="center"/>
    </xf>
    <xf numFmtId="0" fontId="76" fillId="0" borderId="0" xfId="0" applyFont="1" applyAlignment="1">
      <alignment horizontal="center" vertical="center"/>
    </xf>
    <xf numFmtId="0" fontId="73" fillId="0" borderId="0" xfId="0" applyFont="1" applyAlignment="1">
      <alignment horizontal="left" vertical="center"/>
    </xf>
    <xf numFmtId="200" fontId="77" fillId="0" borderId="0" xfId="185" applyNumberFormat="1" applyFont="1" applyAlignment="1">
      <alignment vertical="center"/>
    </xf>
    <xf numFmtId="201" fontId="77" fillId="0" borderId="0" xfId="185" applyNumberFormat="1" applyFont="1" applyAlignment="1">
      <alignment horizontal="center" vertical="center"/>
    </xf>
    <xf numFmtId="3" fontId="71" fillId="0" borderId="18" xfId="0" applyNumberFormat="1" applyFont="1" applyBorder="1" applyAlignment="1">
      <alignment horizontal="center" vertical="center"/>
    </xf>
    <xf numFmtId="165" fontId="79" fillId="0" borderId="0" xfId="0" quotePrefix="1" applyNumberFormat="1" applyFont="1" applyAlignment="1">
      <alignment horizontal="left" vertical="center"/>
    </xf>
    <xf numFmtId="3" fontId="71" fillId="0" borderId="57" xfId="0" applyNumberFormat="1" applyFont="1" applyBorder="1" applyAlignment="1">
      <alignment horizontal="center" vertical="center"/>
    </xf>
    <xf numFmtId="3" fontId="73" fillId="0" borderId="48" xfId="0" applyNumberFormat="1" applyFont="1" applyBorder="1" applyAlignment="1">
      <alignment horizontal="center" vertical="center"/>
    </xf>
    <xf numFmtId="0" fontId="71" fillId="0" borderId="18" xfId="0" applyFont="1" applyBorder="1" applyAlignment="1">
      <alignment horizontal="center" vertical="center"/>
    </xf>
    <xf numFmtId="0" fontId="71" fillId="0" borderId="57" xfId="0" applyFont="1" applyBorder="1" applyAlignment="1">
      <alignment horizontal="center" vertical="center"/>
    </xf>
    <xf numFmtId="200" fontId="78" fillId="0" borderId="0" xfId="185" applyNumberFormat="1" applyFont="1" applyAlignment="1">
      <alignment vertical="center"/>
    </xf>
    <xf numFmtId="0" fontId="73" fillId="0" borderId="48" xfId="0" applyFont="1" applyBorder="1" applyAlignment="1">
      <alignment horizontal="center" vertical="center"/>
    </xf>
    <xf numFmtId="0" fontId="71" fillId="0" borderId="48" xfId="0" applyFont="1" applyBorder="1" applyAlignment="1">
      <alignment horizontal="center" vertical="center"/>
    </xf>
    <xf numFmtId="1" fontId="103" fillId="0" borderId="0" xfId="0" applyNumberFormat="1" applyFont="1" applyAlignment="1">
      <alignment horizontal="center" vertical="center"/>
    </xf>
    <xf numFmtId="193" fontId="71" fillId="0" borderId="0" xfId="0" applyNumberFormat="1" applyFont="1" applyAlignment="1">
      <alignment horizontal="center" vertical="center"/>
    </xf>
    <xf numFmtId="193" fontId="71" fillId="0" borderId="57" xfId="0" applyNumberFormat="1" applyFont="1" applyBorder="1" applyAlignment="1">
      <alignment horizontal="center" vertical="center"/>
    </xf>
    <xf numFmtId="1" fontId="71" fillId="0" borderId="0" xfId="185" applyNumberFormat="1" applyFont="1" applyAlignment="1">
      <alignment horizontal="center" vertical="center" shrinkToFit="1"/>
    </xf>
    <xf numFmtId="240" fontId="71" fillId="0" borderId="0" xfId="0" applyNumberFormat="1" applyFont="1" applyAlignment="1">
      <alignment horizontal="center" vertical="center"/>
    </xf>
    <xf numFmtId="240" fontId="71" fillId="0" borderId="57" xfId="0" applyNumberFormat="1" applyFont="1" applyBorder="1" applyAlignment="1">
      <alignment horizontal="center" vertical="center"/>
    </xf>
    <xf numFmtId="0" fontId="77" fillId="0" borderId="0" xfId="0" applyFont="1" applyAlignment="1">
      <alignment horizontal="right" vertical="center" wrapText="1" shrinkToFit="1"/>
    </xf>
    <xf numFmtId="0" fontId="75" fillId="0" borderId="0" xfId="0" applyFont="1" applyAlignment="1">
      <alignment horizontal="left" vertical="center"/>
    </xf>
    <xf numFmtId="1" fontId="73" fillId="0" borderId="0" xfId="74" applyNumberFormat="1" applyFont="1" applyFill="1" applyBorder="1" applyAlignment="1">
      <alignment horizontal="right" vertical="center" wrapText="1" shrinkToFit="1"/>
    </xf>
    <xf numFmtId="0" fontId="88" fillId="0" borderId="0" xfId="0" applyFont="1" applyAlignment="1">
      <alignment horizontal="left" vertical="center"/>
    </xf>
    <xf numFmtId="0" fontId="88" fillId="0" borderId="0" xfId="0" applyFont="1" applyAlignment="1">
      <alignment horizontal="center"/>
    </xf>
    <xf numFmtId="165" fontId="88" fillId="0" borderId="0" xfId="74" applyNumberFormat="1" applyFont="1" applyFill="1" applyBorder="1" applyAlignment="1">
      <alignment horizontal="center" vertical="center" wrapText="1" shrinkToFit="1"/>
    </xf>
    <xf numFmtId="165" fontId="71" fillId="0" borderId="0" xfId="0" applyNumberFormat="1" applyFont="1" applyAlignment="1">
      <alignment horizontal="center" vertical="center" shrinkToFit="1"/>
    </xf>
    <xf numFmtId="0" fontId="74" fillId="0" borderId="0" xfId="184" applyFont="1"/>
    <xf numFmtId="3" fontId="77" fillId="0" borderId="0" xfId="0" applyNumberFormat="1" applyFont="1" applyAlignment="1">
      <alignment horizontal="center" vertical="center"/>
    </xf>
    <xf numFmtId="208" fontId="71" fillId="0" borderId="0" xfId="0" applyNumberFormat="1" applyFont="1" applyAlignment="1">
      <alignment horizontal="left" vertical="center" wrapText="1" shrinkToFit="1"/>
    </xf>
    <xf numFmtId="209" fontId="73" fillId="0" borderId="48" xfId="185" applyNumberFormat="1" applyFont="1" applyBorder="1" applyAlignment="1">
      <alignment horizontal="center" vertical="center" shrinkToFit="1"/>
    </xf>
    <xf numFmtId="202" fontId="71" fillId="0" borderId="0" xfId="185" applyNumberFormat="1" applyFont="1" applyAlignment="1">
      <alignment horizontal="center" vertical="center"/>
    </xf>
    <xf numFmtId="0" fontId="71" fillId="0" borderId="0" xfId="0" applyFont="1" applyAlignment="1">
      <alignment horizontal="left" vertical="center"/>
    </xf>
    <xf numFmtId="1" fontId="71" fillId="0" borderId="48" xfId="185" applyNumberFormat="1" applyFont="1" applyBorder="1" applyAlignment="1">
      <alignment horizontal="center" vertical="center"/>
    </xf>
    <xf numFmtId="213" fontId="77" fillId="0" borderId="0" xfId="185" applyNumberFormat="1" applyFont="1" applyAlignment="1">
      <alignment horizontal="center" vertical="center"/>
    </xf>
    <xf numFmtId="165" fontId="71" fillId="0" borderId="0" xfId="176" applyNumberFormat="1" applyFont="1" applyAlignment="1">
      <alignment horizontal="right" vertical="center" shrinkToFit="1"/>
    </xf>
    <xf numFmtId="211" fontId="71" fillId="0" borderId="48" xfId="185" applyNumberFormat="1" applyFont="1" applyBorder="1" applyAlignment="1">
      <alignment horizontal="center" vertical="center" shrinkToFit="1"/>
    </xf>
    <xf numFmtId="210" fontId="77" fillId="0" borderId="0" xfId="185" applyNumberFormat="1" applyFont="1" applyAlignment="1">
      <alignment horizontal="center" vertical="center"/>
    </xf>
    <xf numFmtId="208" fontId="77" fillId="0" borderId="0" xfId="185" applyNumberFormat="1" applyFont="1" applyAlignment="1">
      <alignment horizontal="center" vertical="center"/>
    </xf>
    <xf numFmtId="231" fontId="71" fillId="0" borderId="0" xfId="0" applyNumberFormat="1" applyFont="1" applyAlignment="1">
      <alignment horizontal="center" vertical="center" shrinkToFit="1"/>
    </xf>
    <xf numFmtId="175" fontId="77" fillId="0" borderId="0" xfId="0" applyNumberFormat="1" applyFont="1" applyAlignment="1">
      <alignment horizontal="center" vertical="center"/>
    </xf>
    <xf numFmtId="209" fontId="77" fillId="0" borderId="0" xfId="185" applyNumberFormat="1" applyFont="1" applyAlignment="1">
      <alignment horizontal="center" vertical="center"/>
    </xf>
    <xf numFmtId="0" fontId="83" fillId="0" borderId="0" xfId="0" applyFont="1" applyAlignment="1">
      <alignment horizontal="center" vertical="center" shrinkToFit="1"/>
    </xf>
    <xf numFmtId="172" fontId="77" fillId="0" borderId="0" xfId="0" applyNumberFormat="1" applyFont="1" applyAlignment="1">
      <alignment horizontal="center" vertical="center"/>
    </xf>
    <xf numFmtId="203" fontId="77" fillId="0" borderId="0" xfId="185" applyNumberFormat="1" applyFont="1" applyAlignment="1">
      <alignment horizontal="center" vertical="center"/>
    </xf>
    <xf numFmtId="204" fontId="77" fillId="0" borderId="0" xfId="185" applyNumberFormat="1" applyFont="1" applyAlignment="1">
      <alignment horizontal="center" vertical="center"/>
    </xf>
    <xf numFmtId="0" fontId="62" fillId="0" borderId="0" xfId="185" applyFont="1" applyAlignment="1">
      <alignment vertical="center"/>
    </xf>
    <xf numFmtId="165" fontId="62" fillId="0" borderId="0" xfId="185" applyNumberFormat="1" applyFont="1" applyAlignment="1">
      <alignment vertical="center"/>
    </xf>
    <xf numFmtId="0" fontId="74" fillId="0" borderId="0" xfId="184" applyFont="1" applyAlignment="1">
      <alignment horizontal="centerContinuous"/>
    </xf>
    <xf numFmtId="0" fontId="62" fillId="0" borderId="0" xfId="184" applyFont="1" applyAlignment="1">
      <alignment horizontal="right"/>
    </xf>
    <xf numFmtId="0" fontId="62" fillId="0" borderId="0" xfId="184" applyFont="1"/>
    <xf numFmtId="0" fontId="62" fillId="0" borderId="0" xfId="184" applyFont="1" applyAlignment="1">
      <alignment horizontal="center" shrinkToFit="1"/>
    </xf>
    <xf numFmtId="165" fontId="73" fillId="0" borderId="0" xfId="0" applyNumberFormat="1" applyFont="1" applyAlignment="1">
      <alignment horizontal="center" vertical="center" shrinkToFit="1"/>
    </xf>
    <xf numFmtId="0" fontId="73" fillId="0" borderId="0" xfId="184" applyFont="1" applyAlignment="1">
      <alignment horizontal="center" shrinkToFit="1"/>
    </xf>
    <xf numFmtId="6" fontId="73" fillId="0" borderId="0" xfId="184" applyNumberFormat="1" applyFont="1" applyAlignment="1">
      <alignment horizontal="center" shrinkToFit="1"/>
    </xf>
    <xf numFmtId="3" fontId="73" fillId="0" borderId="0" xfId="0" applyNumberFormat="1" applyFont="1" applyAlignment="1">
      <alignment horizontal="center" vertical="center" shrinkToFit="1"/>
    </xf>
    <xf numFmtId="0" fontId="71" fillId="0" borderId="0" xfId="184" applyFont="1"/>
    <xf numFmtId="0" fontId="71" fillId="0" borderId="0" xfId="184" applyFont="1" applyAlignment="1">
      <alignment horizontal="center"/>
    </xf>
    <xf numFmtId="0" fontId="73" fillId="0" borderId="0" xfId="184" applyFont="1" applyAlignment="1">
      <alignment horizontal="center"/>
    </xf>
    <xf numFmtId="0" fontId="107" fillId="0" borderId="0" xfId="184" applyFont="1" applyAlignment="1">
      <alignment horizontal="center"/>
    </xf>
    <xf numFmtId="176" fontId="71" fillId="0" borderId="0" xfId="184" applyNumberFormat="1" applyFont="1" applyAlignment="1">
      <alignment horizontal="center"/>
    </xf>
    <xf numFmtId="8" fontId="71" fillId="0" borderId="0" xfId="184" applyNumberFormat="1" applyFont="1" applyAlignment="1">
      <alignment shrinkToFit="1"/>
    </xf>
    <xf numFmtId="176" fontId="71" fillId="0" borderId="0" xfId="184" applyNumberFormat="1" applyFont="1" applyAlignment="1">
      <alignment shrinkToFit="1"/>
    </xf>
    <xf numFmtId="0" fontId="74" fillId="0" borderId="0" xfId="184" applyFont="1" applyAlignment="1">
      <alignment horizontal="center"/>
    </xf>
    <xf numFmtId="176" fontId="71" fillId="0" borderId="0" xfId="184" applyNumberFormat="1" applyFont="1"/>
    <xf numFmtId="8" fontId="71" fillId="0" borderId="0" xfId="0" applyNumberFormat="1" applyFont="1" applyAlignment="1">
      <alignment shrinkToFit="1"/>
    </xf>
    <xf numFmtId="1" fontId="62" fillId="0" borderId="0" xfId="184" applyNumberFormat="1" applyFont="1"/>
    <xf numFmtId="0" fontId="74" fillId="0" borderId="16" xfId="184" applyFont="1" applyBorder="1"/>
    <xf numFmtId="0" fontId="71" fillId="0" borderId="16" xfId="184" applyFont="1" applyBorder="1" applyAlignment="1">
      <alignment horizontal="center"/>
    </xf>
    <xf numFmtId="0" fontId="73" fillId="0" borderId="16" xfId="184" applyFont="1" applyBorder="1"/>
    <xf numFmtId="8" fontId="74" fillId="0" borderId="0" xfId="184" applyNumberFormat="1" applyFont="1"/>
    <xf numFmtId="0" fontId="73" fillId="0" borderId="0" xfId="184" applyFont="1"/>
    <xf numFmtId="1" fontId="74" fillId="0" borderId="0" xfId="184" applyNumberFormat="1" applyFont="1"/>
    <xf numFmtId="0" fontId="62" fillId="0" borderId="0" xfId="184" applyFont="1" applyAlignment="1">
      <alignment horizontal="left"/>
    </xf>
    <xf numFmtId="166" fontId="73" fillId="0" borderId="0" xfId="0" applyNumberFormat="1" applyFont="1" applyAlignment="1">
      <alignment horizontal="left" vertical="center" shrinkToFit="1"/>
    </xf>
    <xf numFmtId="8" fontId="73" fillId="0" borderId="0" xfId="0" applyNumberFormat="1" applyFont="1" applyAlignment="1">
      <alignment horizontal="left" vertical="center" shrinkToFit="1"/>
    </xf>
    <xf numFmtId="0" fontId="73" fillId="0" borderId="0" xfId="0" applyFont="1" applyAlignment="1">
      <alignment vertical="center" shrinkToFit="1"/>
    </xf>
    <xf numFmtId="0" fontId="99" fillId="0" borderId="0" xfId="0" applyFont="1" applyAlignment="1">
      <alignment horizontal="left" vertical="center" shrinkToFit="1"/>
    </xf>
    <xf numFmtId="1" fontId="73" fillId="0" borderId="0" xfId="184" applyNumberFormat="1" applyFont="1"/>
    <xf numFmtId="0" fontId="62" fillId="0" borderId="16" xfId="184" applyFont="1" applyBorder="1" applyAlignment="1">
      <alignment horizontal="right"/>
    </xf>
    <xf numFmtId="0" fontId="62" fillId="0" borderId="16" xfId="184" applyFont="1" applyBorder="1"/>
    <xf numFmtId="0" fontId="71" fillId="0" borderId="47" xfId="0" applyFont="1" applyBorder="1"/>
    <xf numFmtId="0" fontId="74" fillId="0" borderId="0" xfId="0" applyFont="1" applyAlignment="1">
      <alignment horizontal="left"/>
    </xf>
    <xf numFmtId="0" fontId="73" fillId="0" borderId="0" xfId="218" applyNumberFormat="1" applyFont="1" applyAlignment="1">
      <alignment horizontal="left" vertical="center"/>
    </xf>
    <xf numFmtId="0" fontId="71" fillId="70" borderId="0" xfId="0" applyFont="1" applyFill="1"/>
    <xf numFmtId="187" fontId="71" fillId="0" borderId="19" xfId="185" applyNumberFormat="1" applyFont="1" applyBorder="1" applyAlignment="1">
      <alignment horizontal="center" vertical="center" shrinkToFit="1"/>
    </xf>
    <xf numFmtId="187" fontId="73" fillId="0" borderId="48" xfId="185" applyNumberFormat="1" applyFont="1" applyBorder="1" applyAlignment="1">
      <alignment horizontal="center" vertical="center" shrinkToFit="1"/>
    </xf>
    <xf numFmtId="190" fontId="71" fillId="0" borderId="0" xfId="185" applyNumberFormat="1" applyFont="1" applyAlignment="1">
      <alignment horizontal="center"/>
    </xf>
    <xf numFmtId="174" fontId="71" fillId="0" borderId="0" xfId="185" applyNumberFormat="1" applyFont="1" applyAlignment="1">
      <alignment horizontal="center"/>
    </xf>
    <xf numFmtId="241" fontId="71" fillId="0" borderId="0" xfId="185" applyNumberFormat="1" applyFont="1" applyAlignment="1">
      <alignment horizontal="center" vertical="center"/>
    </xf>
    <xf numFmtId="1" fontId="71" fillId="0" borderId="19" xfId="0" applyNumberFormat="1" applyFont="1" applyBorder="1" applyAlignment="1">
      <alignment horizontal="center" vertical="center" shrinkToFit="1"/>
    </xf>
    <xf numFmtId="239" fontId="71" fillId="0" borderId="0" xfId="0" applyNumberFormat="1" applyFont="1" applyAlignment="1">
      <alignment horizontal="center" vertical="center"/>
    </xf>
    <xf numFmtId="0" fontId="74" fillId="71" borderId="59" xfId="0" applyFont="1" applyFill="1" applyBorder="1" applyAlignment="1">
      <alignment horizontal="left"/>
    </xf>
    <xf numFmtId="245" fontId="71" fillId="0" borderId="0" xfId="0" applyNumberFormat="1" applyFont="1" applyAlignment="1">
      <alignment horizontal="center" vertical="center"/>
    </xf>
    <xf numFmtId="246" fontId="71" fillId="0" borderId="0" xfId="0" applyNumberFormat="1" applyFont="1" applyAlignment="1">
      <alignment horizontal="center" vertical="center"/>
    </xf>
    <xf numFmtId="246" fontId="71" fillId="0" borderId="57" xfId="0" applyNumberFormat="1" applyFont="1" applyBorder="1" applyAlignment="1">
      <alignment horizontal="center" vertical="center"/>
    </xf>
    <xf numFmtId="0" fontId="74" fillId="0" borderId="16" xfId="185" applyFont="1" applyBorder="1" applyAlignment="1">
      <alignment horizontal="left" vertical="center"/>
    </xf>
    <xf numFmtId="1" fontId="71" fillId="0" borderId="48" xfId="185" applyNumberFormat="1" applyFont="1" applyBorder="1" applyAlignment="1">
      <alignment horizontal="center" vertical="center" shrinkToFit="1"/>
    </xf>
    <xf numFmtId="1" fontId="62" fillId="0" borderId="0" xfId="185" applyNumberFormat="1" applyFont="1"/>
    <xf numFmtId="0" fontId="74" fillId="58" borderId="0" xfId="0" applyFont="1" applyFill="1"/>
    <xf numFmtId="0" fontId="74" fillId="58" borderId="0" xfId="0" applyFont="1" applyFill="1" applyAlignment="1">
      <alignment horizontal="center"/>
    </xf>
    <xf numFmtId="0" fontId="74" fillId="58" borderId="59" xfId="0" applyFont="1" applyFill="1" applyBorder="1" applyAlignment="1">
      <alignment horizontal="left"/>
    </xf>
    <xf numFmtId="0" fontId="74" fillId="70" borderId="0" xfId="0" applyFont="1" applyFill="1" applyAlignment="1">
      <alignment horizontal="center"/>
    </xf>
    <xf numFmtId="0" fontId="74" fillId="70" borderId="0" xfId="0" applyFont="1" applyFill="1"/>
    <xf numFmtId="0" fontId="74" fillId="70" borderId="59" xfId="0" applyFont="1" applyFill="1" applyBorder="1" applyAlignment="1">
      <alignment horizontal="left"/>
    </xf>
    <xf numFmtId="0" fontId="74" fillId="0" borderId="12" xfId="0" applyFont="1" applyBorder="1" applyAlignment="1">
      <alignment horizontal="center"/>
    </xf>
    <xf numFmtId="227" fontId="71" fillId="0" borderId="0" xfId="0" applyNumberFormat="1" applyFont="1" applyAlignment="1">
      <alignment horizontal="left" vertical="center" shrinkToFit="1"/>
    </xf>
    <xf numFmtId="1" fontId="71" fillId="0" borderId="0" xfId="0" applyNumberFormat="1" applyFont="1" applyAlignment="1">
      <alignment horizontal="left" vertical="center" shrinkToFit="1"/>
    </xf>
    <xf numFmtId="170" fontId="77" fillId="0" borderId="0" xfId="0" applyNumberFormat="1" applyFont="1" applyAlignment="1">
      <alignment horizontal="right" vertical="center" shrinkToFit="1"/>
    </xf>
    <xf numFmtId="171" fontId="77" fillId="0" borderId="0" xfId="0" applyNumberFormat="1" applyFont="1" applyAlignment="1">
      <alignment horizontal="center" vertical="center" shrinkToFit="1"/>
    </xf>
    <xf numFmtId="0" fontId="102" fillId="0" borderId="0" xfId="0" quotePrefix="1" applyFont="1" applyAlignment="1">
      <alignment horizontal="center" vertical="center" shrinkToFit="1"/>
    </xf>
    <xf numFmtId="165" fontId="88" fillId="0" borderId="0" xfId="0" applyNumberFormat="1" applyFont="1" applyAlignment="1">
      <alignment horizontal="center"/>
    </xf>
    <xf numFmtId="0" fontId="77" fillId="0" borderId="0" xfId="0" applyFont="1" applyAlignment="1">
      <alignment vertical="center" wrapText="1" shrinkToFit="1"/>
    </xf>
    <xf numFmtId="0" fontId="71" fillId="0" borderId="0" xfId="0" applyFont="1" applyAlignment="1">
      <alignment horizontal="left" vertical="center" wrapText="1" shrinkToFit="1"/>
    </xf>
    <xf numFmtId="0" fontId="71" fillId="0" borderId="0" xfId="176" applyNumberFormat="1" applyFont="1" applyBorder="1" applyAlignment="1">
      <alignment horizontal="center" vertical="center" wrapText="1" shrinkToFit="1"/>
    </xf>
    <xf numFmtId="3" fontId="71" fillId="0" borderId="0" xfId="176" applyNumberFormat="1" applyFont="1" applyBorder="1" applyAlignment="1">
      <alignment horizontal="center" vertical="center" wrapText="1" shrinkToFit="1"/>
    </xf>
    <xf numFmtId="165" fontId="73" fillId="0" borderId="0" xfId="74" applyNumberFormat="1" applyFont="1" applyBorder="1" applyAlignment="1">
      <alignment horizontal="right" vertical="center" wrapText="1" shrinkToFit="1"/>
    </xf>
    <xf numFmtId="165" fontId="88" fillId="0" borderId="0" xfId="74" applyNumberFormat="1" applyFont="1" applyBorder="1" applyAlignment="1">
      <alignment horizontal="center" vertical="center" wrapText="1" shrinkToFit="1"/>
    </xf>
    <xf numFmtId="0" fontId="71" fillId="0" borderId="0" xfId="0" applyFont="1" applyAlignment="1">
      <alignment horizontal="right" vertical="center" shrinkToFit="1"/>
    </xf>
    <xf numFmtId="170" fontId="77" fillId="0" borderId="0" xfId="0" applyNumberFormat="1" applyFont="1" applyAlignment="1">
      <alignment horizontal="center" vertical="center" shrinkToFit="1"/>
    </xf>
    <xf numFmtId="166" fontId="73" fillId="0" borderId="0" xfId="176" applyNumberFormat="1" applyFont="1" applyBorder="1" applyAlignment="1">
      <alignment horizontal="right" vertical="center" wrapText="1" shrinkToFit="1"/>
    </xf>
    <xf numFmtId="166" fontId="71" fillId="0" borderId="0" xfId="0" applyNumberFormat="1" applyFont="1" applyAlignment="1">
      <alignment horizontal="center"/>
    </xf>
    <xf numFmtId="5" fontId="62" fillId="0" borderId="0" xfId="185" applyNumberFormat="1" applyFont="1" applyAlignment="1">
      <alignment horizontal="center"/>
    </xf>
    <xf numFmtId="190" fontId="77" fillId="0" borderId="0" xfId="185" applyNumberFormat="1" applyFont="1" applyAlignment="1">
      <alignment horizontal="center" vertical="center"/>
    </xf>
    <xf numFmtId="248" fontId="77" fillId="0" borderId="0" xfId="185" applyNumberFormat="1" applyFont="1" applyAlignment="1">
      <alignment horizontal="center" vertical="center"/>
    </xf>
    <xf numFmtId="0" fontId="71" fillId="0" borderId="19" xfId="0" applyFont="1" applyBorder="1" applyAlignment="1">
      <alignment horizontal="center" vertical="center" shrinkToFit="1"/>
    </xf>
    <xf numFmtId="0" fontId="83" fillId="0" borderId="19" xfId="0" applyFont="1" applyBorder="1" applyAlignment="1">
      <alignment horizontal="center" vertical="center" wrapText="1" shrinkToFit="1"/>
    </xf>
    <xf numFmtId="0" fontId="0" fillId="70" borderId="0" xfId="0" applyFill="1"/>
    <xf numFmtId="0" fontId="65" fillId="0" borderId="0" xfId="0" applyFont="1"/>
    <xf numFmtId="0" fontId="74" fillId="64" borderId="19" xfId="0" applyFont="1" applyFill="1" applyBorder="1" applyAlignment="1">
      <alignment horizontal="center" vertical="center"/>
    </xf>
    <xf numFmtId="0" fontId="74" fillId="64" borderId="19" xfId="0" applyFont="1" applyFill="1" applyBorder="1" applyAlignment="1">
      <alignment horizontal="center" vertical="center" wrapText="1"/>
    </xf>
    <xf numFmtId="0" fontId="67" fillId="0" borderId="0" xfId="220"/>
    <xf numFmtId="211" fontId="71" fillId="0" borderId="0" xfId="185" applyNumberFormat="1" applyFont="1" applyAlignment="1">
      <alignment horizontal="center" vertical="center" shrinkToFit="1"/>
    </xf>
    <xf numFmtId="165" fontId="74" fillId="0" borderId="0" xfId="185" applyNumberFormat="1" applyFont="1"/>
    <xf numFmtId="0" fontId="63" fillId="70" borderId="0" xfId="217" applyFont="1" applyFill="1" applyAlignment="1">
      <alignment wrapText="1"/>
    </xf>
    <xf numFmtId="0" fontId="0" fillId="70" borderId="0" xfId="0" applyFill="1" applyAlignment="1">
      <alignment wrapText="1"/>
    </xf>
    <xf numFmtId="0" fontId="0" fillId="70" borderId="0" xfId="0" applyFill="1" applyAlignment="1">
      <alignment horizontal="right" wrapText="1"/>
    </xf>
    <xf numFmtId="8" fontId="0" fillId="70" borderId="0" xfId="0" applyNumberFormat="1" applyFill="1" applyAlignment="1">
      <alignment horizontal="right" wrapText="1"/>
    </xf>
    <xf numFmtId="231" fontId="97" fillId="0" borderId="0" xfId="0" applyNumberFormat="1" applyFont="1" applyAlignment="1">
      <alignment horizontal="center" vertical="center" shrinkToFit="1"/>
    </xf>
    <xf numFmtId="191" fontId="71" fillId="0" borderId="48" xfId="185" applyNumberFormat="1" applyFont="1" applyBorder="1" applyAlignment="1">
      <alignment horizontal="center" vertical="center" shrinkToFit="1"/>
    </xf>
    <xf numFmtId="0" fontId="71" fillId="64" borderId="19" xfId="0" applyFont="1" applyFill="1" applyBorder="1"/>
    <xf numFmtId="212" fontId="71" fillId="0" borderId="0" xfId="218" applyNumberFormat="1" applyFont="1"/>
    <xf numFmtId="212" fontId="71" fillId="0" borderId="0" xfId="218" applyNumberFormat="1" applyFont="1" applyFill="1"/>
    <xf numFmtId="0" fontId="81" fillId="70" borderId="0" xfId="0" applyFont="1" applyFill="1"/>
    <xf numFmtId="0" fontId="83" fillId="0" borderId="0" xfId="184" applyFont="1" applyAlignment="1">
      <alignment horizontal="center"/>
    </xf>
    <xf numFmtId="0" fontId="100" fillId="0" borderId="0" xfId="184" applyFont="1"/>
    <xf numFmtId="0" fontId="100" fillId="0" borderId="0" xfId="184" applyFont="1" applyAlignment="1">
      <alignment horizontal="right"/>
    </xf>
    <xf numFmtId="14" fontId="83" fillId="0" borderId="0" xfId="184" quotePrefix="1" applyNumberFormat="1" applyFont="1" applyAlignment="1">
      <alignment horizontal="left"/>
    </xf>
    <xf numFmtId="0" fontId="83" fillId="0" borderId="0" xfId="184" quotePrefix="1" applyFont="1" applyAlignment="1">
      <alignment horizontal="left"/>
    </xf>
    <xf numFmtId="14" fontId="74" fillId="0" borderId="0" xfId="184" applyNumberFormat="1" applyFont="1"/>
    <xf numFmtId="0" fontId="74" fillId="0" borderId="0" xfId="184" quotePrefix="1" applyFont="1" applyAlignment="1">
      <alignment horizontal="left"/>
    </xf>
    <xf numFmtId="0" fontId="74" fillId="0" borderId="0" xfId="0" applyFont="1" applyAlignment="1">
      <alignment horizontal="centerContinuous"/>
    </xf>
    <xf numFmtId="0" fontId="74" fillId="0" borderId="0" xfId="0" quotePrefix="1" applyFont="1" applyAlignment="1">
      <alignment horizontal="left"/>
    </xf>
    <xf numFmtId="0" fontId="62" fillId="0" borderId="0" xfId="0" applyFont="1" applyAlignment="1">
      <alignment horizontal="right"/>
    </xf>
    <xf numFmtId="3" fontId="73" fillId="0" borderId="0" xfId="0" applyNumberFormat="1" applyFont="1" applyAlignment="1">
      <alignment horizontal="left"/>
    </xf>
    <xf numFmtId="0" fontId="88" fillId="0" borderId="0" xfId="0" quotePrefix="1" applyFont="1" applyAlignment="1">
      <alignment horizontal="center"/>
    </xf>
    <xf numFmtId="165" fontId="88" fillId="0" borderId="0" xfId="74" applyNumberFormat="1" applyFont="1" applyAlignment="1">
      <alignment horizontal="center" vertical="center" wrapText="1" shrinkToFit="1"/>
    </xf>
    <xf numFmtId="0" fontId="74" fillId="0" borderId="0" xfId="0" applyFont="1" applyAlignment="1">
      <alignment horizontal="center" vertical="center"/>
    </xf>
    <xf numFmtId="166" fontId="71" fillId="0" borderId="0" xfId="0" applyNumberFormat="1" applyFont="1" applyAlignment="1">
      <alignment horizontal="center" vertical="center"/>
    </xf>
    <xf numFmtId="2" fontId="71" fillId="0" borderId="48" xfId="0" applyNumberFormat="1" applyFont="1" applyBorder="1" applyAlignment="1">
      <alignment horizontal="center" vertical="center"/>
    </xf>
    <xf numFmtId="187" fontId="71" fillId="0" borderId="0" xfId="185" applyNumberFormat="1" applyFont="1" applyAlignment="1">
      <alignment horizontal="center" vertical="center"/>
    </xf>
    <xf numFmtId="0" fontId="97" fillId="0" borderId="0" xfId="185" applyFont="1" applyAlignment="1">
      <alignment horizontal="center" vertical="center"/>
    </xf>
    <xf numFmtId="249" fontId="71" fillId="0" borderId="0" xfId="185" applyNumberFormat="1" applyFont="1" applyAlignment="1">
      <alignment horizontal="center" vertical="center"/>
    </xf>
    <xf numFmtId="1" fontId="71" fillId="0" borderId="18" xfId="0" applyNumberFormat="1" applyFont="1" applyBorder="1" applyAlignment="1">
      <alignment horizontal="center" vertical="center"/>
    </xf>
    <xf numFmtId="165" fontId="97" fillId="0" borderId="0" xfId="0" applyNumberFormat="1" applyFont="1" applyAlignment="1">
      <alignment horizontal="center" vertical="center" shrinkToFit="1"/>
    </xf>
    <xf numFmtId="0" fontId="77" fillId="0" borderId="0" xfId="185" applyFont="1" applyAlignment="1">
      <alignment horizontal="right" vertical="center"/>
    </xf>
    <xf numFmtId="165" fontId="71" fillId="0" borderId="0" xfId="0" applyNumberFormat="1" applyFont="1" applyAlignment="1">
      <alignment horizontal="right" vertical="center"/>
    </xf>
    <xf numFmtId="165" fontId="77" fillId="0" borderId="0" xfId="0" applyNumberFormat="1" applyFont="1" applyAlignment="1">
      <alignment horizontal="left" vertical="center"/>
    </xf>
    <xf numFmtId="168" fontId="71" fillId="0" borderId="19" xfId="0" applyNumberFormat="1" applyFont="1" applyBorder="1" applyAlignment="1">
      <alignment horizontal="center" vertical="center"/>
    </xf>
    <xf numFmtId="1" fontId="73" fillId="0" borderId="48" xfId="185" applyNumberFormat="1" applyFont="1" applyBorder="1" applyAlignment="1">
      <alignment horizontal="center" vertical="center"/>
    </xf>
    <xf numFmtId="0" fontId="71" fillId="0" borderId="25" xfId="0" applyFont="1" applyBorder="1" applyAlignment="1">
      <alignment horizontal="left" vertical="center"/>
    </xf>
    <xf numFmtId="0" fontId="71" fillId="0" borderId="49" xfId="0" applyFont="1" applyBorder="1" applyAlignment="1">
      <alignment horizontal="left" vertical="center" shrinkToFit="1"/>
    </xf>
    <xf numFmtId="0" fontId="71" fillId="0" borderId="49" xfId="0" applyFont="1" applyBorder="1" applyAlignment="1">
      <alignment horizontal="center" vertical="center" shrinkToFit="1"/>
    </xf>
    <xf numFmtId="1" fontId="71" fillId="0" borderId="49" xfId="0" applyNumberFormat="1" applyFont="1" applyBorder="1" applyAlignment="1">
      <alignment horizontal="center" vertical="center" shrinkToFit="1"/>
    </xf>
    <xf numFmtId="165" fontId="71" fillId="0" borderId="49" xfId="0" applyNumberFormat="1" applyFont="1" applyBorder="1" applyAlignment="1">
      <alignment horizontal="right" vertical="center" shrinkToFit="1"/>
    </xf>
    <xf numFmtId="165" fontId="71" fillId="0" borderId="20" xfId="176" applyNumberFormat="1" applyFont="1" applyBorder="1" applyAlignment="1">
      <alignment horizontal="right" vertical="center" shrinkToFit="1"/>
    </xf>
    <xf numFmtId="1" fontId="71" fillId="0" borderId="44" xfId="0" applyNumberFormat="1" applyFont="1" applyBorder="1" applyAlignment="1">
      <alignment horizontal="center" vertical="center" shrinkToFit="1"/>
    </xf>
    <xf numFmtId="0" fontId="62" fillId="0" borderId="12" xfId="0" applyFont="1" applyBorder="1" applyAlignment="1">
      <alignment horizontal="right"/>
    </xf>
    <xf numFmtId="0" fontId="74" fillId="0" borderId="12" xfId="0" quotePrefix="1" applyFont="1" applyBorder="1" applyAlignment="1">
      <alignment horizontal="left"/>
    </xf>
    <xf numFmtId="0" fontId="74" fillId="0" borderId="12" xfId="101" applyFont="1" applyBorder="1"/>
    <xf numFmtId="0" fontId="74" fillId="0" borderId="12" xfId="0" applyFont="1" applyBorder="1" applyAlignment="1">
      <alignment horizontal="centerContinuous"/>
    </xf>
    <xf numFmtId="0" fontId="71" fillId="0" borderId="0" xfId="0" applyFont="1" applyAlignment="1">
      <alignment vertical="center" wrapText="1" shrinkToFit="1"/>
    </xf>
    <xf numFmtId="0" fontId="54" fillId="0" borderId="50" xfId="0" applyFont="1" applyBorder="1" applyAlignment="1">
      <alignment horizontal="center" vertical="center" wrapText="1"/>
    </xf>
    <xf numFmtId="0" fontId="54" fillId="0" borderId="50" xfId="0" applyFont="1" applyBorder="1" applyAlignment="1">
      <alignment vertical="center" wrapText="1"/>
    </xf>
    <xf numFmtId="0" fontId="65" fillId="0" borderId="50" xfId="0" applyFont="1" applyBorder="1" applyAlignment="1">
      <alignment horizontal="center" vertical="center" wrapText="1"/>
    </xf>
    <xf numFmtId="0" fontId="63" fillId="0" borderId="27" xfId="217" applyFont="1" applyBorder="1" applyAlignment="1">
      <alignment wrapText="1"/>
    </xf>
    <xf numFmtId="0" fontId="0" fillId="0" borderId="27" xfId="0" applyBorder="1" applyAlignment="1">
      <alignment wrapText="1"/>
    </xf>
    <xf numFmtId="0" fontId="0" fillId="0" borderId="27" xfId="0" applyBorder="1" applyAlignment="1">
      <alignment horizontal="right" wrapText="1"/>
    </xf>
    <xf numFmtId="8" fontId="0" fillId="0" borderId="27" xfId="0" applyNumberFormat="1" applyBorder="1" applyAlignment="1">
      <alignment horizontal="right" wrapText="1"/>
    </xf>
    <xf numFmtId="0" fontId="67" fillId="0" borderId="19" xfId="220" applyBorder="1"/>
    <xf numFmtId="8" fontId="71" fillId="0" borderId="21" xfId="0" applyNumberFormat="1" applyFont="1" applyBorder="1" applyAlignment="1">
      <alignment horizontal="right" wrapText="1"/>
    </xf>
    <xf numFmtId="8" fontId="71" fillId="0" borderId="25" xfId="0" applyNumberFormat="1" applyFont="1" applyBorder="1" applyAlignment="1">
      <alignment horizontal="right" wrapText="1"/>
    </xf>
    <xf numFmtId="0" fontId="0" fillId="0" borderId="19" xfId="0" applyBorder="1"/>
    <xf numFmtId="0" fontId="83" fillId="0" borderId="0" xfId="184" applyFont="1" applyAlignment="1">
      <alignment horizontal="left"/>
    </xf>
    <xf numFmtId="0" fontId="97" fillId="0" borderId="0" xfId="0" applyFont="1"/>
    <xf numFmtId="0" fontId="54" fillId="0" borderId="65" xfId="0" applyFont="1" applyBorder="1" applyAlignment="1">
      <alignment horizontal="center" vertical="center" wrapText="1"/>
    </xf>
    <xf numFmtId="0" fontId="75" fillId="0" borderId="0" xfId="0" applyFont="1" applyAlignment="1">
      <alignment horizontal="center" vertical="center" shrinkToFit="1"/>
    </xf>
    <xf numFmtId="2" fontId="69" fillId="0" borderId="19" xfId="217" applyNumberFormat="1" applyFont="1" applyBorder="1" applyAlignment="1">
      <alignment horizontal="left" wrapText="1"/>
    </xf>
    <xf numFmtId="176" fontId="71" fillId="0" borderId="0" xfId="184" applyNumberFormat="1" applyFont="1" applyAlignment="1">
      <alignment horizontal="left"/>
    </xf>
    <xf numFmtId="0" fontId="71" fillId="0" borderId="0" xfId="184" applyFont="1" applyAlignment="1">
      <alignment horizontal="left" vertical="center"/>
    </xf>
    <xf numFmtId="0" fontId="71" fillId="0" borderId="0" xfId="184" applyFont="1" applyProtection="1">
      <protection locked="0"/>
    </xf>
    <xf numFmtId="8" fontId="62" fillId="0" borderId="0" xfId="184" applyNumberFormat="1" applyFont="1"/>
    <xf numFmtId="8" fontId="62" fillId="0" borderId="16" xfId="184" applyNumberFormat="1" applyFont="1" applyBorder="1"/>
    <xf numFmtId="1" fontId="62" fillId="0" borderId="16" xfId="184" applyNumberFormat="1" applyFont="1" applyBorder="1"/>
    <xf numFmtId="166" fontId="73" fillId="0" borderId="16" xfId="184" applyNumberFormat="1" applyFont="1" applyBorder="1" applyAlignment="1">
      <alignment shrinkToFit="1"/>
    </xf>
    <xf numFmtId="166" fontId="71" fillId="0" borderId="0" xfId="176" applyNumberFormat="1" applyFont="1" applyBorder="1" applyAlignment="1">
      <alignment horizontal="center" vertical="center" shrinkToFit="1"/>
    </xf>
    <xf numFmtId="0" fontId="62" fillId="0" borderId="0" xfId="184" applyFont="1" applyAlignment="1">
      <alignment horizontal="center"/>
    </xf>
    <xf numFmtId="166" fontId="73" fillId="0" borderId="0" xfId="184" applyNumberFormat="1" applyFont="1" applyAlignment="1">
      <alignment horizontal="center" shrinkToFit="1"/>
    </xf>
    <xf numFmtId="0" fontId="62" fillId="0" borderId="0" xfId="184" applyFont="1" applyAlignment="1">
      <alignment horizontal="center" wrapText="1"/>
    </xf>
    <xf numFmtId="0" fontId="62" fillId="0" borderId="16" xfId="184" applyFont="1" applyBorder="1" applyAlignment="1">
      <alignment horizontal="center" wrapText="1"/>
    </xf>
    <xf numFmtId="0" fontId="75" fillId="0" borderId="16" xfId="0" applyFont="1" applyBorder="1" applyAlignment="1">
      <alignment horizontal="center" vertical="center" shrinkToFit="1"/>
    </xf>
    <xf numFmtId="0" fontId="71" fillId="0" borderId="16" xfId="184" applyFont="1" applyBorder="1"/>
    <xf numFmtId="166" fontId="73" fillId="0" borderId="19" xfId="184" applyNumberFormat="1" applyFont="1" applyBorder="1" applyAlignment="1">
      <alignment horizontal="center" shrinkToFit="1"/>
    </xf>
    <xf numFmtId="166" fontId="73" fillId="0" borderId="19" xfId="0" applyNumberFormat="1" applyFont="1" applyBorder="1" applyAlignment="1">
      <alignment horizontal="center" vertical="center" shrinkToFit="1"/>
    </xf>
    <xf numFmtId="0" fontId="54" fillId="69" borderId="0" xfId="0" applyFont="1" applyFill="1" applyAlignment="1">
      <alignment wrapText="1"/>
    </xf>
    <xf numFmtId="0" fontId="54" fillId="69" borderId="0" xfId="0" applyFont="1" applyFill="1"/>
    <xf numFmtId="0" fontId="54" fillId="0" borderId="24" xfId="0" applyFont="1" applyBorder="1" applyAlignment="1">
      <alignment horizontal="center" vertical="center" wrapText="1"/>
    </xf>
    <xf numFmtId="0" fontId="71" fillId="0" borderId="27" xfId="0" applyFont="1" applyBorder="1" applyAlignment="1">
      <alignment horizontal="left" vertical="center" shrinkToFit="1"/>
    </xf>
    <xf numFmtId="0" fontId="67" fillId="0" borderId="27" xfId="220" applyBorder="1"/>
    <xf numFmtId="0" fontId="71" fillId="0" borderId="25" xfId="0" applyFont="1" applyBorder="1"/>
    <xf numFmtId="0" fontId="71" fillId="0" borderId="19" xfId="0" applyFont="1" applyBorder="1" applyAlignment="1">
      <alignment horizontal="center" wrapText="1"/>
    </xf>
    <xf numFmtId="166" fontId="73" fillId="0" borderId="0" xfId="176" applyNumberFormat="1" applyFont="1" applyFill="1" applyBorder="1" applyAlignment="1">
      <alignment horizontal="right" vertical="center" shrinkToFit="1"/>
    </xf>
    <xf numFmtId="0" fontId="62" fillId="0" borderId="0" xfId="0" applyFont="1" applyAlignment="1" applyProtection="1">
      <alignment vertical="center"/>
      <protection hidden="1"/>
    </xf>
    <xf numFmtId="0" fontId="35" fillId="0" borderId="11" xfId="0" applyFont="1" applyBorder="1" applyAlignment="1">
      <alignment horizontal="left"/>
    </xf>
    <xf numFmtId="0" fontId="54" fillId="69" borderId="25" xfId="0" applyFont="1" applyFill="1" applyBorder="1" applyAlignment="1">
      <alignment wrapText="1"/>
    </xf>
    <xf numFmtId="0" fontId="54" fillId="69" borderId="49" xfId="0" applyFont="1" applyFill="1" applyBorder="1" applyAlignment="1">
      <alignment wrapText="1"/>
    </xf>
    <xf numFmtId="0" fontId="54" fillId="69" borderId="49" xfId="0" applyFont="1" applyFill="1" applyBorder="1"/>
    <xf numFmtId="0" fontId="73" fillId="0" borderId="0" xfId="0" quotePrefix="1" applyFont="1" applyAlignment="1">
      <alignment horizontal="center" vertical="center" shrinkToFit="1"/>
    </xf>
    <xf numFmtId="193" fontId="71" fillId="0" borderId="0" xfId="0" applyNumberFormat="1" applyFont="1" applyAlignment="1">
      <alignment horizontal="center" vertical="center" shrinkToFit="1"/>
    </xf>
    <xf numFmtId="250" fontId="71" fillId="0" borderId="0" xfId="0" applyNumberFormat="1" applyFont="1" applyAlignment="1">
      <alignment horizontal="center" vertical="center"/>
    </xf>
    <xf numFmtId="250" fontId="71" fillId="0" borderId="18" xfId="0" applyNumberFormat="1" applyFont="1" applyBorder="1" applyAlignment="1">
      <alignment horizontal="center" vertical="center"/>
    </xf>
    <xf numFmtId="0" fontId="111" fillId="0" borderId="0" xfId="185" applyFont="1"/>
    <xf numFmtId="9" fontId="71" fillId="0" borderId="0" xfId="219" applyFont="1" applyFill="1" applyBorder="1"/>
    <xf numFmtId="44" fontId="71" fillId="0" borderId="0" xfId="218" applyFont="1" applyFill="1" applyBorder="1"/>
    <xf numFmtId="0" fontId="67" fillId="0" borderId="24" xfId="220" applyBorder="1"/>
    <xf numFmtId="0" fontId="99" fillId="0" borderId="0" xfId="0" applyFont="1" applyAlignment="1">
      <alignment wrapText="1"/>
    </xf>
    <xf numFmtId="0" fontId="81" fillId="0" borderId="0" xfId="0" applyFont="1" applyAlignment="1">
      <alignment wrapText="1"/>
    </xf>
    <xf numFmtId="0" fontId="73" fillId="0" borderId="19" xfId="0" applyFont="1" applyBorder="1" applyAlignment="1">
      <alignment horizontal="center"/>
    </xf>
    <xf numFmtId="0" fontId="73" fillId="0" borderId="19" xfId="0" applyFont="1" applyBorder="1" applyAlignment="1">
      <alignment wrapText="1"/>
    </xf>
    <xf numFmtId="0" fontId="73" fillId="0" borderId="19" xfId="0" applyFont="1" applyBorder="1"/>
    <xf numFmtId="44" fontId="73" fillId="0" borderId="19" xfId="218" applyFont="1" applyFill="1" applyBorder="1" applyAlignment="1">
      <alignment horizontal="center" vertical="center"/>
    </xf>
    <xf numFmtId="2" fontId="71" fillId="0" borderId="19" xfId="0" applyNumberFormat="1" applyFont="1" applyBorder="1" applyAlignment="1">
      <alignment horizontal="center"/>
    </xf>
    <xf numFmtId="44" fontId="71" fillId="0" borderId="19" xfId="218" applyFont="1" applyFill="1" applyBorder="1" applyAlignment="1">
      <alignment horizontal="center" vertical="center"/>
    </xf>
    <xf numFmtId="230" fontId="71" fillId="0" borderId="19" xfId="0" applyNumberFormat="1" applyFont="1" applyBorder="1" applyAlignment="1">
      <alignment horizontal="center"/>
    </xf>
    <xf numFmtId="164" fontId="71" fillId="0" borderId="19" xfId="0" applyNumberFormat="1" applyFont="1" applyBorder="1" applyAlignment="1">
      <alignment horizontal="center"/>
    </xf>
    <xf numFmtId="0" fontId="71" fillId="0" borderId="19" xfId="0" applyFont="1" applyBorder="1" applyAlignment="1">
      <alignment horizontal="center" vertical="center"/>
    </xf>
    <xf numFmtId="168" fontId="71" fillId="0" borderId="19" xfId="0" applyNumberFormat="1" applyFont="1" applyBorder="1" applyAlignment="1">
      <alignment horizontal="center"/>
    </xf>
    <xf numFmtId="205" fontId="71" fillId="0" borderId="19" xfId="0" applyNumberFormat="1" applyFont="1" applyBorder="1" applyAlignment="1">
      <alignment horizontal="center" vertical="center"/>
    </xf>
    <xf numFmtId="43" fontId="71" fillId="0" borderId="19" xfId="0" applyNumberFormat="1" applyFont="1" applyBorder="1" applyAlignment="1">
      <alignment horizontal="center" vertical="center"/>
    </xf>
    <xf numFmtId="44" fontId="71" fillId="0" borderId="19" xfId="0" applyNumberFormat="1" applyFont="1" applyBorder="1"/>
    <xf numFmtId="0" fontId="73" fillId="0" borderId="19" xfId="0" applyFont="1" applyBorder="1" applyAlignment="1">
      <alignment vertical="center" wrapText="1"/>
    </xf>
    <xf numFmtId="0" fontId="73" fillId="0" borderId="19" xfId="0" applyFont="1" applyBorder="1" applyAlignment="1">
      <alignment horizontal="center" vertical="center" shrinkToFit="1"/>
    </xf>
    <xf numFmtId="0" fontId="73" fillId="0" borderId="19" xfId="0" applyFont="1" applyBorder="1" applyAlignment="1">
      <alignment horizontal="left"/>
    </xf>
    <xf numFmtId="165" fontId="73" fillId="0" borderId="19" xfId="0" applyNumberFormat="1" applyFont="1" applyBorder="1" applyAlignment="1">
      <alignment horizontal="center" vertical="center" shrinkToFit="1"/>
    </xf>
    <xf numFmtId="165" fontId="73" fillId="0" borderId="19" xfId="176" applyNumberFormat="1" applyFont="1" applyBorder="1" applyAlignment="1">
      <alignment horizontal="center" vertical="center" shrinkToFit="1"/>
    </xf>
    <xf numFmtId="0" fontId="102" fillId="0" borderId="19" xfId="0" applyFont="1" applyBorder="1" applyAlignment="1">
      <alignment vertical="center" wrapText="1"/>
    </xf>
    <xf numFmtId="0" fontId="100" fillId="0" borderId="0" xfId="185" applyFont="1" applyAlignment="1">
      <alignment horizontal="right" wrapText="1"/>
    </xf>
    <xf numFmtId="0" fontId="73" fillId="0" borderId="19" xfId="0" applyFont="1" applyBorder="1" applyAlignment="1">
      <alignment horizontal="center" vertical="center" wrapText="1"/>
    </xf>
    <xf numFmtId="0" fontId="74" fillId="0" borderId="18" xfId="0" applyFont="1" applyBorder="1"/>
    <xf numFmtId="0" fontId="74" fillId="0" borderId="57" xfId="0" applyFont="1" applyBorder="1"/>
    <xf numFmtId="0" fontId="71" fillId="0" borderId="57" xfId="0" applyFont="1" applyBorder="1"/>
    <xf numFmtId="0" fontId="73" fillId="0" borderId="57" xfId="0" applyFont="1" applyBorder="1" applyAlignment="1">
      <alignment horizontal="center"/>
    </xf>
    <xf numFmtId="0" fontId="74" fillId="0" borderId="70" xfId="0" applyFont="1" applyBorder="1"/>
    <xf numFmtId="0" fontId="71" fillId="0" borderId="67" xfId="0" applyFont="1" applyBorder="1" applyAlignment="1">
      <alignment horizontal="left" shrinkToFit="1"/>
    </xf>
    <xf numFmtId="0" fontId="75" fillId="0" borderId="18" xfId="0" applyFont="1" applyBorder="1"/>
    <xf numFmtId="0" fontId="75" fillId="0" borderId="18" xfId="0" applyFont="1" applyBorder="1" applyAlignment="1">
      <alignment horizontal="right"/>
    </xf>
    <xf numFmtId="0" fontId="110" fillId="70" borderId="18" xfId="0" applyFont="1" applyFill="1" applyBorder="1" applyAlignment="1">
      <alignment horizontal="center"/>
    </xf>
    <xf numFmtId="0" fontId="79" fillId="0" borderId="18" xfId="0" applyFont="1" applyBorder="1" applyAlignment="1">
      <alignment horizontal="right" indent="1"/>
    </xf>
    <xf numFmtId="0" fontId="74" fillId="0" borderId="68" xfId="0" applyFont="1" applyBorder="1"/>
    <xf numFmtId="243" fontId="71" fillId="0" borderId="0" xfId="0" applyNumberFormat="1" applyFont="1" applyAlignment="1">
      <alignment horizontal="center" vertical="center"/>
    </xf>
    <xf numFmtId="243" fontId="71" fillId="0" borderId="57" xfId="0" applyNumberFormat="1" applyFont="1" applyBorder="1" applyAlignment="1">
      <alignment horizontal="center" vertical="center"/>
    </xf>
    <xf numFmtId="239" fontId="71" fillId="0" borderId="57" xfId="0" applyNumberFormat="1" applyFont="1" applyBorder="1" applyAlignment="1">
      <alignment horizontal="center" vertical="center"/>
    </xf>
    <xf numFmtId="250" fontId="77" fillId="0" borderId="0" xfId="185" applyNumberFormat="1" applyFont="1" applyAlignment="1">
      <alignment horizontal="center" vertical="center"/>
    </xf>
    <xf numFmtId="0" fontId="111" fillId="0" borderId="0" xfId="0" applyFont="1" applyAlignment="1">
      <alignment vertical="top" wrapText="1"/>
    </xf>
    <xf numFmtId="0" fontId="71" fillId="0" borderId="0" xfId="0" applyFont="1" applyAlignment="1">
      <alignment horizontal="center" vertical="center" wrapText="1" shrinkToFit="1"/>
    </xf>
    <xf numFmtId="251" fontId="77" fillId="0" borderId="0" xfId="0" applyNumberFormat="1" applyFont="1" applyAlignment="1">
      <alignment horizontal="center" vertical="center" shrinkToFit="1"/>
    </xf>
    <xf numFmtId="254" fontId="71" fillId="0" borderId="0" xfId="0" applyNumberFormat="1" applyFont="1" applyAlignment="1">
      <alignment horizontal="center" vertical="center"/>
    </xf>
    <xf numFmtId="254" fontId="73" fillId="0" borderId="0" xfId="0" applyNumberFormat="1" applyFont="1" applyAlignment="1">
      <alignment horizontal="center" vertical="center" shrinkToFit="1"/>
    </xf>
    <xf numFmtId="254" fontId="71" fillId="0" borderId="0" xfId="185" applyNumberFormat="1" applyFont="1" applyAlignment="1">
      <alignment vertical="center"/>
    </xf>
    <xf numFmtId="0" fontId="71" fillId="0" borderId="19" xfId="0" applyFont="1" applyBorder="1" applyAlignment="1">
      <alignment vertical="center" wrapText="1" shrinkToFit="1"/>
    </xf>
    <xf numFmtId="0" fontId="74" fillId="0" borderId="19" xfId="101" applyFont="1" applyBorder="1"/>
    <xf numFmtId="0" fontId="71" fillId="0" borderId="19" xfId="0" applyFont="1" applyBorder="1" applyAlignment="1">
      <alignment horizontal="left" vertical="center" wrapText="1" shrinkToFit="1"/>
    </xf>
    <xf numFmtId="166" fontId="71" fillId="0" borderId="19" xfId="0" applyNumberFormat="1" applyFont="1" applyBorder="1" applyAlignment="1">
      <alignment horizontal="center"/>
    </xf>
    <xf numFmtId="0" fontId="74" fillId="0" borderId="19" xfId="0" applyFont="1" applyBorder="1" applyAlignment="1">
      <alignment horizontal="center" vertical="center"/>
    </xf>
    <xf numFmtId="3" fontId="74" fillId="0" borderId="19" xfId="0" applyNumberFormat="1" applyFont="1" applyBorder="1" applyAlignment="1">
      <alignment horizontal="center" vertical="center"/>
    </xf>
    <xf numFmtId="166" fontId="71" fillId="0" borderId="19" xfId="0" applyNumberFormat="1" applyFont="1" applyBorder="1" applyAlignment="1">
      <alignment horizontal="center" vertical="center"/>
    </xf>
    <xf numFmtId="2" fontId="71" fillId="0" borderId="19" xfId="0" applyNumberFormat="1" applyFont="1" applyBorder="1" applyAlignment="1">
      <alignment horizontal="left" vertical="center" shrinkToFit="1"/>
    </xf>
    <xf numFmtId="0" fontId="112" fillId="0" borderId="0" xfId="0" applyFont="1" applyAlignment="1">
      <alignment horizontal="left" vertical="center"/>
    </xf>
    <xf numFmtId="165" fontId="112" fillId="0" borderId="0" xfId="0" applyNumberFormat="1" applyFont="1" applyAlignment="1">
      <alignment horizontal="center"/>
    </xf>
    <xf numFmtId="0" fontId="112" fillId="0" borderId="0" xfId="0" applyFont="1" applyAlignment="1">
      <alignment horizontal="center"/>
    </xf>
    <xf numFmtId="165" fontId="112" fillId="0" borderId="0" xfId="74" applyNumberFormat="1" applyFont="1" applyFill="1" applyBorder="1" applyAlignment="1">
      <alignment horizontal="center" vertical="center" wrapText="1" shrinkToFit="1"/>
    </xf>
    <xf numFmtId="165" fontId="112" fillId="0" borderId="0" xfId="74" applyNumberFormat="1" applyFont="1" applyBorder="1" applyAlignment="1">
      <alignment horizontal="center" vertical="center" wrapText="1" shrinkToFit="1"/>
    </xf>
    <xf numFmtId="0" fontId="97" fillId="0" borderId="0" xfId="0" applyFont="1" applyAlignment="1">
      <alignment horizontal="left"/>
    </xf>
    <xf numFmtId="3" fontId="97" fillId="0" borderId="0" xfId="0" applyNumberFormat="1" applyFont="1" applyAlignment="1">
      <alignment horizontal="left"/>
    </xf>
    <xf numFmtId="3" fontId="86" fillId="0" borderId="0" xfId="0" applyNumberFormat="1" applyFont="1" applyAlignment="1">
      <alignment horizontal="left"/>
    </xf>
    <xf numFmtId="44" fontId="71" fillId="0" borderId="19" xfId="218" applyFont="1" applyFill="1" applyBorder="1" applyAlignment="1">
      <alignment wrapText="1"/>
    </xf>
    <xf numFmtId="0" fontId="73" fillId="0" borderId="57" xfId="0" applyFont="1" applyBorder="1" applyAlignment="1">
      <alignment wrapText="1"/>
    </xf>
    <xf numFmtId="0" fontId="73" fillId="0" borderId="0" xfId="0" applyFont="1" applyAlignment="1">
      <alignment wrapText="1"/>
    </xf>
    <xf numFmtId="0" fontId="74" fillId="0" borderId="59" xfId="185" applyFont="1" applyBorder="1"/>
    <xf numFmtId="0" fontId="53" fillId="0" borderId="59" xfId="185" applyFont="1" applyBorder="1"/>
    <xf numFmtId="0" fontId="74" fillId="0" borderId="27" xfId="185" applyFont="1" applyBorder="1"/>
    <xf numFmtId="0" fontId="54" fillId="0" borderId="19" xfId="0" applyFont="1" applyBorder="1" applyAlignment="1">
      <alignment horizontal="center" vertical="center" wrapText="1"/>
    </xf>
    <xf numFmtId="0" fontId="0" fillId="69" borderId="0" xfId="0" applyFill="1"/>
    <xf numFmtId="0" fontId="62" fillId="0" borderId="59" xfId="185" applyFont="1" applyBorder="1"/>
    <xf numFmtId="0" fontId="73" fillId="0" borderId="59" xfId="185" applyFont="1" applyBorder="1" applyAlignment="1">
      <alignment horizontal="left" vertical="center"/>
    </xf>
    <xf numFmtId="0" fontId="74" fillId="0" borderId="59" xfId="101" applyFont="1" applyBorder="1"/>
    <xf numFmtId="0" fontId="74" fillId="0" borderId="59" xfId="185" applyFont="1" applyBorder="1" applyAlignment="1">
      <alignment vertical="center"/>
    </xf>
    <xf numFmtId="0" fontId="73" fillId="0" borderId="27" xfId="185" applyFont="1" applyBorder="1" applyAlignment="1">
      <alignment horizontal="left" vertical="center"/>
    </xf>
    <xf numFmtId="0" fontId="62" fillId="0" borderId="59" xfId="184" applyFont="1" applyBorder="1" applyAlignment="1">
      <alignment horizontal="right"/>
    </xf>
    <xf numFmtId="0" fontId="74" fillId="0" borderId="59" xfId="184" applyFont="1" applyBorder="1"/>
    <xf numFmtId="0" fontId="107" fillId="0" borderId="59" xfId="184" applyFont="1" applyBorder="1" applyAlignment="1">
      <alignment horizontal="center"/>
    </xf>
    <xf numFmtId="1" fontId="62" fillId="0" borderId="59" xfId="184" applyNumberFormat="1" applyFont="1" applyBorder="1"/>
    <xf numFmtId="165" fontId="71" fillId="0" borderId="19" xfId="0" applyNumberFormat="1" applyFont="1" applyBorder="1" applyAlignment="1">
      <alignment horizontal="right" vertical="center" shrinkToFit="1"/>
    </xf>
    <xf numFmtId="0" fontId="54" fillId="0" borderId="19" xfId="0" applyFont="1" applyBorder="1" applyAlignment="1">
      <alignment vertical="center" wrapText="1"/>
    </xf>
    <xf numFmtId="0" fontId="65" fillId="0" borderId="19" xfId="0" applyFont="1" applyBorder="1" applyAlignment="1">
      <alignment horizontal="center" vertical="center" wrapText="1"/>
    </xf>
    <xf numFmtId="0" fontId="0" fillId="69" borderId="20" xfId="0" applyFill="1" applyBorder="1"/>
    <xf numFmtId="0" fontId="54" fillId="72" borderId="19" xfId="0" applyFont="1" applyFill="1" applyBorder="1" applyAlignment="1">
      <alignment horizontal="center" vertical="center" wrapText="1"/>
    </xf>
    <xf numFmtId="0" fontId="54" fillId="69" borderId="20" xfId="0" applyFont="1" applyFill="1" applyBorder="1" applyAlignment="1">
      <alignment horizontal="center" wrapText="1"/>
    </xf>
    <xf numFmtId="0" fontId="54" fillId="0" borderId="73" xfId="217" applyFont="1" applyBorder="1" applyAlignment="1">
      <alignment wrapText="1"/>
    </xf>
    <xf numFmtId="0" fontId="54" fillId="0" borderId="74" xfId="217" applyFont="1" applyBorder="1" applyAlignment="1">
      <alignment horizontal="center" wrapText="1"/>
    </xf>
    <xf numFmtId="0" fontId="54" fillId="0" borderId="74" xfId="217" applyFont="1" applyBorder="1" applyAlignment="1">
      <alignment wrapText="1"/>
    </xf>
    <xf numFmtId="0" fontId="54" fillId="0" borderId="75" xfId="217" applyFont="1" applyBorder="1" applyAlignment="1">
      <alignment horizontal="center" wrapText="1"/>
    </xf>
    <xf numFmtId="0" fontId="71" fillId="58" borderId="19" xfId="0" applyFont="1" applyFill="1" applyBorder="1" applyAlignment="1">
      <alignment wrapText="1"/>
    </xf>
    <xf numFmtId="180" fontId="71" fillId="0" borderId="0" xfId="185" applyNumberFormat="1" applyFont="1" applyAlignment="1">
      <alignment horizontal="center" vertical="center"/>
    </xf>
    <xf numFmtId="0" fontId="96" fillId="0" borderId="0" xfId="0" applyFont="1" applyAlignment="1">
      <alignment vertical="center"/>
    </xf>
    <xf numFmtId="0" fontId="96" fillId="0" borderId="12" xfId="0" applyFont="1" applyBorder="1" applyAlignment="1">
      <alignment vertical="center"/>
    </xf>
    <xf numFmtId="0" fontId="74" fillId="0" borderId="12" xfId="0" applyFont="1" applyBorder="1" applyAlignment="1">
      <alignment vertical="center"/>
    </xf>
    <xf numFmtId="3" fontId="71" fillId="73" borderId="19" xfId="0" applyNumberFormat="1" applyFont="1" applyFill="1" applyBorder="1" applyAlignment="1" applyProtection="1">
      <alignment horizontal="center"/>
      <protection locked="0"/>
    </xf>
    <xf numFmtId="3" fontId="71" fillId="73" borderId="19" xfId="0" applyNumberFormat="1" applyFont="1" applyFill="1" applyBorder="1" applyAlignment="1" applyProtection="1">
      <alignment horizontal="center" shrinkToFit="1"/>
      <protection locked="0"/>
    </xf>
    <xf numFmtId="0" fontId="71" fillId="73" borderId="19" xfId="0" applyFont="1" applyFill="1" applyBorder="1" applyAlignment="1" applyProtection="1">
      <alignment horizontal="center"/>
      <protection locked="0"/>
    </xf>
    <xf numFmtId="0" fontId="26" fillId="0" borderId="0" xfId="0" applyFont="1" applyAlignment="1">
      <alignment horizontal="center"/>
    </xf>
    <xf numFmtId="0" fontId="68" fillId="0" borderId="0" xfId="0" applyFont="1"/>
    <xf numFmtId="0" fontId="59" fillId="0" borderId="0" xfId="0" applyFont="1"/>
    <xf numFmtId="0" fontId="57" fillId="0" borderId="0" xfId="0" applyFont="1"/>
    <xf numFmtId="0" fontId="60" fillId="0" borderId="0" xfId="0" applyFont="1"/>
    <xf numFmtId="0" fontId="55" fillId="0" borderId="0" xfId="0" applyFont="1" applyAlignment="1">
      <alignment vertical="center" wrapText="1"/>
    </xf>
    <xf numFmtId="0" fontId="71" fillId="0" borderId="0" xfId="0" applyFont="1" applyAlignment="1">
      <alignment vertical="center" wrapText="1"/>
    </xf>
    <xf numFmtId="0" fontId="58" fillId="0" borderId="0" xfId="0" applyFont="1"/>
    <xf numFmtId="0" fontId="26" fillId="0" borderId="0" xfId="0" applyFont="1" applyAlignment="1">
      <alignment vertical="center"/>
    </xf>
    <xf numFmtId="0" fontId="71" fillId="0" borderId="14" xfId="0" applyFont="1" applyBorder="1"/>
    <xf numFmtId="0" fontId="71" fillId="0" borderId="10" xfId="0" applyFont="1" applyBorder="1"/>
    <xf numFmtId="0" fontId="79" fillId="0" borderId="0" xfId="0" applyFont="1"/>
    <xf numFmtId="0" fontId="74" fillId="0" borderId="14" xfId="0" applyFont="1" applyBorder="1"/>
    <xf numFmtId="0" fontId="62" fillId="0" borderId="11" xfId="0" applyFont="1" applyBorder="1"/>
    <xf numFmtId="0" fontId="71" fillId="0" borderId="15" xfId="0" applyFont="1" applyBorder="1"/>
    <xf numFmtId="0" fontId="71" fillId="0" borderId="16" xfId="0" applyFont="1" applyBorder="1"/>
    <xf numFmtId="0" fontId="71" fillId="0" borderId="17" xfId="0" applyFont="1" applyBorder="1"/>
    <xf numFmtId="0" fontId="77" fillId="0" borderId="0" xfId="0" applyFont="1" applyAlignment="1" applyProtection="1">
      <alignment horizontal="center" vertical="center" wrapText="1"/>
      <protection locked="0"/>
    </xf>
    <xf numFmtId="0" fontId="77" fillId="0" borderId="57" xfId="0" applyFont="1" applyBorder="1" applyAlignment="1" applyProtection="1">
      <alignment horizontal="center" vertical="center" wrapText="1"/>
      <protection locked="0"/>
    </xf>
    <xf numFmtId="173" fontId="75" fillId="0" borderId="0" xfId="0" applyNumberFormat="1" applyFont="1" applyAlignment="1">
      <alignment horizontal="center" shrinkToFit="1"/>
    </xf>
    <xf numFmtId="0" fontId="71" fillId="0" borderId="22" xfId="0" applyFont="1" applyBorder="1" applyAlignment="1">
      <alignment horizontal="left"/>
    </xf>
    <xf numFmtId="0" fontId="82" fillId="0" borderId="0" xfId="0" applyFont="1"/>
    <xf numFmtId="0" fontId="83" fillId="0" borderId="10" xfId="0" applyFont="1" applyBorder="1" applyAlignment="1">
      <alignment shrinkToFit="1"/>
    </xf>
    <xf numFmtId="0" fontId="85" fillId="0" borderId="0" xfId="0" applyFont="1"/>
    <xf numFmtId="0" fontId="75" fillId="0" borderId="0" xfId="0" applyFont="1" applyAlignment="1">
      <alignment horizontal="right"/>
    </xf>
    <xf numFmtId="0" fontId="71" fillId="0" borderId="14" xfId="0" applyFont="1" applyBorder="1" applyAlignment="1">
      <alignment horizontal="left"/>
    </xf>
    <xf numFmtId="0" fontId="75" fillId="0" borderId="10" xfId="0" applyFont="1" applyBorder="1" applyAlignment="1">
      <alignment horizontal="right"/>
    </xf>
    <xf numFmtId="3" fontId="71" fillId="0" borderId="0" xfId="0" applyNumberFormat="1" applyFont="1" applyAlignment="1">
      <alignment horizontal="center" shrinkToFit="1"/>
    </xf>
    <xf numFmtId="3" fontId="77" fillId="0" borderId="0" xfId="0" applyNumberFormat="1" applyFont="1" applyAlignment="1">
      <alignment horizontal="center" vertical="center" wrapText="1" shrinkToFit="1"/>
    </xf>
    <xf numFmtId="174" fontId="75" fillId="64" borderId="19" xfId="0" applyNumberFormat="1" applyFont="1" applyFill="1" applyBorder="1" applyAlignment="1">
      <alignment horizontal="center"/>
    </xf>
    <xf numFmtId="0" fontId="74" fillId="0" borderId="28" xfId="0" applyFont="1" applyBorder="1"/>
    <xf numFmtId="0" fontId="79" fillId="0" borderId="29" xfId="0" applyFont="1" applyBorder="1" applyAlignment="1">
      <alignment horizontal="right"/>
    </xf>
    <xf numFmtId="0" fontId="74" fillId="0" borderId="25" xfId="0" applyFont="1" applyBorder="1"/>
    <xf numFmtId="0" fontId="79" fillId="0" borderId="20" xfId="0" applyFont="1" applyBorder="1" applyAlignment="1">
      <alignment horizontal="right"/>
    </xf>
    <xf numFmtId="174" fontId="79" fillId="64" borderId="19" xfId="0" applyNumberFormat="1" applyFont="1" applyFill="1" applyBorder="1" applyAlignment="1">
      <alignment horizontal="center"/>
    </xf>
    <xf numFmtId="0" fontId="75" fillId="0" borderId="0" xfId="0" applyFont="1" applyAlignment="1">
      <alignment horizontal="right" indent="1"/>
    </xf>
    <xf numFmtId="0" fontId="71" fillId="0" borderId="71" xfId="0" applyFont="1" applyBorder="1"/>
    <xf numFmtId="0" fontId="71" fillId="0" borderId="62" xfId="0" applyFont="1" applyBorder="1" applyAlignment="1">
      <alignment horizontal="left" shrinkToFit="1"/>
    </xf>
    <xf numFmtId="0" fontId="71" fillId="0" borderId="72" xfId="0" applyFont="1" applyBorder="1"/>
    <xf numFmtId="0" fontId="74" fillId="0" borderId="0" xfId="0" applyFont="1" applyProtection="1">
      <protection locked="0"/>
    </xf>
    <xf numFmtId="0" fontId="82" fillId="0" borderId="0" xfId="0" applyFont="1" applyProtection="1">
      <protection locked="0"/>
    </xf>
    <xf numFmtId="0" fontId="71" fillId="0" borderId="0" xfId="0" applyFont="1" applyProtection="1">
      <protection locked="0"/>
    </xf>
    <xf numFmtId="0" fontId="75" fillId="0" borderId="0" xfId="0" applyFont="1" applyAlignment="1" applyProtection="1">
      <alignment horizontal="right"/>
      <protection locked="0"/>
    </xf>
    <xf numFmtId="0" fontId="74" fillId="0" borderId="0" xfId="0" applyFont="1" applyAlignment="1" applyProtection="1">
      <alignment horizontal="center"/>
      <protection locked="0"/>
    </xf>
    <xf numFmtId="0" fontId="73" fillId="1" borderId="19" xfId="185" applyFont="1" applyFill="1" applyBorder="1" applyAlignment="1">
      <alignment horizontal="center" vertical="center"/>
    </xf>
    <xf numFmtId="0" fontId="73" fillId="1" borderId="19" xfId="0" applyFont="1" applyFill="1" applyBorder="1" applyAlignment="1">
      <alignment horizontal="center" vertical="center"/>
    </xf>
    <xf numFmtId="1" fontId="77" fillId="0" borderId="0" xfId="0" applyNumberFormat="1" applyFont="1" applyAlignment="1">
      <alignment horizontal="right" vertical="center"/>
    </xf>
    <xf numFmtId="0" fontId="62" fillId="0" borderId="0" xfId="185" applyFont="1" applyAlignment="1">
      <alignment horizontal="right"/>
    </xf>
    <xf numFmtId="0" fontId="74" fillId="0" borderId="11" xfId="0" applyFont="1" applyBorder="1" applyAlignment="1">
      <alignment horizontal="centerContinuous"/>
    </xf>
    <xf numFmtId="0" fontId="74" fillId="0" borderId="13" xfId="0" applyFont="1" applyBorder="1" applyAlignment="1">
      <alignment horizontal="centerContinuous"/>
    </xf>
    <xf numFmtId="0" fontId="88" fillId="0" borderId="0" xfId="0" applyFont="1"/>
    <xf numFmtId="0" fontId="89" fillId="0" borderId="0" xfId="0" applyFont="1"/>
    <xf numFmtId="0" fontId="96" fillId="0" borderId="0" xfId="0" applyFont="1"/>
    <xf numFmtId="0" fontId="74" fillId="0" borderId="0" xfId="0" applyFont="1" applyAlignment="1">
      <alignment horizontal="center" vertical="center" wrapText="1"/>
    </xf>
    <xf numFmtId="0" fontId="74" fillId="0" borderId="19" xfId="0" applyFont="1" applyBorder="1" applyAlignment="1">
      <alignment horizontal="right" vertical="center" wrapText="1"/>
    </xf>
    <xf numFmtId="244" fontId="74" fillId="64" borderId="20" xfId="0" applyNumberFormat="1" applyFont="1" applyFill="1" applyBorder="1" applyAlignment="1">
      <alignment horizontal="center" vertical="center" wrapText="1"/>
    </xf>
    <xf numFmtId="0" fontId="74" fillId="0" borderId="10" xfId="0" applyFont="1" applyBorder="1" applyAlignment="1">
      <alignment vertical="center"/>
    </xf>
    <xf numFmtId="0" fontId="53" fillId="0" borderId="0" xfId="0" applyFont="1" applyAlignment="1">
      <alignment vertical="center"/>
    </xf>
    <xf numFmtId="44" fontId="53" fillId="0" borderId="0" xfId="218" applyFont="1" applyBorder="1" applyAlignment="1" applyProtection="1">
      <alignment vertical="center"/>
    </xf>
    <xf numFmtId="0" fontId="53" fillId="0" borderId="0" xfId="0" applyFont="1" applyAlignment="1">
      <alignment vertical="top"/>
    </xf>
    <xf numFmtId="0" fontId="53" fillId="0" borderId="0" xfId="0" applyFont="1" applyAlignment="1">
      <alignment wrapText="1"/>
    </xf>
    <xf numFmtId="0" fontId="77" fillId="0" borderId="0" xfId="0" applyFont="1" applyAlignment="1">
      <alignment horizontal="center" vertical="center" wrapText="1"/>
    </xf>
    <xf numFmtId="0" fontId="74" fillId="0" borderId="0" xfId="0" applyFont="1" applyAlignment="1">
      <alignment horizontal="right" vertical="center"/>
    </xf>
    <xf numFmtId="0" fontId="95" fillId="0" borderId="14" xfId="0" applyFont="1" applyBorder="1" applyAlignment="1">
      <alignment horizontal="left"/>
    </xf>
    <xf numFmtId="0" fontId="75" fillId="0" borderId="0" xfId="0" applyFont="1" applyAlignment="1">
      <alignment wrapText="1"/>
    </xf>
    <xf numFmtId="0" fontId="94" fillId="0" borderId="0" xfId="220" applyFont="1" applyFill="1" applyBorder="1" applyAlignment="1" applyProtection="1">
      <alignment horizontal="right"/>
    </xf>
    <xf numFmtId="0" fontId="62" fillId="0" borderId="0" xfId="0" applyFont="1" applyAlignment="1">
      <alignment vertical="center"/>
    </xf>
    <xf numFmtId="0" fontId="74" fillId="0" borderId="0" xfId="0" applyFont="1" applyAlignment="1">
      <alignment horizontal="center" wrapText="1"/>
    </xf>
    <xf numFmtId="0" fontId="65" fillId="0" borderId="0" xfId="0" applyFont="1" applyAlignment="1">
      <alignment horizontal="left" wrapText="1"/>
    </xf>
    <xf numFmtId="247" fontId="84" fillId="0" borderId="0" xfId="0" applyNumberFormat="1" applyFont="1" applyAlignment="1">
      <alignment horizontal="center"/>
    </xf>
    <xf numFmtId="0" fontId="90" fillId="0" borderId="0" xfId="0" applyFont="1"/>
    <xf numFmtId="171" fontId="74" fillId="0" borderId="0" xfId="0" applyNumberFormat="1" applyFont="1"/>
    <xf numFmtId="0" fontId="87" fillId="0" borderId="0" xfId="0" applyFont="1" applyAlignment="1">
      <alignment wrapText="1"/>
    </xf>
    <xf numFmtId="9" fontId="74" fillId="65" borderId="25" xfId="0" applyNumberFormat="1" applyFont="1" applyFill="1" applyBorder="1" applyAlignment="1" applyProtection="1">
      <alignment horizontal="center" vertical="center"/>
      <protection locked="0"/>
    </xf>
    <xf numFmtId="229" fontId="74" fillId="65" borderId="25" xfId="0" applyNumberFormat="1" applyFont="1" applyFill="1" applyBorder="1" applyAlignment="1" applyProtection="1">
      <alignment horizontal="center" vertical="center"/>
      <protection locked="0"/>
    </xf>
    <xf numFmtId="1" fontId="74" fillId="65" borderId="20" xfId="0" applyNumberFormat="1" applyFont="1" applyFill="1" applyBorder="1" applyAlignment="1" applyProtection="1">
      <alignment horizontal="center" vertical="center"/>
      <protection locked="0"/>
    </xf>
    <xf numFmtId="0" fontId="62" fillId="0" borderId="11" xfId="0" applyFont="1" applyBorder="1" applyAlignment="1">
      <alignment horizontal="center"/>
    </xf>
    <xf numFmtId="0" fontId="65" fillId="0" borderId="12" xfId="0" applyFont="1" applyBorder="1" applyAlignment="1">
      <alignment horizontal="centerContinuous" vertical="top" wrapText="1"/>
    </xf>
    <xf numFmtId="0" fontId="62" fillId="0" borderId="13" xfId="0" applyFont="1" applyBorder="1" applyAlignment="1">
      <alignment horizontal="right"/>
    </xf>
    <xf numFmtId="0" fontId="62" fillId="0" borderId="14" xfId="0" applyFont="1" applyBorder="1" applyAlignment="1">
      <alignment horizontal="center"/>
    </xf>
    <xf numFmtId="0" fontId="62" fillId="0" borderId="10" xfId="0" applyFont="1" applyBorder="1" applyAlignment="1">
      <alignment horizontal="right"/>
    </xf>
    <xf numFmtId="0" fontId="86" fillId="0" borderId="0" xfId="0" applyFont="1" applyAlignment="1">
      <alignment horizontal="left"/>
    </xf>
    <xf numFmtId="0" fontId="73" fillId="0" borderId="10" xfId="0" applyFont="1" applyBorder="1" applyAlignment="1">
      <alignment shrinkToFit="1"/>
    </xf>
    <xf numFmtId="0" fontId="73" fillId="0" borderId="0" xfId="0" applyFont="1" applyAlignment="1">
      <alignment shrinkToFit="1"/>
    </xf>
    <xf numFmtId="3" fontId="74" fillId="0" borderId="0" xfId="0" applyNumberFormat="1" applyFont="1" applyAlignment="1">
      <alignment horizontal="left"/>
    </xf>
    <xf numFmtId="0" fontId="53" fillId="0" borderId="0" xfId="0" applyFont="1" applyAlignment="1">
      <alignment horizontal="center"/>
    </xf>
    <xf numFmtId="0" fontId="71" fillId="0" borderId="67" xfId="0" applyFont="1" applyBorder="1"/>
    <xf numFmtId="0" fontId="71" fillId="0" borderId="18" xfId="0" applyFont="1" applyBorder="1" applyAlignment="1">
      <alignment horizontal="left"/>
    </xf>
    <xf numFmtId="0" fontId="71" fillId="0" borderId="18" xfId="0" applyFont="1" applyBorder="1" applyAlignment="1">
      <alignment horizontal="right"/>
    </xf>
    <xf numFmtId="0" fontId="73" fillId="0" borderId="68" xfId="0" applyFont="1" applyBorder="1" applyAlignment="1">
      <alignment shrinkToFit="1"/>
    </xf>
    <xf numFmtId="0" fontId="74" fillId="0" borderId="69" xfId="0" applyFont="1" applyBorder="1" applyAlignment="1">
      <alignment horizontal="center"/>
    </xf>
    <xf numFmtId="0" fontId="95" fillId="0" borderId="57" xfId="0" applyFont="1" applyBorder="1" applyAlignment="1">
      <alignment horizontal="left"/>
    </xf>
    <xf numFmtId="0" fontId="73" fillId="0" borderId="0" xfId="0" applyFont="1" applyAlignment="1">
      <alignment vertical="center" wrapText="1"/>
    </xf>
    <xf numFmtId="164" fontId="74" fillId="0" borderId="0" xfId="0" applyNumberFormat="1" applyFont="1"/>
    <xf numFmtId="0" fontId="73" fillId="0" borderId="0" xfId="0" applyFont="1" applyAlignment="1">
      <alignment horizontal="center" vertical="center" wrapText="1"/>
    </xf>
    <xf numFmtId="0" fontId="95" fillId="0" borderId="0" xfId="0" applyFont="1" applyAlignment="1">
      <alignment horizontal="left"/>
    </xf>
    <xf numFmtId="0" fontId="90" fillId="0" borderId="0" xfId="0" applyFont="1" applyAlignment="1">
      <alignment horizontal="left"/>
    </xf>
    <xf numFmtId="0" fontId="71" fillId="0" borderId="14" xfId="0" applyFont="1" applyBorder="1" applyAlignment="1">
      <alignment horizontal="center"/>
    </xf>
    <xf numFmtId="0" fontId="74" fillId="0" borderId="15" xfId="0" applyFont="1" applyBorder="1" applyAlignment="1">
      <alignment horizontal="center"/>
    </xf>
    <xf numFmtId="0" fontId="71" fillId="0" borderId="16" xfId="0" applyFont="1" applyBorder="1" applyAlignment="1">
      <alignment horizontal="right"/>
    </xf>
    <xf numFmtId="0" fontId="94" fillId="0" borderId="0" xfId="220" applyFont="1" applyBorder="1" applyProtection="1">
      <protection locked="0"/>
    </xf>
    <xf numFmtId="0" fontId="71" fillId="0" borderId="0" xfId="0" applyFont="1" applyAlignment="1" applyProtection="1">
      <alignment horizontal="center" vertical="center" wrapText="1" shrinkToFit="1"/>
      <protection locked="0"/>
    </xf>
    <xf numFmtId="0" fontId="74" fillId="0" borderId="0" xfId="0" applyFont="1" applyAlignment="1" applyProtection="1">
      <alignment horizontal="center" vertical="center" wrapText="1"/>
      <protection locked="0"/>
    </xf>
    <xf numFmtId="0" fontId="74" fillId="0" borderId="0" xfId="0" applyFont="1" applyAlignment="1">
      <alignment horizontal="left" wrapText="1"/>
    </xf>
    <xf numFmtId="0" fontId="67" fillId="0" borderId="0" xfId="220" applyFill="1" applyBorder="1" applyAlignment="1" applyProtection="1">
      <protection locked="0"/>
    </xf>
    <xf numFmtId="0" fontId="74" fillId="0" borderId="19" xfId="0" applyFont="1" applyBorder="1" applyAlignment="1" applyProtection="1">
      <alignment horizontal="left" shrinkToFit="1"/>
      <protection locked="0"/>
    </xf>
    <xf numFmtId="0" fontId="74" fillId="0" borderId="19" xfId="0" applyFont="1" applyBorder="1" applyAlignment="1" applyProtection="1">
      <alignment wrapText="1"/>
      <protection locked="0"/>
    </xf>
    <xf numFmtId="0" fontId="74" fillId="0" borderId="19" xfId="0" applyFont="1" applyBorder="1" applyAlignment="1" applyProtection="1">
      <alignment horizontal="center"/>
      <protection locked="0"/>
    </xf>
    <xf numFmtId="165" fontId="74" fillId="0" borderId="19" xfId="218" applyNumberFormat="1" applyFont="1" applyFill="1" applyBorder="1" applyAlignment="1" applyProtection="1">
      <alignment horizontal="center" shrinkToFit="1"/>
      <protection locked="0"/>
    </xf>
    <xf numFmtId="165" fontId="74" fillId="0" borderId="19" xfId="218" quotePrefix="1" applyNumberFormat="1" applyFont="1" applyFill="1" applyBorder="1" applyAlignment="1" applyProtection="1">
      <alignment horizontal="center" shrinkToFit="1"/>
      <protection locked="0"/>
    </xf>
    <xf numFmtId="0" fontId="74" fillId="0" borderId="19" xfId="0" applyFont="1" applyBorder="1" applyAlignment="1" applyProtection="1">
      <alignment horizontal="center" vertical="center"/>
      <protection locked="0"/>
    </xf>
    <xf numFmtId="0" fontId="74" fillId="0" borderId="19" xfId="0" applyFont="1" applyBorder="1" applyAlignment="1" applyProtection="1">
      <alignment horizontal="left" vertical="center" shrinkToFit="1"/>
      <protection locked="0"/>
    </xf>
    <xf numFmtId="0" fontId="74" fillId="0" borderId="19" xfId="0" applyFont="1" applyBorder="1" applyAlignment="1" applyProtection="1">
      <alignment horizontal="center" wrapText="1"/>
      <protection locked="0"/>
    </xf>
    <xf numFmtId="0" fontId="74" fillId="0" borderId="19" xfId="0" applyFont="1" applyBorder="1" applyAlignment="1" applyProtection="1">
      <alignment shrinkToFit="1"/>
      <protection locked="0"/>
    </xf>
    <xf numFmtId="0" fontId="74" fillId="0" borderId="19" xfId="0" applyFont="1" applyBorder="1" applyAlignment="1" applyProtection="1">
      <alignment horizontal="center" vertical="center" wrapText="1"/>
      <protection locked="0"/>
    </xf>
    <xf numFmtId="229" fontId="74" fillId="0" borderId="19" xfId="0" applyNumberFormat="1" applyFont="1" applyBorder="1" applyAlignment="1" applyProtection="1">
      <alignment horizontal="center"/>
      <protection locked="0"/>
    </xf>
    <xf numFmtId="0" fontId="74" fillId="0" borderId="19" xfId="0" applyFont="1" applyBorder="1" applyAlignment="1" applyProtection="1">
      <alignment horizontal="center" shrinkToFit="1"/>
      <protection locked="0"/>
    </xf>
    <xf numFmtId="171" fontId="74" fillId="0" borderId="19" xfId="0" applyNumberFormat="1" applyFont="1" applyBorder="1" applyAlignment="1" applyProtection="1">
      <alignment horizontal="center"/>
      <protection locked="0"/>
    </xf>
    <xf numFmtId="223" fontId="74" fillId="0" borderId="19" xfId="0" applyNumberFormat="1" applyFont="1" applyBorder="1" applyAlignment="1" applyProtection="1">
      <alignment horizontal="center"/>
      <protection locked="0"/>
    </xf>
    <xf numFmtId="230" fontId="83" fillId="0" borderId="19" xfId="0" applyNumberFormat="1" applyFont="1" applyBorder="1" applyAlignment="1" applyProtection="1">
      <alignment horizontal="center" vertical="center" wrapText="1"/>
      <protection locked="0"/>
    </xf>
    <xf numFmtId="0" fontId="75" fillId="0" borderId="19" xfId="0" applyFont="1" applyBorder="1" applyAlignment="1" applyProtection="1">
      <alignment horizontal="left" shrinkToFit="1"/>
      <protection locked="0"/>
    </xf>
    <xf numFmtId="0" fontId="74" fillId="0" borderId="19" xfId="0" applyFont="1" applyBorder="1" applyAlignment="1">
      <alignment horizontal="center"/>
    </xf>
    <xf numFmtId="0" fontId="97" fillId="0" borderId="28" xfId="0" applyFont="1" applyBorder="1"/>
    <xf numFmtId="0" fontId="83" fillId="0" borderId="57" xfId="0" applyFont="1" applyBorder="1" applyAlignment="1">
      <alignment horizontal="right"/>
    </xf>
    <xf numFmtId="173" fontId="77" fillId="0" borderId="57" xfId="0" applyNumberFormat="1" applyFont="1" applyBorder="1" applyAlignment="1">
      <alignment horizontal="left" shrinkToFit="1"/>
    </xf>
    <xf numFmtId="0" fontId="77" fillId="0" borderId="57" xfId="0" applyFont="1" applyBorder="1" applyAlignment="1">
      <alignment horizontal="right"/>
    </xf>
    <xf numFmtId="0" fontId="77" fillId="0" borderId="57" xfId="0" applyFont="1" applyBorder="1" applyAlignment="1">
      <alignment horizontal="left" shrinkToFit="1"/>
    </xf>
    <xf numFmtId="3" fontId="71" fillId="0" borderId="57" xfId="0" applyNumberFormat="1" applyFont="1" applyBorder="1" applyAlignment="1">
      <alignment horizontal="right" vertical="top"/>
    </xf>
    <xf numFmtId="165" fontId="71" fillId="59" borderId="29" xfId="0" applyNumberFormat="1" applyFont="1" applyFill="1" applyBorder="1" applyAlignment="1">
      <alignment horizontal="center"/>
    </xf>
    <xf numFmtId="0" fontId="79" fillId="0" borderId="22" xfId="0" applyFont="1" applyBorder="1" applyAlignment="1">
      <alignment horizontal="left" indent="13"/>
    </xf>
    <xf numFmtId="0" fontId="83" fillId="0" borderId="0" xfId="0" applyFont="1" applyAlignment="1">
      <alignment horizontal="right"/>
    </xf>
    <xf numFmtId="3" fontId="77" fillId="0" borderId="0" xfId="0" applyNumberFormat="1" applyFont="1" applyAlignment="1">
      <alignment horizontal="left"/>
    </xf>
    <xf numFmtId="3" fontId="71" fillId="0" borderId="0" xfId="0" applyNumberFormat="1" applyFont="1" applyAlignment="1">
      <alignment horizontal="right" vertical="top"/>
    </xf>
    <xf numFmtId="0" fontId="74" fillId="0" borderId="23" xfId="0" applyFont="1" applyBorder="1"/>
    <xf numFmtId="0" fontId="97" fillId="0" borderId="22" xfId="0" applyFont="1" applyBorder="1"/>
    <xf numFmtId="165" fontId="71" fillId="59" borderId="23" xfId="0" applyNumberFormat="1" applyFont="1" applyFill="1" applyBorder="1" applyAlignment="1">
      <alignment horizontal="center"/>
    </xf>
    <xf numFmtId="0" fontId="74" fillId="0" borderId="22" xfId="0" applyFont="1" applyBorder="1"/>
    <xf numFmtId="0" fontId="75" fillId="0" borderId="21" xfId="0" applyFont="1" applyBorder="1" applyAlignment="1">
      <alignment horizontal="left" indent="1"/>
    </xf>
    <xf numFmtId="0" fontId="71" fillId="0" borderId="18" xfId="0" applyFont="1" applyBorder="1" applyAlignment="1">
      <alignment horizontal="center"/>
    </xf>
    <xf numFmtId="167" fontId="71" fillId="0" borderId="18" xfId="0" applyNumberFormat="1" applyFont="1" applyBorder="1" applyAlignment="1">
      <alignment horizontal="center"/>
    </xf>
    <xf numFmtId="0" fontId="71" fillId="0" borderId="18" xfId="0" applyFont="1" applyBorder="1"/>
    <xf numFmtId="1" fontId="71" fillId="0" borderId="18" xfId="0" applyNumberFormat="1" applyFont="1" applyBorder="1" applyAlignment="1">
      <alignment horizontal="center"/>
    </xf>
    <xf numFmtId="1" fontId="73" fillId="0" borderId="18" xfId="0" applyNumberFormat="1" applyFont="1" applyBorder="1" applyAlignment="1">
      <alignment horizontal="right"/>
    </xf>
    <xf numFmtId="165" fontId="73" fillId="0" borderId="26" xfId="0" applyNumberFormat="1" applyFont="1" applyBorder="1" applyAlignment="1">
      <alignment horizontal="center"/>
    </xf>
    <xf numFmtId="0" fontId="73" fillId="0" borderId="22" xfId="0" applyFont="1" applyBorder="1"/>
    <xf numFmtId="0" fontId="79" fillId="0" borderId="0" xfId="0" applyFont="1" applyAlignment="1">
      <alignment horizontal="left"/>
    </xf>
    <xf numFmtId="3" fontId="71" fillId="0" borderId="0" xfId="0" applyNumberFormat="1" applyFont="1" applyAlignment="1">
      <alignment horizontal="right"/>
    </xf>
    <xf numFmtId="167" fontId="71" fillId="0" borderId="0" xfId="0" applyNumberFormat="1" applyFont="1" applyAlignment="1">
      <alignment horizontal="center"/>
    </xf>
    <xf numFmtId="0" fontId="74" fillId="0" borderId="23" xfId="0" applyFont="1" applyBorder="1" applyAlignment="1">
      <alignment horizontal="center"/>
    </xf>
    <xf numFmtId="0" fontId="75" fillId="0" borderId="22" xfId="0" applyFont="1" applyBorder="1" applyAlignment="1">
      <alignment horizontal="left" indent="1"/>
    </xf>
    <xf numFmtId="1" fontId="73" fillId="0" borderId="0" xfId="0" applyNumberFormat="1" applyFont="1" applyAlignment="1">
      <alignment horizontal="center"/>
    </xf>
    <xf numFmtId="1" fontId="73" fillId="0" borderId="0" xfId="0" applyNumberFormat="1" applyFont="1" applyAlignment="1">
      <alignment horizontal="right"/>
    </xf>
    <xf numFmtId="165" fontId="73" fillId="0" borderId="23" xfId="0" applyNumberFormat="1" applyFont="1" applyBorder="1" applyAlignment="1">
      <alignment horizontal="center"/>
    </xf>
    <xf numFmtId="1" fontId="71" fillId="0" borderId="0" xfId="0" applyNumberFormat="1" applyFont="1" applyAlignment="1">
      <alignment horizontal="center"/>
    </xf>
    <xf numFmtId="1" fontId="71" fillId="0" borderId="0" xfId="0" applyNumberFormat="1" applyFont="1" applyAlignment="1">
      <alignment horizontal="right"/>
    </xf>
    <xf numFmtId="165" fontId="71" fillId="0" borderId="23" xfId="0" applyNumberFormat="1" applyFont="1" applyBorder="1" applyAlignment="1">
      <alignment horizontal="center"/>
    </xf>
    <xf numFmtId="1" fontId="71" fillId="0" borderId="41" xfId="0" applyNumberFormat="1" applyFont="1" applyBorder="1" applyAlignment="1">
      <alignment horizontal="center"/>
    </xf>
    <xf numFmtId="3" fontId="73" fillId="0" borderId="42" xfId="0" applyNumberFormat="1" applyFont="1" applyBorder="1" applyAlignment="1">
      <alignment horizontal="right"/>
    </xf>
    <xf numFmtId="165" fontId="96" fillId="0" borderId="43" xfId="0" applyNumberFormat="1" applyFont="1" applyBorder="1" applyAlignment="1">
      <alignment horizontal="center"/>
    </xf>
    <xf numFmtId="0" fontId="79" fillId="0" borderId="22" xfId="0" applyFont="1" applyBorder="1" applyAlignment="1">
      <alignment horizontal="left" indent="2"/>
    </xf>
    <xf numFmtId="3" fontId="65" fillId="0" borderId="0" xfId="0" applyNumberFormat="1" applyFont="1" applyAlignment="1">
      <alignment horizontal="right"/>
    </xf>
    <xf numFmtId="165" fontId="96" fillId="0" borderId="23" xfId="0" applyNumberFormat="1" applyFont="1" applyBorder="1" applyAlignment="1">
      <alignment horizontal="center"/>
    </xf>
    <xf numFmtId="0" fontId="79" fillId="0" borderId="21" xfId="0" applyFont="1" applyBorder="1"/>
    <xf numFmtId="3" fontId="65" fillId="0" borderId="18" xfId="0" applyNumberFormat="1" applyFont="1" applyBorder="1" applyAlignment="1">
      <alignment horizontal="right"/>
    </xf>
    <xf numFmtId="165" fontId="96" fillId="0" borderId="26" xfId="0" applyNumberFormat="1" applyFont="1" applyBorder="1" applyAlignment="1">
      <alignment horizontal="center"/>
    </xf>
    <xf numFmtId="0" fontId="97" fillId="0" borderId="21" xfId="0" applyFont="1" applyBorder="1"/>
    <xf numFmtId="1" fontId="71" fillId="0" borderId="41" xfId="0" applyNumberFormat="1" applyFont="1" applyBorder="1" applyAlignment="1">
      <alignment horizontal="right"/>
    </xf>
    <xf numFmtId="1" fontId="73" fillId="0" borderId="42" xfId="0" applyNumberFormat="1" applyFont="1" applyBorder="1" applyAlignment="1">
      <alignment horizontal="right"/>
    </xf>
    <xf numFmtId="3" fontId="74" fillId="0" borderId="0" xfId="0" applyNumberFormat="1" applyFont="1" applyAlignment="1">
      <alignment horizontal="center"/>
    </xf>
    <xf numFmtId="0" fontId="74" fillId="0" borderId="0" xfId="0" quotePrefix="1" applyFont="1" applyAlignment="1">
      <alignment horizontal="right"/>
    </xf>
    <xf numFmtId="9" fontId="71" fillId="61" borderId="0" xfId="219" applyFont="1" applyFill="1" applyAlignment="1" applyProtection="1">
      <alignment horizontal="center"/>
      <protection locked="0"/>
    </xf>
    <xf numFmtId="9" fontId="71" fillId="61" borderId="0" xfId="219" applyFont="1" applyFill="1" applyBorder="1" applyAlignment="1" applyProtection="1">
      <alignment horizontal="center"/>
      <protection locked="0"/>
    </xf>
    <xf numFmtId="0" fontId="83" fillId="0" borderId="12" xfId="0" applyFont="1" applyBorder="1" applyAlignment="1" applyProtection="1">
      <alignment horizontal="center"/>
      <protection locked="0"/>
    </xf>
    <xf numFmtId="0" fontId="83" fillId="0" borderId="0" xfId="0" applyFont="1" applyAlignment="1" applyProtection="1">
      <alignment horizontal="center"/>
      <protection locked="0"/>
    </xf>
    <xf numFmtId="0" fontId="67" fillId="0" borderId="0" xfId="220" applyAlignment="1" applyProtection="1">
      <alignment horizontal="center"/>
      <protection locked="0"/>
    </xf>
    <xf numFmtId="0" fontId="74" fillId="66" borderId="19" xfId="185" applyFont="1" applyFill="1" applyBorder="1" applyProtection="1">
      <protection locked="0"/>
    </xf>
    <xf numFmtId="179" fontId="77" fillId="63" borderId="0" xfId="0" applyNumberFormat="1" applyFont="1" applyFill="1" applyAlignment="1" applyProtection="1">
      <alignment horizontal="center" vertical="center"/>
      <protection locked="0"/>
    </xf>
    <xf numFmtId="184" fontId="77" fillId="61" borderId="0" xfId="185" applyNumberFormat="1" applyFont="1" applyFill="1" applyAlignment="1" applyProtection="1">
      <alignment horizontal="center" vertical="center"/>
      <protection locked="0"/>
    </xf>
    <xf numFmtId="0" fontId="71" fillId="61" borderId="19" xfId="0" applyFont="1" applyFill="1" applyBorder="1" applyAlignment="1" applyProtection="1">
      <alignment horizontal="center" vertical="center"/>
      <protection locked="0"/>
    </xf>
    <xf numFmtId="242" fontId="77" fillId="61" borderId="0" xfId="185" applyNumberFormat="1" applyFont="1" applyFill="1" applyAlignment="1" applyProtection="1">
      <alignment horizontal="center" vertical="center"/>
      <protection locked="0"/>
    </xf>
    <xf numFmtId="193" fontId="77" fillId="61" borderId="0" xfId="185" applyNumberFormat="1" applyFont="1" applyFill="1" applyAlignment="1" applyProtection="1">
      <alignment horizontal="center" vertical="center"/>
      <protection locked="0"/>
    </xf>
    <xf numFmtId="192" fontId="77" fillId="61" borderId="0" xfId="185" applyNumberFormat="1" applyFont="1" applyFill="1" applyAlignment="1" applyProtection="1">
      <alignment horizontal="center" vertical="center"/>
      <protection locked="0"/>
    </xf>
    <xf numFmtId="0" fontId="74" fillId="0" borderId="11" xfId="0" applyFont="1" applyBorder="1"/>
    <xf numFmtId="0" fontId="74" fillId="0" borderId="12" xfId="0" applyFont="1" applyBorder="1" applyAlignment="1">
      <alignment horizontal="right"/>
    </xf>
    <xf numFmtId="49" fontId="73" fillId="0" borderId="0" xfId="0" applyNumberFormat="1" applyFont="1" applyAlignment="1">
      <alignment horizontal="center"/>
    </xf>
    <xf numFmtId="49" fontId="73" fillId="0" borderId="79" xfId="0" applyNumberFormat="1" applyFont="1" applyBorder="1" applyAlignment="1">
      <alignment horizontal="center"/>
    </xf>
    <xf numFmtId="49" fontId="73" fillId="0" borderId="80" xfId="0" applyNumberFormat="1" applyFont="1" applyBorder="1" applyAlignment="1">
      <alignment horizontal="center"/>
    </xf>
    <xf numFmtId="49" fontId="73" fillId="0" borderId="81" xfId="0" applyNumberFormat="1" applyFont="1" applyBorder="1" applyAlignment="1">
      <alignment horizontal="center"/>
    </xf>
    <xf numFmtId="0" fontId="73" fillId="0" borderId="62" xfId="0" applyFont="1" applyBorder="1" applyAlignment="1">
      <alignment horizontal="center"/>
    </xf>
    <xf numFmtId="0" fontId="73" fillId="0" borderId="66" xfId="0" applyFont="1" applyBorder="1" applyAlignment="1">
      <alignment horizontal="center"/>
    </xf>
    <xf numFmtId="0" fontId="73" fillId="0" borderId="83" xfId="0" applyFont="1" applyBorder="1" applyAlignment="1">
      <alignment horizontal="center"/>
    </xf>
    <xf numFmtId="3" fontId="71" fillId="56" borderId="79" xfId="0" applyNumberFormat="1" applyFont="1" applyFill="1" applyBorder="1" applyAlignment="1">
      <alignment horizontal="center" shrinkToFit="1"/>
    </xf>
    <xf numFmtId="3" fontId="71" fillId="56" borderId="80" xfId="0" applyNumberFormat="1" applyFont="1" applyFill="1" applyBorder="1" applyAlignment="1">
      <alignment horizontal="center" shrinkToFit="1"/>
    </xf>
    <xf numFmtId="3" fontId="71" fillId="56" borderId="81" xfId="0" applyNumberFormat="1" applyFont="1" applyFill="1" applyBorder="1" applyAlignment="1">
      <alignment horizontal="center" shrinkToFit="1"/>
    </xf>
    <xf numFmtId="3" fontId="71" fillId="0" borderId="79" xfId="0" applyNumberFormat="1" applyFont="1" applyBorder="1" applyAlignment="1">
      <alignment horizontal="center"/>
    </xf>
    <xf numFmtId="3" fontId="71" fillId="0" borderId="80" xfId="0" applyNumberFormat="1" applyFont="1" applyBorder="1" applyAlignment="1">
      <alignment horizontal="center"/>
    </xf>
    <xf numFmtId="3" fontId="71" fillId="0" borderId="81" xfId="0" applyNumberFormat="1" applyFont="1" applyBorder="1" applyAlignment="1">
      <alignment horizontal="center"/>
    </xf>
    <xf numFmtId="3" fontId="71" fillId="56" borderId="40" xfId="0" applyNumberFormat="1" applyFont="1" applyFill="1" applyBorder="1" applyAlignment="1">
      <alignment horizontal="center" shrinkToFit="1"/>
    </xf>
    <xf numFmtId="3" fontId="71" fillId="56" borderId="19" xfId="0" applyNumberFormat="1" applyFont="1" applyFill="1" applyBorder="1" applyAlignment="1">
      <alignment horizontal="center" shrinkToFit="1"/>
    </xf>
    <xf numFmtId="3" fontId="71" fillId="56" borderId="82" xfId="0" applyNumberFormat="1" applyFont="1" applyFill="1" applyBorder="1" applyAlignment="1">
      <alignment horizontal="center" shrinkToFit="1"/>
    </xf>
    <xf numFmtId="3" fontId="71" fillId="0" borderId="40" xfId="0" applyNumberFormat="1" applyFont="1" applyBorder="1" applyAlignment="1">
      <alignment horizontal="center"/>
    </xf>
    <xf numFmtId="3" fontId="71" fillId="0" borderId="19" xfId="0" applyNumberFormat="1" applyFont="1" applyBorder="1" applyAlignment="1">
      <alignment horizontal="center"/>
    </xf>
    <xf numFmtId="3" fontId="71" fillId="0" borderId="82" xfId="0" applyNumberFormat="1" applyFont="1" applyBorder="1" applyAlignment="1">
      <alignment horizontal="center"/>
    </xf>
    <xf numFmtId="0" fontId="71" fillId="56" borderId="0" xfId="0" applyFont="1" applyFill="1"/>
    <xf numFmtId="0" fontId="71" fillId="56" borderId="0" xfId="0" applyFont="1" applyFill="1" applyAlignment="1">
      <alignment horizontal="right"/>
    </xf>
    <xf numFmtId="3" fontId="71" fillId="56" borderId="62" xfId="0" applyNumberFormat="1" applyFont="1" applyFill="1" applyBorder="1" applyAlignment="1">
      <alignment horizontal="center" shrinkToFit="1"/>
    </xf>
    <xf numFmtId="3" fontId="71" fillId="56" borderId="66" xfId="0" applyNumberFormat="1" applyFont="1" applyFill="1" applyBorder="1" applyAlignment="1">
      <alignment horizontal="center" shrinkToFit="1"/>
    </xf>
    <xf numFmtId="3" fontId="71" fillId="56" borderId="83" xfId="0" applyNumberFormat="1" applyFont="1" applyFill="1" applyBorder="1" applyAlignment="1">
      <alignment horizontal="center" shrinkToFit="1"/>
    </xf>
    <xf numFmtId="3" fontId="71" fillId="0" borderId="62" xfId="0" applyNumberFormat="1" applyFont="1" applyBorder="1" applyAlignment="1">
      <alignment horizontal="center"/>
    </xf>
    <xf numFmtId="3" fontId="71" fillId="0" borderId="66" xfId="0" applyNumberFormat="1" applyFont="1" applyBorder="1" applyAlignment="1">
      <alignment horizontal="center"/>
    </xf>
    <xf numFmtId="3" fontId="71" fillId="0" borderId="83" xfId="0" applyNumberFormat="1" applyFont="1" applyBorder="1" applyAlignment="1">
      <alignment horizontal="center"/>
    </xf>
    <xf numFmtId="0" fontId="75" fillId="56" borderId="0" xfId="0" applyFont="1" applyFill="1" applyAlignment="1">
      <alignment horizontal="left" indent="1"/>
    </xf>
    <xf numFmtId="0" fontId="71" fillId="56" borderId="0" xfId="0" applyFont="1" applyFill="1" applyAlignment="1">
      <alignment shrinkToFit="1"/>
    </xf>
    <xf numFmtId="3" fontId="71" fillId="56" borderId="54" xfId="0" applyNumberFormat="1" applyFont="1" applyFill="1" applyBorder="1" applyAlignment="1">
      <alignment horizontal="center" shrinkToFit="1"/>
    </xf>
    <xf numFmtId="3" fontId="71" fillId="56" borderId="55" xfId="0" applyNumberFormat="1" applyFont="1" applyFill="1" applyBorder="1" applyAlignment="1">
      <alignment horizontal="center" shrinkToFit="1"/>
    </xf>
    <xf numFmtId="3" fontId="71" fillId="56" borderId="56" xfId="0" applyNumberFormat="1" applyFont="1" applyFill="1" applyBorder="1" applyAlignment="1">
      <alignment horizontal="center" shrinkToFit="1"/>
    </xf>
    <xf numFmtId="3" fontId="71" fillId="0" borderId="84" xfId="0" applyNumberFormat="1" applyFont="1" applyBorder="1" applyAlignment="1">
      <alignment horizontal="center"/>
    </xf>
    <xf numFmtId="3" fontId="71" fillId="0" borderId="55" xfId="0" applyNumberFormat="1" applyFont="1" applyBorder="1" applyAlignment="1">
      <alignment horizontal="center"/>
    </xf>
    <xf numFmtId="3" fontId="71" fillId="0" borderId="56" xfId="0" applyNumberFormat="1" applyFont="1" applyBorder="1" applyAlignment="1">
      <alignment horizontal="center"/>
    </xf>
    <xf numFmtId="3" fontId="71" fillId="0" borderId="54" xfId="0" applyNumberFormat="1" applyFont="1" applyBorder="1" applyAlignment="1">
      <alignment horizontal="center"/>
    </xf>
    <xf numFmtId="0" fontId="73" fillId="56" borderId="0" xfId="0" applyFont="1" applyFill="1"/>
    <xf numFmtId="0" fontId="75" fillId="56" borderId="0" xfId="0" applyFont="1" applyFill="1" applyAlignment="1">
      <alignment horizontal="left"/>
    </xf>
    <xf numFmtId="0" fontId="86" fillId="0" borderId="0" xfId="0" applyFont="1" applyAlignment="1">
      <alignment horizontal="right"/>
    </xf>
    <xf numFmtId="0" fontId="79" fillId="0" borderId="0" xfId="0" applyFont="1" applyAlignment="1">
      <alignment horizontal="left" indent="1"/>
    </xf>
    <xf numFmtId="0" fontId="71" fillId="0" borderId="0" xfId="0" applyFont="1" applyAlignment="1">
      <alignment shrinkToFit="1"/>
    </xf>
    <xf numFmtId="3" fontId="71" fillId="56" borderId="0" xfId="0" applyNumberFormat="1" applyFont="1" applyFill="1" applyAlignment="1">
      <alignment horizontal="center" shrinkToFit="1"/>
    </xf>
    <xf numFmtId="0" fontId="74" fillId="0" borderId="15" xfId="0" applyFont="1" applyBorder="1"/>
    <xf numFmtId="3" fontId="71" fillId="0" borderId="16" xfId="0" applyNumberFormat="1" applyFont="1" applyBorder="1" applyAlignment="1">
      <alignment horizontal="right"/>
    </xf>
    <xf numFmtId="3" fontId="71" fillId="56" borderId="16" xfId="0" applyNumberFormat="1" applyFont="1" applyFill="1" applyBorder="1" applyAlignment="1">
      <alignment horizontal="center" shrinkToFit="1"/>
    </xf>
    <xf numFmtId="3" fontId="74" fillId="0" borderId="16" xfId="0" applyNumberFormat="1" applyFont="1" applyBorder="1" applyAlignment="1">
      <alignment horizontal="center"/>
    </xf>
    <xf numFmtId="193" fontId="71" fillId="63" borderId="0" xfId="0" applyNumberFormat="1" applyFont="1" applyFill="1" applyAlignment="1" applyProtection="1">
      <alignment horizontal="center" shrinkToFit="1"/>
      <protection locked="0"/>
    </xf>
    <xf numFmtId="0" fontId="67" fillId="0" borderId="59" xfId="220" applyBorder="1" applyProtection="1">
      <protection locked="0"/>
    </xf>
    <xf numFmtId="0" fontId="83" fillId="61" borderId="0" xfId="0" applyFont="1" applyFill="1" applyAlignment="1" applyProtection="1">
      <alignment horizontal="center"/>
      <protection locked="0"/>
    </xf>
    <xf numFmtId="14" fontId="83" fillId="61" borderId="0" xfId="0" applyNumberFormat="1" applyFont="1" applyFill="1" applyProtection="1">
      <protection locked="0"/>
    </xf>
    <xf numFmtId="44" fontId="71" fillId="61" borderId="19" xfId="218" applyFont="1" applyFill="1" applyBorder="1" applyProtection="1">
      <protection locked="0"/>
    </xf>
    <xf numFmtId="14" fontId="83" fillId="0" borderId="12" xfId="0" applyNumberFormat="1" applyFont="1" applyBorder="1" applyProtection="1">
      <protection locked="0"/>
    </xf>
    <xf numFmtId="14" fontId="83" fillId="0" borderId="0" xfId="0" applyNumberFormat="1" applyFont="1" applyProtection="1">
      <protection locked="0"/>
    </xf>
    <xf numFmtId="9" fontId="77" fillId="63" borderId="0" xfId="185" applyNumberFormat="1" applyFont="1" applyFill="1" applyAlignment="1" applyProtection="1">
      <alignment horizontal="center" vertical="center"/>
      <protection locked="0"/>
    </xf>
    <xf numFmtId="227" fontId="71" fillId="61" borderId="0" xfId="0" applyNumberFormat="1" applyFont="1" applyFill="1" applyAlignment="1" applyProtection="1">
      <alignment horizontal="left" vertical="center" shrinkToFit="1"/>
      <protection locked="0"/>
    </xf>
    <xf numFmtId="214" fontId="77" fillId="61" borderId="0" xfId="185" applyNumberFormat="1" applyFont="1" applyFill="1" applyAlignment="1" applyProtection="1">
      <alignment horizontal="center" vertical="center"/>
      <protection locked="0"/>
    </xf>
    <xf numFmtId="208" fontId="77" fillId="61" borderId="0" xfId="185" applyNumberFormat="1" applyFont="1" applyFill="1" applyAlignment="1" applyProtection="1">
      <alignment horizontal="center" vertical="center"/>
      <protection locked="0"/>
    </xf>
    <xf numFmtId="188" fontId="77" fillId="61" borderId="0" xfId="185" applyNumberFormat="1" applyFont="1" applyFill="1" applyAlignment="1" applyProtection="1">
      <alignment horizontal="center" vertical="center"/>
      <protection locked="0"/>
    </xf>
    <xf numFmtId="174" fontId="77" fillId="61" borderId="0" xfId="185" applyNumberFormat="1" applyFont="1" applyFill="1" applyAlignment="1" applyProtection="1">
      <alignment horizontal="center" vertical="center"/>
      <protection locked="0"/>
    </xf>
    <xf numFmtId="252" fontId="77" fillId="61" borderId="0" xfId="185" applyNumberFormat="1" applyFont="1" applyFill="1" applyAlignment="1" applyProtection="1">
      <alignment horizontal="center" vertical="center"/>
      <protection locked="0"/>
    </xf>
    <xf numFmtId="253" fontId="77" fillId="61" borderId="0" xfId="185" applyNumberFormat="1" applyFont="1" applyFill="1" applyAlignment="1" applyProtection="1">
      <alignment horizontal="center" vertical="center"/>
      <protection locked="0"/>
    </xf>
    <xf numFmtId="202" fontId="71" fillId="63" borderId="0" xfId="185" applyNumberFormat="1" applyFont="1" applyFill="1" applyAlignment="1" applyProtection="1">
      <alignment horizontal="center" vertical="center"/>
      <protection locked="0"/>
    </xf>
    <xf numFmtId="0" fontId="83" fillId="0" borderId="0" xfId="184" applyFont="1" applyAlignment="1" applyProtection="1">
      <alignment horizontal="center"/>
      <protection locked="0"/>
    </xf>
    <xf numFmtId="14" fontId="83" fillId="0" borderId="0" xfId="184" applyNumberFormat="1" applyFont="1" applyAlignment="1" applyProtection="1">
      <alignment horizontal="center"/>
      <protection locked="0"/>
    </xf>
    <xf numFmtId="1" fontId="71" fillId="61" borderId="0" xfId="184" applyNumberFormat="1" applyFont="1" applyFill="1" applyAlignment="1" applyProtection="1">
      <alignment horizontal="center"/>
      <protection locked="0"/>
    </xf>
    <xf numFmtId="0" fontId="63" fillId="0" borderId="39" xfId="0" applyFont="1" applyBorder="1" applyAlignment="1">
      <alignment horizontal="center" wrapText="1"/>
    </xf>
    <xf numFmtId="0" fontId="63" fillId="0" borderId="39" xfId="0" applyFont="1" applyBorder="1" applyAlignment="1">
      <alignment wrapText="1"/>
    </xf>
    <xf numFmtId="0" fontId="63" fillId="0" borderId="39" xfId="0" applyFont="1" applyBorder="1" applyAlignment="1">
      <alignment horizontal="right" wrapText="1"/>
    </xf>
    <xf numFmtId="8" fontId="63" fillId="0" borderId="39" xfId="0" applyNumberFormat="1" applyFont="1" applyBorder="1" applyAlignment="1">
      <alignment horizontal="right" wrapText="1"/>
    </xf>
    <xf numFmtId="0" fontId="63" fillId="57" borderId="39" xfId="0" applyFont="1" applyFill="1" applyBorder="1" applyAlignment="1">
      <alignment horizontal="center" wrapText="1"/>
    </xf>
    <xf numFmtId="0" fontId="63" fillId="57" borderId="39" xfId="0" applyFont="1" applyFill="1" applyBorder="1" applyAlignment="1">
      <alignment wrapText="1"/>
    </xf>
    <xf numFmtId="3" fontId="63" fillId="57" borderId="39" xfId="0" applyNumberFormat="1" applyFont="1" applyFill="1" applyBorder="1" applyAlignment="1">
      <alignment horizontal="right" wrapText="1"/>
    </xf>
    <xf numFmtId="0" fontId="63" fillId="57" borderId="39" xfId="0" applyFont="1" applyFill="1" applyBorder="1" applyAlignment="1">
      <alignment horizontal="right" wrapText="1"/>
    </xf>
    <xf numFmtId="8" fontId="63" fillId="57" borderId="39" xfId="0" applyNumberFormat="1" applyFont="1" applyFill="1" applyBorder="1" applyAlignment="1">
      <alignment horizontal="right" wrapText="1"/>
    </xf>
    <xf numFmtId="3" fontId="63" fillId="0" borderId="39" xfId="0" applyNumberFormat="1" applyFont="1" applyBorder="1" applyAlignment="1">
      <alignment horizontal="right" wrapText="1"/>
    </xf>
    <xf numFmtId="4" fontId="63" fillId="0" borderId="39" xfId="0" applyNumberFormat="1" applyFont="1" applyBorder="1" applyAlignment="1">
      <alignment horizontal="right" wrapText="1"/>
    </xf>
    <xf numFmtId="4" fontId="63" fillId="57" borderId="39" xfId="0" applyNumberFormat="1" applyFont="1" applyFill="1" applyBorder="1" applyAlignment="1">
      <alignment horizontal="right" wrapText="1"/>
    </xf>
    <xf numFmtId="0" fontId="83" fillId="0" borderId="11" xfId="0" applyFont="1" applyBorder="1" applyAlignment="1">
      <alignment horizontal="center"/>
    </xf>
    <xf numFmtId="14" fontId="83" fillId="0" borderId="12" xfId="0" quotePrefix="1" applyNumberFormat="1" applyFont="1" applyBorder="1"/>
    <xf numFmtId="0" fontId="83" fillId="0" borderId="13" xfId="0" applyFont="1" applyBorder="1" applyAlignment="1">
      <alignment horizontal="center"/>
    </xf>
    <xf numFmtId="0" fontId="83" fillId="0" borderId="14" xfId="0" applyFont="1" applyBorder="1" applyAlignment="1">
      <alignment horizontal="center"/>
    </xf>
    <xf numFmtId="14" fontId="83" fillId="0" borderId="0" xfId="0" quotePrefix="1" applyNumberFormat="1" applyFont="1"/>
    <xf numFmtId="0" fontId="83" fillId="0" borderId="10" xfId="0" applyFont="1" applyBorder="1" applyAlignment="1">
      <alignment horizontal="center"/>
    </xf>
    <xf numFmtId="0" fontId="100" fillId="0" borderId="0" xfId="0" applyFont="1"/>
    <xf numFmtId="14" fontId="83" fillId="0" borderId="0" xfId="0" applyNumberFormat="1" applyFont="1" applyAlignment="1">
      <alignment horizontal="right"/>
    </xf>
    <xf numFmtId="0" fontId="83" fillId="0" borderId="0" xfId="0" quotePrefix="1" applyFont="1" applyAlignment="1">
      <alignment horizontal="left"/>
    </xf>
    <xf numFmtId="0" fontId="74" fillId="0" borderId="15" xfId="0" applyFont="1" applyBorder="1" applyAlignment="1">
      <alignment horizontal="centerContinuous"/>
    </xf>
    <xf numFmtId="0" fontId="62" fillId="0" borderId="16" xfId="0" applyFont="1" applyBorder="1"/>
    <xf numFmtId="0" fontId="74" fillId="0" borderId="16" xfId="0" applyFont="1" applyBorder="1" applyAlignment="1">
      <alignment horizontal="center"/>
    </xf>
    <xf numFmtId="0" fontId="62" fillId="0" borderId="16" xfId="0" applyFont="1" applyBorder="1" applyAlignment="1">
      <alignment horizontal="right"/>
    </xf>
    <xf numFmtId="14" fontId="74" fillId="0" borderId="16" xfId="0" applyNumberFormat="1" applyFont="1" applyBorder="1"/>
    <xf numFmtId="0" fontId="74" fillId="0" borderId="16" xfId="0" quotePrefix="1" applyFont="1" applyBorder="1" applyAlignment="1">
      <alignment horizontal="left"/>
    </xf>
    <xf numFmtId="0" fontId="74" fillId="0" borderId="16" xfId="0" applyFont="1" applyBorder="1" applyAlignment="1">
      <alignment horizontal="centerContinuous"/>
    </xf>
    <xf numFmtId="0" fontId="74" fillId="0" borderId="17" xfId="0" applyFont="1" applyBorder="1" applyAlignment="1">
      <alignment horizontal="centerContinuous"/>
    </xf>
    <xf numFmtId="0" fontId="74" fillId="0" borderId="12" xfId="0" applyFont="1" applyBorder="1" applyAlignment="1">
      <alignment wrapText="1"/>
    </xf>
    <xf numFmtId="0" fontId="101" fillId="0" borderId="12" xfId="0" applyFont="1" applyBorder="1" applyAlignment="1">
      <alignment wrapText="1"/>
    </xf>
    <xf numFmtId="0" fontId="74" fillId="0" borderId="14" xfId="101" applyFont="1" applyBorder="1"/>
    <xf numFmtId="3" fontId="74" fillId="0" borderId="0" xfId="101" applyNumberFormat="1" applyFont="1"/>
    <xf numFmtId="0" fontId="71" fillId="0" borderId="0" xfId="101" applyFont="1" applyAlignment="1">
      <alignment horizontal="right"/>
    </xf>
    <xf numFmtId="0" fontId="74" fillId="0" borderId="10" xfId="101" applyFont="1" applyBorder="1"/>
    <xf numFmtId="0" fontId="97" fillId="0" borderId="0" xfId="101" applyFont="1"/>
    <xf numFmtId="166" fontId="73" fillId="0" borderId="0" xfId="74" applyNumberFormat="1" applyFont="1" applyFill="1" applyBorder="1" applyAlignment="1" applyProtection="1">
      <alignment horizontal="right" vertical="center" wrapText="1" shrinkToFit="1"/>
    </xf>
    <xf numFmtId="0" fontId="75" fillId="0" borderId="0" xfId="101" applyFont="1"/>
    <xf numFmtId="0" fontId="71" fillId="0" borderId="0" xfId="101" applyFont="1"/>
    <xf numFmtId="0" fontId="62" fillId="0" borderId="14" xfId="0" applyFont="1" applyBorder="1" applyAlignment="1">
      <alignment horizontal="right"/>
    </xf>
    <xf numFmtId="0" fontId="71" fillId="0" borderId="0" xfId="101" applyFont="1" applyAlignment="1">
      <alignment horizontal="center"/>
    </xf>
    <xf numFmtId="0" fontId="97" fillId="0" borderId="0" xfId="101" applyFont="1" applyAlignment="1">
      <alignment horizontal="center"/>
    </xf>
    <xf numFmtId="165" fontId="77" fillId="0" borderId="28" xfId="0" applyNumberFormat="1" applyFont="1" applyBorder="1" applyAlignment="1">
      <alignment horizontal="left"/>
    </xf>
    <xf numFmtId="0" fontId="71" fillId="0" borderId="57" xfId="0" applyFont="1" applyBorder="1" applyAlignment="1">
      <alignment horizontal="center"/>
    </xf>
    <xf numFmtId="165" fontId="77" fillId="0" borderId="57" xfId="0" applyNumberFormat="1" applyFont="1" applyBorder="1" applyAlignment="1">
      <alignment horizontal="left"/>
    </xf>
    <xf numFmtId="10" fontId="71" fillId="0" borderId="29" xfId="0" applyNumberFormat="1" applyFont="1" applyBorder="1" applyAlignment="1">
      <alignment horizontal="center" vertical="center" shrinkToFit="1"/>
    </xf>
    <xf numFmtId="165" fontId="77" fillId="0" borderId="22" xfId="0" applyNumberFormat="1" applyFont="1" applyBorder="1" applyAlignment="1">
      <alignment horizontal="left"/>
    </xf>
    <xf numFmtId="165" fontId="77" fillId="0" borderId="0" xfId="0" applyNumberFormat="1" applyFont="1" applyAlignment="1">
      <alignment horizontal="left"/>
    </xf>
    <xf numFmtId="10" fontId="71" fillId="0" borderId="23" xfId="0" applyNumberFormat="1" applyFont="1" applyBorder="1" applyAlignment="1">
      <alignment horizontal="center" vertical="center" shrinkToFit="1"/>
    </xf>
    <xf numFmtId="44" fontId="71" fillId="0" borderId="0" xfId="218" applyFont="1" applyFill="1" applyBorder="1" applyAlignment="1" applyProtection="1">
      <alignment horizontal="center"/>
    </xf>
    <xf numFmtId="165" fontId="77" fillId="0" borderId="0" xfId="101" applyNumberFormat="1" applyFont="1" applyAlignment="1">
      <alignment horizontal="center"/>
    </xf>
    <xf numFmtId="165" fontId="77" fillId="0" borderId="0" xfId="101" applyNumberFormat="1" applyFont="1"/>
    <xf numFmtId="166" fontId="71" fillId="0" borderId="0" xfId="74" applyNumberFormat="1" applyFont="1" applyFill="1" applyBorder="1" applyAlignment="1" applyProtection="1">
      <alignment horizontal="center" vertical="center" wrapText="1" shrinkToFit="1"/>
    </xf>
    <xf numFmtId="0" fontId="77" fillId="0" borderId="0" xfId="101" applyFont="1" applyAlignment="1">
      <alignment vertical="center"/>
    </xf>
    <xf numFmtId="165" fontId="71" fillId="0" borderId="0" xfId="101" applyNumberFormat="1" applyFont="1" applyAlignment="1">
      <alignment horizontal="center"/>
    </xf>
    <xf numFmtId="165" fontId="73" fillId="0" borderId="0" xfId="101" applyNumberFormat="1" applyFont="1"/>
    <xf numFmtId="165" fontId="77" fillId="0" borderId="21" xfId="0" applyNumberFormat="1" applyFont="1" applyBorder="1" applyAlignment="1">
      <alignment horizontal="left"/>
    </xf>
    <xf numFmtId="0" fontId="71" fillId="0" borderId="18" xfId="0" applyFont="1" applyBorder="1" applyAlignment="1">
      <alignment horizontal="center" vertical="center" shrinkToFit="1"/>
    </xf>
    <xf numFmtId="10" fontId="71" fillId="0" borderId="26" xfId="0" applyNumberFormat="1" applyFont="1" applyBorder="1" applyAlignment="1">
      <alignment horizontal="center" vertical="center" shrinkToFit="1"/>
    </xf>
    <xf numFmtId="166" fontId="71" fillId="0" borderId="0" xfId="101" applyNumberFormat="1" applyFont="1" applyAlignment="1">
      <alignment horizontal="center"/>
    </xf>
    <xf numFmtId="0" fontId="103" fillId="0" borderId="0" xfId="101" applyFont="1" applyAlignment="1">
      <alignment horizontal="right"/>
    </xf>
    <xf numFmtId="165" fontId="83" fillId="0" borderId="0" xfId="101" applyNumberFormat="1" applyFont="1"/>
    <xf numFmtId="0" fontId="62" fillId="0" borderId="0" xfId="101" applyFont="1" applyAlignment="1">
      <alignment horizontal="left"/>
    </xf>
    <xf numFmtId="165" fontId="71" fillId="0" borderId="0" xfId="101" applyNumberFormat="1" applyFont="1"/>
    <xf numFmtId="0" fontId="62" fillId="0" borderId="0" xfId="101" applyFont="1"/>
    <xf numFmtId="166" fontId="73" fillId="0" borderId="0" xfId="101" applyNumberFormat="1" applyFont="1" applyAlignment="1">
      <alignment horizontal="center" shrinkToFit="1"/>
    </xf>
    <xf numFmtId="0" fontId="71" fillId="0" borderId="0" xfId="101" applyFont="1" applyAlignment="1">
      <alignment wrapText="1"/>
    </xf>
    <xf numFmtId="0" fontId="77" fillId="0" borderId="0" xfId="0" applyFont="1"/>
    <xf numFmtId="0" fontId="71" fillId="0" borderId="0" xfId="185" applyFont="1" applyAlignment="1">
      <alignment horizontal="right"/>
    </xf>
    <xf numFmtId="232" fontId="77" fillId="0" borderId="19" xfId="158" applyNumberFormat="1" applyFont="1" applyBorder="1" applyProtection="1"/>
    <xf numFmtId="209" fontId="102" fillId="0" borderId="0" xfId="0" applyNumberFormat="1" applyFont="1" applyAlignment="1">
      <alignment horizontal="center" vertical="center" shrinkToFit="1"/>
    </xf>
    <xf numFmtId="0" fontId="102" fillId="0" borderId="0" xfId="0" applyFont="1" applyAlignment="1">
      <alignment horizontal="center" vertical="center" shrinkToFit="1"/>
    </xf>
    <xf numFmtId="165" fontId="71" fillId="0" borderId="0" xfId="0" applyNumberFormat="1" applyFont="1" applyAlignment="1">
      <alignment vertical="center"/>
    </xf>
    <xf numFmtId="0" fontId="77" fillId="0" borderId="0" xfId="0" applyFont="1" applyAlignment="1">
      <alignment vertical="center"/>
    </xf>
    <xf numFmtId="2" fontId="73" fillId="0" borderId="0" xfId="0" applyNumberFormat="1" applyFont="1" applyAlignment="1">
      <alignment horizontal="center" vertical="center" shrinkToFit="1"/>
    </xf>
    <xf numFmtId="166" fontId="73" fillId="0" borderId="0" xfId="74" applyNumberFormat="1" applyFont="1" applyFill="1" applyBorder="1" applyAlignment="1" applyProtection="1">
      <alignment horizontal="center" vertical="center" wrapText="1" shrinkToFit="1"/>
    </xf>
    <xf numFmtId="0" fontId="62" fillId="0" borderId="14" xfId="101" applyFont="1" applyBorder="1" applyAlignment="1">
      <alignment horizontal="right"/>
    </xf>
    <xf numFmtId="165" fontId="73" fillId="0" borderId="0" xfId="74" applyNumberFormat="1" applyFont="1" applyFill="1" applyBorder="1" applyAlignment="1" applyProtection="1">
      <alignment horizontal="right" vertical="center" wrapText="1" shrinkToFit="1"/>
    </xf>
    <xf numFmtId="0" fontId="62" fillId="0" borderId="10" xfId="101" applyFont="1" applyBorder="1" applyAlignment="1">
      <alignment horizontal="right"/>
    </xf>
    <xf numFmtId="165" fontId="73" fillId="0" borderId="0" xfId="0" applyNumberFormat="1" applyFont="1" applyAlignment="1">
      <alignment vertical="center"/>
    </xf>
    <xf numFmtId="212" fontId="62" fillId="0" borderId="0" xfId="218" applyNumberFormat="1" applyFont="1" applyBorder="1" applyAlignment="1" applyProtection="1">
      <alignment horizontal="center" shrinkToFit="1"/>
    </xf>
    <xf numFmtId="0" fontId="74" fillId="0" borderId="15" xfId="101" applyFont="1" applyBorder="1"/>
    <xf numFmtId="0" fontId="74" fillId="0" borderId="16" xfId="101" applyFont="1" applyBorder="1"/>
    <xf numFmtId="0" fontId="74" fillId="0" borderId="17" xfId="101" applyFont="1" applyBorder="1"/>
    <xf numFmtId="0" fontId="1" fillId="0" borderId="0" xfId="217" applyFont="1"/>
    <xf numFmtId="14" fontId="4" fillId="58" borderId="0" xfId="217" applyNumberFormat="1" applyFill="1"/>
    <xf numFmtId="0" fontId="116" fillId="0" borderId="0" xfId="217" applyFont="1"/>
    <xf numFmtId="0" fontId="71" fillId="0" borderId="16" xfId="0" quotePrefix="1" applyFont="1" applyBorder="1" applyAlignment="1">
      <alignment horizontal="left" vertical="center" wrapText="1"/>
    </xf>
    <xf numFmtId="0" fontId="71" fillId="0" borderId="0" xfId="0" applyFont="1" applyAlignment="1">
      <alignment horizontal="left" vertical="center" wrapText="1"/>
    </xf>
    <xf numFmtId="0" fontId="71" fillId="0" borderId="23" xfId="0" applyFont="1" applyBorder="1" applyAlignment="1">
      <alignment horizontal="left" vertical="center" wrapText="1"/>
    </xf>
    <xf numFmtId="0" fontId="105" fillId="0" borderId="0" xfId="0" applyFont="1" applyAlignment="1">
      <alignment horizontal="left" vertical="center"/>
    </xf>
    <xf numFmtId="0" fontId="71" fillId="0" borderId="0" xfId="0" applyFont="1" applyAlignment="1">
      <alignment horizontal="center" shrinkToFit="1"/>
    </xf>
    <xf numFmtId="0" fontId="80" fillId="0" borderId="0" xfId="0" applyFont="1" applyAlignment="1">
      <alignment horizontal="center" shrinkToFit="1"/>
    </xf>
    <xf numFmtId="0" fontId="71" fillId="0" borderId="18" xfId="0" applyFont="1" applyBorder="1" applyAlignment="1">
      <alignment horizontal="center" shrinkToFit="1"/>
    </xf>
    <xf numFmtId="0" fontId="80" fillId="0" borderId="18" xfId="0" applyFont="1" applyBorder="1" applyAlignment="1">
      <alignment horizontal="center" shrinkToFit="1"/>
    </xf>
    <xf numFmtId="0" fontId="91" fillId="0" borderId="0" xfId="0" applyFont="1" applyAlignment="1">
      <alignment horizontal="center" vertical="center"/>
    </xf>
    <xf numFmtId="0" fontId="92" fillId="0" borderId="0" xfId="0" applyFont="1" applyAlignment="1">
      <alignment horizontal="center" shrinkToFit="1"/>
    </xf>
    <xf numFmtId="0" fontId="92" fillId="0" borderId="0" xfId="0" applyFont="1" applyAlignment="1">
      <alignment horizontal="center"/>
    </xf>
    <xf numFmtId="0" fontId="91" fillId="0" borderId="0" xfId="0" applyFont="1" applyAlignment="1">
      <alignment wrapText="1"/>
    </xf>
    <xf numFmtId="0" fontId="71" fillId="0" borderId="0" xfId="0" quotePrefix="1" applyFont="1" applyAlignment="1">
      <alignment horizontal="centerContinuous" vertical="center"/>
    </xf>
    <xf numFmtId="0" fontId="71" fillId="0" borderId="0" xfId="0" quotePrefix="1" applyFont="1" applyAlignment="1">
      <alignment horizontal="centerContinuous" vertical="center" wrapText="1"/>
    </xf>
    <xf numFmtId="0" fontId="71" fillId="0" borderId="16" xfId="0" quotePrefix="1" applyFont="1" applyBorder="1" applyAlignment="1">
      <alignment horizontal="centerContinuous" vertical="center" wrapText="1"/>
    </xf>
    <xf numFmtId="0" fontId="76" fillId="0" borderId="0" xfId="0" applyFont="1" applyAlignment="1">
      <alignment horizontal="centerContinuous" vertical="top" wrapText="1"/>
    </xf>
    <xf numFmtId="0" fontId="79" fillId="0" borderId="0" xfId="0" applyFont="1" applyAlignment="1">
      <alignment horizontal="centerContinuous" wrapText="1"/>
    </xf>
    <xf numFmtId="0" fontId="65" fillId="0" borderId="0" xfId="0" applyFont="1" applyAlignment="1">
      <alignment horizontal="centerContinuous"/>
    </xf>
    <xf numFmtId="0" fontId="70" fillId="56" borderId="11" xfId="0" applyFont="1" applyFill="1" applyBorder="1" applyAlignment="1">
      <alignment horizontal="centerContinuous" vertical="center"/>
    </xf>
    <xf numFmtId="0" fontId="70" fillId="56" borderId="12" xfId="0" applyFont="1" applyFill="1" applyBorder="1" applyAlignment="1">
      <alignment horizontal="centerContinuous" vertical="center"/>
    </xf>
    <xf numFmtId="0" fontId="70" fillId="56" borderId="13" xfId="0" applyFont="1" applyFill="1" applyBorder="1" applyAlignment="1">
      <alignment horizontal="centerContinuous" vertical="center"/>
    </xf>
    <xf numFmtId="0" fontId="70" fillId="56" borderId="15" xfId="0" applyFont="1" applyFill="1" applyBorder="1" applyAlignment="1">
      <alignment horizontal="centerContinuous" vertical="center"/>
    </xf>
    <xf numFmtId="0" fontId="70" fillId="56" borderId="16" xfId="0" applyFont="1" applyFill="1" applyBorder="1" applyAlignment="1">
      <alignment horizontal="centerContinuous" vertical="center"/>
    </xf>
    <xf numFmtId="0" fontId="70" fillId="56" borderId="17" xfId="0" applyFont="1" applyFill="1" applyBorder="1" applyAlignment="1">
      <alignment horizontal="centerContinuous" vertical="center"/>
    </xf>
    <xf numFmtId="0" fontId="71" fillId="0" borderId="0" xfId="0" applyFont="1" applyAlignment="1">
      <alignment horizontal="centerContinuous" vertical="center" wrapText="1"/>
    </xf>
    <xf numFmtId="0" fontId="62" fillId="0" borderId="0" xfId="0" applyFont="1" applyAlignment="1">
      <alignment horizontal="centerContinuous"/>
    </xf>
    <xf numFmtId="0" fontId="74" fillId="58" borderId="57" xfId="0" applyFont="1" applyFill="1" applyBorder="1" applyAlignment="1">
      <alignment horizontal="centerContinuous"/>
    </xf>
    <xf numFmtId="0" fontId="74" fillId="0" borderId="19" xfId="0" applyFont="1" applyBorder="1" applyAlignment="1">
      <alignment horizontal="centerContinuous" vertical="center" wrapText="1"/>
    </xf>
    <xf numFmtId="232" fontId="77" fillId="0" borderId="25" xfId="158" applyNumberFormat="1" applyFont="1" applyBorder="1" applyAlignment="1" applyProtection="1">
      <alignment horizontal="centerContinuous"/>
    </xf>
    <xf numFmtId="232" fontId="77" fillId="0" borderId="49" xfId="158" applyNumberFormat="1" applyFont="1" applyBorder="1" applyAlignment="1" applyProtection="1">
      <alignment horizontal="centerContinuous"/>
    </xf>
    <xf numFmtId="232" fontId="77" fillId="0" borderId="20" xfId="158" applyNumberFormat="1" applyFont="1" applyBorder="1" applyAlignment="1" applyProtection="1">
      <alignment horizontal="centerContinuous"/>
    </xf>
    <xf numFmtId="1" fontId="77" fillId="0" borderId="0" xfId="0" applyNumberFormat="1" applyFont="1" applyAlignment="1">
      <alignment horizontal="centerContinuous" vertical="center"/>
    </xf>
    <xf numFmtId="3" fontId="77" fillId="0" borderId="25" xfId="158" applyNumberFormat="1" applyFont="1" applyBorder="1" applyAlignment="1" applyProtection="1">
      <alignment horizontal="centerContinuous"/>
    </xf>
    <xf numFmtId="0" fontId="77" fillId="0" borderId="49" xfId="158" applyNumberFormat="1" applyFont="1" applyBorder="1" applyAlignment="1" applyProtection="1">
      <alignment horizontal="centerContinuous"/>
    </xf>
    <xf numFmtId="0" fontId="77" fillId="0" borderId="20" xfId="158" applyNumberFormat="1" applyFont="1" applyBorder="1" applyAlignment="1" applyProtection="1">
      <alignment horizontal="centerContinuous"/>
    </xf>
    <xf numFmtId="233" fontId="77" fillId="63" borderId="25" xfId="176" applyNumberFormat="1" applyFont="1" applyFill="1" applyBorder="1" applyAlignment="1" applyProtection="1">
      <alignment horizontal="centerContinuous"/>
      <protection locked="0"/>
    </xf>
    <xf numFmtId="233" fontId="77" fillId="63" borderId="49" xfId="176" applyNumberFormat="1" applyFont="1" applyFill="1" applyBorder="1" applyAlignment="1" applyProtection="1">
      <alignment horizontal="centerContinuous"/>
      <protection locked="0"/>
    </xf>
    <xf numFmtId="233" fontId="77" fillId="63" borderId="20" xfId="176" applyNumberFormat="1" applyFont="1" applyFill="1" applyBorder="1" applyAlignment="1" applyProtection="1">
      <alignment horizontal="centerContinuous"/>
      <protection locked="0"/>
    </xf>
    <xf numFmtId="0" fontId="71" fillId="0" borderId="0" xfId="0" applyFont="1" applyAlignment="1" applyProtection="1">
      <alignment horizontal="centerContinuous" shrinkToFit="1"/>
      <protection locked="0"/>
    </xf>
    <xf numFmtId="247" fontId="84" fillId="58" borderId="18" xfId="0" applyNumberFormat="1" applyFont="1" applyFill="1" applyBorder="1" applyAlignment="1">
      <alignment horizontal="center"/>
    </xf>
    <xf numFmtId="0" fontId="74" fillId="0" borderId="25" xfId="0" applyFont="1" applyBorder="1" applyAlignment="1">
      <alignment horizontal="centerContinuous" vertical="center" wrapText="1"/>
    </xf>
    <xf numFmtId="0" fontId="74" fillId="0" borderId="49" xfId="0" applyFont="1" applyBorder="1" applyAlignment="1">
      <alignment horizontal="centerContinuous" vertical="center" wrapText="1"/>
    </xf>
    <xf numFmtId="0" fontId="74" fillId="0" borderId="20" xfId="0" applyFont="1" applyBorder="1" applyAlignment="1">
      <alignment horizontal="centerContinuous" vertical="center" wrapText="1"/>
    </xf>
    <xf numFmtId="0" fontId="108" fillId="0" borderId="0" xfId="0" applyFont="1" applyAlignment="1" applyProtection="1">
      <alignment horizontal="center" vertical="center" wrapText="1"/>
      <protection locked="0"/>
    </xf>
    <xf numFmtId="0" fontId="108" fillId="0" borderId="16" xfId="0" applyFont="1" applyBorder="1" applyAlignment="1" applyProtection="1">
      <alignment horizontal="center" vertical="center" wrapText="1"/>
      <protection locked="0"/>
    </xf>
    <xf numFmtId="0" fontId="73" fillId="0" borderId="24" xfId="0" applyFont="1" applyBorder="1" applyAlignment="1">
      <alignment horizontal="center" wrapText="1"/>
    </xf>
    <xf numFmtId="0" fontId="117" fillId="0" borderId="0" xfId="0" applyFont="1"/>
    <xf numFmtId="0" fontId="117" fillId="0" borderId="0" xfId="185" applyFont="1"/>
    <xf numFmtId="0" fontId="118" fillId="0" borderId="0" xfId="0" applyFont="1" applyAlignment="1">
      <alignment vertical="top" wrapText="1"/>
    </xf>
    <xf numFmtId="0" fontId="121" fillId="0" borderId="0" xfId="0" applyFont="1" applyAlignment="1">
      <alignment horizontal="right"/>
    </xf>
    <xf numFmtId="0" fontId="122" fillId="0" borderId="0" xfId="0" applyFont="1"/>
    <xf numFmtId="0" fontId="123" fillId="0" borderId="0" xfId="0" applyFont="1"/>
    <xf numFmtId="49" fontId="123" fillId="0" borderId="0" xfId="0" applyNumberFormat="1" applyFont="1"/>
    <xf numFmtId="0" fontId="121" fillId="0" borderId="0" xfId="0" applyFont="1"/>
    <xf numFmtId="3" fontId="122" fillId="58" borderId="0" xfId="0" applyNumberFormat="1" applyFont="1" applyFill="1"/>
    <xf numFmtId="0" fontId="74" fillId="0" borderId="0" xfId="0" applyFont="1" applyAlignment="1" applyProtection="1">
      <alignment horizontal="center" wrapText="1"/>
      <protection locked="0"/>
    </xf>
    <xf numFmtId="0" fontId="124" fillId="0" borderId="59" xfId="0" applyFont="1" applyBorder="1" applyAlignment="1">
      <alignment horizontal="center" wrapText="1" shrinkToFit="1"/>
    </xf>
    <xf numFmtId="0" fontId="124" fillId="0" borderId="19" xfId="0" applyFont="1" applyBorder="1" applyAlignment="1">
      <alignment horizontal="center" vertical="center" wrapText="1" shrinkToFit="1"/>
    </xf>
    <xf numFmtId="0" fontId="124" fillId="0" borderId="19" xfId="0" applyFont="1" applyBorder="1" applyAlignment="1">
      <alignment horizontal="center" wrapText="1" shrinkToFit="1"/>
    </xf>
    <xf numFmtId="3" fontId="80" fillId="74" borderId="19" xfId="0" applyNumberFormat="1" applyFont="1" applyFill="1" applyBorder="1" applyAlignment="1">
      <alignment horizontal="center" vertical="center"/>
    </xf>
    <xf numFmtId="230" fontId="108" fillId="0" borderId="0" xfId="0" applyNumberFormat="1" applyFont="1" applyAlignment="1" applyProtection="1">
      <alignment vertical="center" wrapText="1"/>
      <protection locked="0"/>
    </xf>
    <xf numFmtId="230" fontId="108" fillId="0" borderId="16" xfId="0" applyNumberFormat="1" applyFont="1" applyBorder="1" applyAlignment="1" applyProtection="1">
      <alignment vertical="center" wrapText="1"/>
      <protection locked="0"/>
    </xf>
    <xf numFmtId="0" fontId="120" fillId="0" borderId="23" xfId="0" applyFont="1" applyBorder="1" applyAlignment="1">
      <alignment vertical="center"/>
    </xf>
    <xf numFmtId="0" fontId="71" fillId="60" borderId="19" xfId="0" applyFont="1" applyFill="1" applyBorder="1" applyAlignment="1" applyProtection="1">
      <alignment horizontal="center" shrinkToFit="1"/>
      <protection locked="0"/>
    </xf>
    <xf numFmtId="0" fontId="71" fillId="62" borderId="19" xfId="0" applyFont="1" applyFill="1" applyBorder="1" applyAlignment="1" applyProtection="1">
      <alignment horizontal="center" wrapText="1" shrinkToFit="1"/>
      <protection locked="0"/>
    </xf>
    <xf numFmtId="0" fontId="71" fillId="62" borderId="66" xfId="0" applyFont="1" applyFill="1" applyBorder="1" applyAlignment="1" applyProtection="1">
      <alignment horizontal="center" shrinkToFit="1"/>
      <protection locked="0"/>
    </xf>
    <xf numFmtId="0" fontId="71" fillId="60" borderId="66" xfId="0" applyFont="1" applyFill="1" applyBorder="1" applyAlignment="1" applyProtection="1">
      <alignment horizontal="center" shrinkToFit="1"/>
      <protection locked="0"/>
    </xf>
    <xf numFmtId="0" fontId="71" fillId="62" borderId="24" xfId="0" applyFont="1" applyFill="1" applyBorder="1" applyAlignment="1" applyProtection="1">
      <alignment horizontal="center" shrinkToFit="1"/>
      <protection locked="0"/>
    </xf>
    <xf numFmtId="0" fontId="71" fillId="60" borderId="24" xfId="0" applyFont="1" applyFill="1" applyBorder="1" applyAlignment="1" applyProtection="1">
      <alignment horizontal="center" shrinkToFit="1"/>
      <protection locked="0"/>
    </xf>
    <xf numFmtId="3" fontId="71" fillId="60" borderId="19" xfId="0" applyNumberFormat="1" applyFont="1" applyFill="1" applyBorder="1" applyAlignment="1" applyProtection="1">
      <alignment horizontal="center"/>
      <protection locked="0"/>
    </xf>
    <xf numFmtId="0" fontId="83" fillId="0" borderId="0" xfId="0" applyFont="1" applyAlignment="1" applyProtection="1">
      <alignment horizontal="center" vertical="center" wrapText="1"/>
      <protection locked="0"/>
    </xf>
    <xf numFmtId="230" fontId="83" fillId="0" borderId="0" xfId="0" applyNumberFormat="1" applyFont="1" applyAlignment="1" applyProtection="1">
      <alignment vertical="center" wrapText="1"/>
      <protection locked="0"/>
    </xf>
    <xf numFmtId="177" fontId="71" fillId="67" borderId="19" xfId="0" applyNumberFormat="1" applyFont="1" applyFill="1" applyBorder="1" applyAlignment="1" applyProtection="1">
      <alignment horizontal="center"/>
      <protection locked="0"/>
    </xf>
    <xf numFmtId="174" fontId="71" fillId="67" borderId="19" xfId="0" applyNumberFormat="1" applyFont="1" applyFill="1" applyBorder="1" applyAlignment="1" applyProtection="1">
      <alignment horizontal="center"/>
      <protection locked="0"/>
    </xf>
    <xf numFmtId="9" fontId="77" fillId="0" borderId="0" xfId="219" applyFont="1" applyFill="1" applyBorder="1" applyAlignment="1" applyProtection="1">
      <alignment horizontal="center" vertical="center" wrapText="1" shrinkToFit="1"/>
      <protection locked="0"/>
    </xf>
    <xf numFmtId="0" fontId="74" fillId="0" borderId="0" xfId="0" applyFont="1" applyAlignment="1" applyProtection="1">
      <alignment vertical="center"/>
      <protection locked="0"/>
    </xf>
    <xf numFmtId="229" fontId="74" fillId="0" borderId="0" xfId="0" applyNumberFormat="1" applyFont="1" applyAlignment="1" applyProtection="1">
      <alignment horizontal="center"/>
      <protection locked="0"/>
    </xf>
    <xf numFmtId="171" fontId="74" fillId="0" borderId="0" xfId="0" applyNumberFormat="1" applyFont="1" applyAlignment="1" applyProtection="1">
      <alignment horizontal="center"/>
      <protection locked="0"/>
    </xf>
    <xf numFmtId="223" fontId="74" fillId="0" borderId="0" xfId="0" applyNumberFormat="1" applyFont="1" applyProtection="1">
      <protection locked="0"/>
    </xf>
    <xf numFmtId="0" fontId="71" fillId="59" borderId="0" xfId="0" applyFont="1" applyFill="1" applyAlignment="1">
      <alignment horizontal="left"/>
    </xf>
    <xf numFmtId="206" fontId="71" fillId="61" borderId="0" xfId="219" applyNumberFormat="1" applyFont="1" applyFill="1" applyBorder="1" applyAlignment="1" applyProtection="1">
      <alignment horizontal="center"/>
      <protection locked="0"/>
    </xf>
    <xf numFmtId="166" fontId="74" fillId="66" borderId="19" xfId="185" applyNumberFormat="1" applyFont="1" applyFill="1" applyBorder="1" applyProtection="1">
      <protection locked="0"/>
    </xf>
    <xf numFmtId="6" fontId="74" fillId="66" borderId="19" xfId="185" applyNumberFormat="1" applyFont="1" applyFill="1" applyBorder="1" applyProtection="1">
      <protection locked="0"/>
    </xf>
    <xf numFmtId="0" fontId="53" fillId="0" borderId="0" xfId="101" applyFont="1"/>
    <xf numFmtId="0" fontId="54" fillId="0" borderId="59" xfId="0" applyFont="1" applyBorder="1" applyAlignment="1">
      <alignment horizontal="center" vertical="center" wrapText="1"/>
    </xf>
    <xf numFmtId="0" fontId="71" fillId="58" borderId="19" xfId="0" applyFont="1" applyFill="1" applyBorder="1"/>
    <xf numFmtId="44" fontId="73" fillId="75" borderId="19" xfId="218" applyFont="1" applyFill="1" applyBorder="1" applyAlignment="1">
      <alignment horizontal="left" vertical="center"/>
    </xf>
    <xf numFmtId="0" fontId="71" fillId="75" borderId="19" xfId="0" applyFont="1" applyFill="1" applyBorder="1" applyAlignment="1">
      <alignment wrapText="1"/>
    </xf>
    <xf numFmtId="0" fontId="71" fillId="75" borderId="19" xfId="0" applyFont="1" applyFill="1" applyBorder="1"/>
    <xf numFmtId="0" fontId="71" fillId="75" borderId="19" xfId="0" applyFont="1" applyFill="1" applyBorder="1" applyAlignment="1">
      <alignment horizontal="right" wrapText="1"/>
    </xf>
    <xf numFmtId="165" fontId="71" fillId="75" borderId="19" xfId="0" applyNumberFormat="1" applyFont="1" applyFill="1" applyBorder="1" applyAlignment="1">
      <alignment horizontal="right" wrapText="1"/>
    </xf>
    <xf numFmtId="0" fontId="71" fillId="75" borderId="19" xfId="0" applyFont="1" applyFill="1" applyBorder="1" applyAlignment="1">
      <alignment horizontal="center" wrapText="1"/>
    </xf>
    <xf numFmtId="8" fontId="71" fillId="75" borderId="19" xfId="0" applyNumberFormat="1" applyFont="1" applyFill="1" applyBorder="1" applyAlignment="1">
      <alignment horizontal="right" wrapText="1"/>
    </xf>
    <xf numFmtId="0" fontId="0" fillId="75" borderId="0" xfId="0" applyFill="1"/>
    <xf numFmtId="0" fontId="73" fillId="75" borderId="0" xfId="218" applyNumberFormat="1" applyFont="1" applyFill="1" applyAlignment="1">
      <alignment horizontal="left" vertical="center"/>
    </xf>
    <xf numFmtId="0" fontId="71" fillId="75" borderId="0" xfId="0" applyFont="1" applyFill="1"/>
    <xf numFmtId="212" fontId="71" fillId="75" borderId="0" xfId="218" applyNumberFormat="1" applyFont="1" applyFill="1"/>
    <xf numFmtId="0" fontId="71" fillId="75" borderId="0" xfId="0" applyFont="1" applyFill="1" applyAlignment="1">
      <alignment wrapText="1"/>
    </xf>
    <xf numFmtId="0" fontId="71" fillId="75" borderId="24" xfId="0" applyFont="1" applyFill="1" applyBorder="1" applyAlignment="1">
      <alignment wrapText="1"/>
    </xf>
    <xf numFmtId="0" fontId="69" fillId="75" borderId="19" xfId="217" applyFont="1" applyFill="1" applyBorder="1" applyAlignment="1">
      <alignment wrapText="1"/>
    </xf>
    <xf numFmtId="44" fontId="73" fillId="75" borderId="28" xfId="218" applyFont="1" applyFill="1" applyBorder="1" applyAlignment="1">
      <alignment horizontal="left" vertical="center"/>
    </xf>
    <xf numFmtId="0" fontId="71" fillId="75" borderId="29" xfId="0" applyFont="1" applyFill="1" applyBorder="1" applyAlignment="1">
      <alignment wrapText="1"/>
    </xf>
    <xf numFmtId="0" fontId="69" fillId="75" borderId="24" xfId="217" applyFont="1" applyFill="1" applyBorder="1" applyAlignment="1">
      <alignment horizontal="left" wrapText="1"/>
    </xf>
    <xf numFmtId="0" fontId="63" fillId="58" borderId="19" xfId="217" applyFont="1" applyFill="1" applyBorder="1" applyAlignment="1">
      <alignment horizontal="left" wrapText="1"/>
    </xf>
    <xf numFmtId="8" fontId="71" fillId="58" borderId="19" xfId="0" applyNumberFormat="1" applyFont="1" applyFill="1" applyBorder="1" applyAlignment="1">
      <alignment horizontal="right" wrapText="1"/>
    </xf>
    <xf numFmtId="0" fontId="0" fillId="58" borderId="0" xfId="0" applyFill="1"/>
    <xf numFmtId="0" fontId="71" fillId="58" borderId="0" xfId="0" applyFont="1" applyFill="1"/>
    <xf numFmtId="0" fontId="73" fillId="58" borderId="0" xfId="0" applyFont="1" applyFill="1" applyAlignment="1">
      <alignment horizontal="left"/>
    </xf>
    <xf numFmtId="165" fontId="81" fillId="0" borderId="19" xfId="0" applyNumberFormat="1" applyFont="1" applyBorder="1" applyAlignment="1">
      <alignment horizontal="right" wrapText="1"/>
    </xf>
    <xf numFmtId="0" fontId="71" fillId="0" borderId="19" xfId="0" applyFont="1" applyBorder="1" applyAlignment="1">
      <alignment horizontal="left" vertical="center" wrapText="1"/>
    </xf>
    <xf numFmtId="0" fontId="121" fillId="0" borderId="0" xfId="0" applyFont="1" applyAlignment="1">
      <alignment horizontal="center"/>
    </xf>
    <xf numFmtId="0" fontId="71" fillId="0" borderId="25" xfId="0" applyFont="1" applyBorder="1" applyAlignment="1">
      <alignment horizontal="left" vertical="center" wrapText="1"/>
    </xf>
    <xf numFmtId="0" fontId="71" fillId="0" borderId="49" xfId="0" applyFont="1" applyBorder="1" applyAlignment="1">
      <alignment horizontal="left" vertical="center" wrapText="1"/>
    </xf>
    <xf numFmtId="0" fontId="71" fillId="0" borderId="20" xfId="0" applyFont="1" applyBorder="1" applyAlignment="1">
      <alignment horizontal="left" vertical="center" wrapText="1"/>
    </xf>
    <xf numFmtId="0" fontId="70" fillId="56" borderId="11" xfId="0" applyFont="1" applyFill="1" applyBorder="1" applyAlignment="1">
      <alignment horizontal="center" vertical="center"/>
    </xf>
    <xf numFmtId="0" fontId="70" fillId="56" borderId="58" xfId="0" applyFont="1" applyFill="1" applyBorder="1" applyAlignment="1">
      <alignment horizontal="center" vertical="center"/>
    </xf>
    <xf numFmtId="0" fontId="65" fillId="0" borderId="14" xfId="0" applyFont="1" applyBorder="1" applyAlignment="1">
      <alignment horizontal="center" vertical="center" wrapText="1"/>
    </xf>
    <xf numFmtId="0" fontId="65" fillId="0" borderId="60" xfId="0" applyFont="1" applyBorder="1" applyAlignment="1">
      <alignment horizontal="center" vertical="center" wrapText="1"/>
    </xf>
    <xf numFmtId="0" fontId="65" fillId="0" borderId="15" xfId="0" applyFont="1" applyBorder="1" applyAlignment="1">
      <alignment horizontal="center" vertical="center" wrapText="1"/>
    </xf>
    <xf numFmtId="0" fontId="65" fillId="0" borderId="61" xfId="0" applyFont="1" applyBorder="1" applyAlignment="1">
      <alignment horizontal="center" vertical="center" wrapText="1"/>
    </xf>
    <xf numFmtId="0" fontId="65" fillId="0" borderId="0" xfId="0" applyFont="1" applyAlignment="1">
      <alignment horizontal="center"/>
    </xf>
    <xf numFmtId="0" fontId="80" fillId="74" borderId="11" xfId="0" applyFont="1" applyFill="1" applyBorder="1" applyAlignment="1">
      <alignment horizontal="center" vertical="center"/>
    </xf>
    <xf numFmtId="0" fontId="80" fillId="74" borderId="13" xfId="0" applyFont="1" applyFill="1" applyBorder="1" applyAlignment="1">
      <alignment horizontal="center" vertical="center"/>
    </xf>
    <xf numFmtId="0" fontId="80" fillId="74" borderId="15" xfId="0" applyFont="1" applyFill="1" applyBorder="1" applyAlignment="1">
      <alignment horizontal="center" vertical="center"/>
    </xf>
    <xf numFmtId="0" fontId="80" fillId="74" borderId="17" xfId="0" applyFont="1" applyFill="1" applyBorder="1" applyAlignment="1">
      <alignment horizontal="center" vertical="center"/>
    </xf>
    <xf numFmtId="0" fontId="80" fillId="0" borderId="13" xfId="0" applyFont="1" applyBorder="1" applyAlignment="1">
      <alignment horizontal="center" vertical="center"/>
    </xf>
    <xf numFmtId="0" fontId="80" fillId="0" borderId="15" xfId="0" applyFont="1" applyBorder="1" applyAlignment="1">
      <alignment horizontal="center" vertical="center"/>
    </xf>
    <xf numFmtId="0" fontId="80" fillId="0" borderId="17" xfId="0" applyFont="1" applyBorder="1" applyAlignment="1">
      <alignment horizontal="center" vertical="center"/>
    </xf>
    <xf numFmtId="0" fontId="56" fillId="0" borderId="0" xfId="0" applyFont="1" applyAlignment="1">
      <alignment horizontal="left" wrapText="1"/>
    </xf>
    <xf numFmtId="0" fontId="109" fillId="0" borderId="0" xfId="0" applyFont="1" applyAlignment="1">
      <alignment horizontal="center" vertical="center"/>
    </xf>
    <xf numFmtId="0" fontId="75" fillId="0" borderId="22" xfId="0" applyFont="1" applyBorder="1" applyAlignment="1">
      <alignment horizontal="center" vertical="center"/>
    </xf>
    <xf numFmtId="0" fontId="75" fillId="0" borderId="0" xfId="0" applyFont="1" applyAlignment="1">
      <alignment horizontal="center" vertical="center"/>
    </xf>
    <xf numFmtId="0" fontId="71" fillId="73" borderId="25" xfId="0" applyFont="1" applyFill="1" applyBorder="1" applyAlignment="1" applyProtection="1">
      <alignment horizontal="center"/>
      <protection locked="0"/>
    </xf>
    <xf numFmtId="0" fontId="71" fillId="73" borderId="49" xfId="0" applyFont="1" applyFill="1" applyBorder="1" applyAlignment="1" applyProtection="1">
      <alignment horizontal="center"/>
      <protection locked="0"/>
    </xf>
    <xf numFmtId="0" fontId="71" fillId="73" borderId="20" xfId="0" applyFont="1" applyFill="1" applyBorder="1" applyAlignment="1" applyProtection="1">
      <alignment horizontal="center"/>
      <protection locked="0"/>
    </xf>
    <xf numFmtId="3" fontId="71" fillId="73" borderId="25" xfId="0" applyNumberFormat="1" applyFont="1" applyFill="1" applyBorder="1" applyAlignment="1" applyProtection="1">
      <alignment horizontal="center"/>
      <protection locked="0"/>
    </xf>
    <xf numFmtId="3" fontId="71" fillId="73" borderId="20" xfId="0" applyNumberFormat="1" applyFont="1" applyFill="1" applyBorder="1" applyAlignment="1" applyProtection="1">
      <alignment horizontal="center"/>
      <protection locked="0"/>
    </xf>
    <xf numFmtId="1" fontId="71" fillId="73" borderId="25" xfId="0" applyNumberFormat="1" applyFont="1" applyFill="1" applyBorder="1" applyAlignment="1" applyProtection="1">
      <alignment horizontal="center"/>
      <protection locked="0"/>
    </xf>
    <xf numFmtId="1" fontId="71" fillId="73" borderId="20" xfId="0" applyNumberFormat="1" applyFont="1" applyFill="1" applyBorder="1" applyAlignment="1" applyProtection="1">
      <alignment horizontal="center"/>
      <protection locked="0"/>
    </xf>
    <xf numFmtId="3" fontId="71" fillId="67" borderId="63" xfId="0" applyNumberFormat="1" applyFont="1" applyFill="1" applyBorder="1" applyAlignment="1" applyProtection="1">
      <alignment horizontal="center"/>
      <protection locked="0"/>
    </xf>
    <xf numFmtId="3" fontId="80" fillId="67" borderId="64" xfId="0" applyNumberFormat="1" applyFont="1" applyFill="1" applyBorder="1" applyAlignment="1" applyProtection="1">
      <alignment horizontal="center"/>
      <protection locked="0"/>
    </xf>
    <xf numFmtId="3" fontId="71" fillId="67" borderId="25" xfId="0" applyNumberFormat="1" applyFont="1" applyFill="1" applyBorder="1" applyAlignment="1" applyProtection="1">
      <alignment horizontal="center"/>
      <protection locked="0"/>
    </xf>
    <xf numFmtId="3" fontId="71" fillId="67" borderId="20" xfId="0" applyNumberFormat="1" applyFont="1" applyFill="1" applyBorder="1" applyAlignment="1" applyProtection="1">
      <alignment horizontal="center"/>
      <protection locked="0"/>
    </xf>
    <xf numFmtId="3" fontId="80" fillId="67" borderId="20" xfId="0" applyNumberFormat="1" applyFont="1" applyFill="1" applyBorder="1" applyAlignment="1" applyProtection="1">
      <alignment horizontal="center"/>
      <protection locked="0"/>
    </xf>
    <xf numFmtId="0" fontId="82" fillId="0" borderId="0" xfId="0" applyFont="1" applyAlignment="1" applyProtection="1">
      <alignment horizontal="center"/>
      <protection locked="0"/>
    </xf>
    <xf numFmtId="0" fontId="65" fillId="0" borderId="0" xfId="0" applyFont="1" applyAlignment="1">
      <alignment horizontal="left" wrapText="1"/>
    </xf>
    <xf numFmtId="0" fontId="70" fillId="56" borderId="12" xfId="0" applyFont="1" applyFill="1" applyBorder="1" applyAlignment="1">
      <alignment horizontal="center" vertical="center"/>
    </xf>
    <xf numFmtId="0" fontId="70" fillId="56" borderId="13" xfId="0" applyFont="1" applyFill="1" applyBorder="1" applyAlignment="1">
      <alignment horizontal="center" vertical="center"/>
    </xf>
    <xf numFmtId="0" fontId="70" fillId="56" borderId="14" xfId="0" applyFont="1" applyFill="1" applyBorder="1" applyAlignment="1">
      <alignment horizontal="center" vertical="center"/>
    </xf>
    <xf numFmtId="0" fontId="70" fillId="56" borderId="0" xfId="0" applyFont="1" applyFill="1" applyAlignment="1">
      <alignment horizontal="center" vertical="center"/>
    </xf>
    <xf numFmtId="0" fontId="70" fillId="56" borderId="10" xfId="0" applyFont="1" applyFill="1" applyBorder="1" applyAlignment="1">
      <alignment horizontal="center" vertical="center"/>
    </xf>
    <xf numFmtId="0" fontId="74" fillId="65" borderId="49" xfId="0" applyFont="1" applyFill="1" applyBorder="1" applyAlignment="1" applyProtection="1">
      <alignment horizontal="center" vertical="center" wrapText="1" shrinkToFit="1"/>
      <protection locked="0"/>
    </xf>
    <xf numFmtId="0" fontId="74" fillId="65" borderId="20" xfId="0" applyFont="1" applyFill="1" applyBorder="1" applyAlignment="1" applyProtection="1">
      <alignment horizontal="center" vertical="center" wrapText="1" shrinkToFit="1"/>
      <protection locked="0"/>
    </xf>
    <xf numFmtId="0" fontId="74" fillId="65" borderId="18" xfId="0" applyFont="1" applyFill="1" applyBorder="1" applyAlignment="1" applyProtection="1">
      <alignment horizontal="center" vertical="center"/>
      <protection locked="0"/>
    </xf>
    <xf numFmtId="0" fontId="74" fillId="65" borderId="26" xfId="0" applyFont="1" applyFill="1" applyBorder="1" applyAlignment="1" applyProtection="1">
      <alignment horizontal="center" vertical="center"/>
      <protection locked="0"/>
    </xf>
    <xf numFmtId="44" fontId="74" fillId="65" borderId="49" xfId="218" applyFont="1" applyFill="1" applyBorder="1" applyAlignment="1" applyProtection="1">
      <alignment horizontal="center" vertical="center" wrapText="1" shrinkToFit="1"/>
      <protection locked="0"/>
    </xf>
    <xf numFmtId="44" fontId="74" fillId="65" borderId="20" xfId="218" applyFont="1" applyFill="1" applyBorder="1" applyAlignment="1" applyProtection="1">
      <alignment horizontal="center" vertical="center" wrapText="1" shrinkToFit="1"/>
      <protection locked="0"/>
    </xf>
    <xf numFmtId="0" fontId="74" fillId="69" borderId="25" xfId="0" applyFont="1" applyFill="1" applyBorder="1" applyAlignment="1">
      <alignment horizontal="center"/>
    </xf>
    <xf numFmtId="0" fontId="74" fillId="69" borderId="20" xfId="0" applyFont="1" applyFill="1" applyBorder="1" applyAlignment="1">
      <alignment horizontal="center"/>
    </xf>
    <xf numFmtId="0" fontId="74" fillId="0" borderId="0" xfId="0" applyFont="1" applyAlignment="1">
      <alignment horizontal="right"/>
    </xf>
    <xf numFmtId="0" fontId="121" fillId="0" borderId="0" xfId="0" applyFont="1" applyAlignment="1">
      <alignment horizontal="left" shrinkToFit="1"/>
    </xf>
    <xf numFmtId="3" fontId="71" fillId="0" borderId="19" xfId="0" applyNumberFormat="1" applyFont="1" applyBorder="1" applyAlignment="1">
      <alignment horizontal="center"/>
    </xf>
    <xf numFmtId="0" fontId="71" fillId="0" borderId="19" xfId="0" applyFont="1" applyBorder="1" applyAlignment="1">
      <alignment horizontal="center"/>
    </xf>
    <xf numFmtId="0" fontId="114" fillId="56" borderId="11" xfId="0" applyFont="1" applyFill="1" applyBorder="1" applyAlignment="1">
      <alignment horizontal="center" vertical="center"/>
    </xf>
    <xf numFmtId="0" fontId="114" fillId="56" borderId="12" xfId="0" applyFont="1" applyFill="1" applyBorder="1" applyAlignment="1">
      <alignment horizontal="center" vertical="center"/>
    </xf>
    <xf numFmtId="0" fontId="114" fillId="56" borderId="13" xfId="0" applyFont="1" applyFill="1" applyBorder="1" applyAlignment="1">
      <alignment horizontal="center" vertical="center"/>
    </xf>
    <xf numFmtId="0" fontId="114" fillId="56" borderId="14" xfId="0" applyFont="1" applyFill="1" applyBorder="1" applyAlignment="1">
      <alignment horizontal="center" vertical="center"/>
    </xf>
    <xf numFmtId="0" fontId="114" fillId="56" borderId="0" xfId="0" applyFont="1" applyFill="1" applyAlignment="1">
      <alignment horizontal="center" vertical="center"/>
    </xf>
    <xf numFmtId="0" fontId="114" fillId="56" borderId="10" xfId="0" applyFont="1" applyFill="1" applyBorder="1" applyAlignment="1">
      <alignment horizontal="center" vertical="center"/>
    </xf>
    <xf numFmtId="0" fontId="70" fillId="0" borderId="14" xfId="0" applyFont="1" applyBorder="1" applyAlignment="1">
      <alignment horizontal="center" vertical="center" wrapText="1"/>
    </xf>
    <xf numFmtId="0" fontId="70" fillId="0" borderId="0" xfId="0" applyFont="1" applyAlignment="1">
      <alignment horizontal="center" vertical="center" wrapText="1"/>
    </xf>
    <xf numFmtId="0" fontId="70" fillId="0" borderId="10" xfId="0" applyFont="1" applyBorder="1" applyAlignment="1">
      <alignment horizontal="center" vertical="center" wrapText="1"/>
    </xf>
    <xf numFmtId="0" fontId="119" fillId="0" borderId="76" xfId="220" applyFont="1" applyBorder="1" applyAlignment="1">
      <alignment horizontal="center" vertical="center" wrapText="1"/>
    </xf>
    <xf numFmtId="0" fontId="115" fillId="0" borderId="77" xfId="220" applyFont="1" applyBorder="1" applyAlignment="1">
      <alignment horizontal="center" vertical="center" wrapText="1"/>
    </xf>
    <xf numFmtId="0" fontId="115" fillId="0" borderId="78" xfId="220" applyFont="1" applyBorder="1" applyAlignment="1">
      <alignment horizontal="center" vertical="center" wrapText="1"/>
    </xf>
    <xf numFmtId="0" fontId="70" fillId="56" borderId="11" xfId="0" applyFont="1" applyFill="1" applyBorder="1" applyAlignment="1">
      <alignment horizontal="center"/>
    </xf>
    <xf numFmtId="0" fontId="70" fillId="56" borderId="58" xfId="0" applyFont="1" applyFill="1" applyBorder="1" applyAlignment="1">
      <alignment horizontal="center"/>
    </xf>
    <xf numFmtId="0" fontId="65" fillId="0" borderId="14" xfId="0" applyFont="1" applyBorder="1" applyAlignment="1">
      <alignment horizontal="center" vertical="top" wrapText="1"/>
    </xf>
    <xf numFmtId="0" fontId="65" fillId="0" borderId="60" xfId="0" applyFont="1" applyBorder="1" applyAlignment="1">
      <alignment horizontal="center" vertical="top" wrapText="1"/>
    </xf>
    <xf numFmtId="0" fontId="65" fillId="0" borderId="15" xfId="0" applyFont="1" applyBorder="1" applyAlignment="1">
      <alignment horizontal="center" vertical="top" wrapText="1"/>
    </xf>
    <xf numFmtId="0" fontId="65" fillId="0" borderId="61" xfId="0" applyFont="1" applyBorder="1" applyAlignment="1">
      <alignment horizontal="center" vertical="top" wrapText="1"/>
    </xf>
    <xf numFmtId="0" fontId="62" fillId="0" borderId="0" xfId="0" applyFont="1" applyAlignment="1">
      <alignment horizontal="center"/>
    </xf>
    <xf numFmtId="0" fontId="73" fillId="0" borderId="0" xfId="0" applyFont="1" applyAlignment="1">
      <alignment horizontal="left" vertical="top" wrapText="1"/>
    </xf>
    <xf numFmtId="0" fontId="90" fillId="0" borderId="0" xfId="0" applyFont="1" applyAlignment="1">
      <alignment horizontal="center"/>
    </xf>
    <xf numFmtId="0" fontId="73" fillId="0" borderId="19" xfId="0" applyFont="1" applyBorder="1" applyAlignment="1">
      <alignment horizontal="center" vertical="center"/>
    </xf>
    <xf numFmtId="0" fontId="73" fillId="0" borderId="19" xfId="0" applyFont="1" applyBorder="1" applyAlignment="1">
      <alignment horizontal="center"/>
    </xf>
    <xf numFmtId="3" fontId="83" fillId="0" borderId="0" xfId="0" applyNumberFormat="1" applyFont="1" applyAlignment="1">
      <alignment horizontal="center"/>
    </xf>
    <xf numFmtId="0" fontId="83" fillId="0" borderId="0" xfId="0" applyFont="1" applyAlignment="1">
      <alignment horizontal="center"/>
    </xf>
    <xf numFmtId="0" fontId="88" fillId="0" borderId="0" xfId="0" applyFont="1" applyAlignment="1">
      <alignment horizontal="center" vertical="center" wrapText="1"/>
    </xf>
    <xf numFmtId="0" fontId="62" fillId="0" borderId="0" xfId="101" applyFont="1" applyAlignment="1">
      <alignment horizontal="center"/>
    </xf>
    <xf numFmtId="3" fontId="83" fillId="0" borderId="12" xfId="0" applyNumberFormat="1" applyFont="1" applyBorder="1" applyAlignment="1">
      <alignment horizontal="left"/>
    </xf>
    <xf numFmtId="0" fontId="83" fillId="0" borderId="12" xfId="0" applyFont="1" applyBorder="1" applyAlignment="1">
      <alignment horizontal="left"/>
    </xf>
    <xf numFmtId="0" fontId="83" fillId="0" borderId="0" xfId="0" applyFont="1" applyAlignment="1">
      <alignment horizontal="left"/>
    </xf>
    <xf numFmtId="165" fontId="83" fillId="0" borderId="0" xfId="101" applyNumberFormat="1" applyFont="1" applyAlignment="1">
      <alignment horizontal="center"/>
    </xf>
    <xf numFmtId="0" fontId="62" fillId="0" borderId="14" xfId="185" applyFont="1" applyBorder="1" applyAlignment="1">
      <alignment horizontal="center" vertical="center"/>
    </xf>
    <xf numFmtId="0" fontId="62" fillId="0" borderId="0" xfId="185" applyFont="1" applyAlignment="1">
      <alignment horizontal="center" vertical="center"/>
    </xf>
    <xf numFmtId="0" fontId="62" fillId="0" borderId="10" xfId="185" applyFont="1" applyBorder="1" applyAlignment="1">
      <alignment horizontal="center" vertical="center"/>
    </xf>
    <xf numFmtId="0" fontId="73" fillId="0" borderId="0" xfId="0" applyFont="1" applyAlignment="1">
      <alignment horizontal="left" vertical="center" shrinkToFit="1"/>
    </xf>
    <xf numFmtId="2" fontId="71" fillId="0" borderId="25" xfId="0" applyNumberFormat="1" applyFont="1" applyBorder="1" applyAlignment="1">
      <alignment horizontal="center" vertical="center"/>
    </xf>
    <xf numFmtId="0" fontId="71" fillId="0" borderId="25" xfId="0" applyFont="1" applyBorder="1" applyAlignment="1">
      <alignment horizontal="center" vertical="center"/>
    </xf>
    <xf numFmtId="0" fontId="102" fillId="0" borderId="18" xfId="0" applyFont="1" applyBorder="1" applyAlignment="1">
      <alignment horizontal="left" vertical="center" shrinkToFit="1"/>
    </xf>
    <xf numFmtId="0" fontId="73" fillId="1" borderId="19" xfId="0" applyFont="1" applyFill="1" applyBorder="1" applyAlignment="1">
      <alignment horizontal="center" vertical="center"/>
    </xf>
    <xf numFmtId="0" fontId="71" fillId="0" borderId="19" xfId="0" applyFont="1" applyBorder="1" applyAlignment="1">
      <alignment horizontal="center" vertical="center"/>
    </xf>
    <xf numFmtId="14" fontId="83" fillId="0" borderId="12" xfId="0" applyNumberFormat="1" applyFont="1" applyBorder="1" applyAlignment="1" applyProtection="1">
      <alignment horizontal="center"/>
      <protection locked="0"/>
    </xf>
    <xf numFmtId="14" fontId="83" fillId="0" borderId="0" xfId="0" applyNumberFormat="1" applyFont="1" applyAlignment="1" applyProtection="1">
      <alignment horizontal="center"/>
      <protection locked="0"/>
    </xf>
    <xf numFmtId="0" fontId="102" fillId="0" borderId="0" xfId="0" applyFont="1" applyAlignment="1">
      <alignment horizontal="left" vertical="center" shrinkToFit="1"/>
    </xf>
    <xf numFmtId="2" fontId="71" fillId="0" borderId="19" xfId="0" applyNumberFormat="1" applyFont="1" applyBorder="1" applyAlignment="1">
      <alignment horizontal="center" vertical="center"/>
    </xf>
    <xf numFmtId="0" fontId="73" fillId="1" borderId="25" xfId="0" applyFont="1" applyFill="1" applyBorder="1" applyAlignment="1">
      <alignment horizontal="center" vertical="center"/>
    </xf>
    <xf numFmtId="0" fontId="102" fillId="0" borderId="0" xfId="0" applyFont="1" applyAlignment="1">
      <alignment horizontal="left" vertical="center" wrapText="1" shrinkToFit="1"/>
    </xf>
    <xf numFmtId="0" fontId="73" fillId="1" borderId="49" xfId="0" applyFont="1" applyFill="1" applyBorder="1" applyAlignment="1">
      <alignment horizontal="center" vertical="center"/>
    </xf>
    <xf numFmtId="0" fontId="71" fillId="0" borderId="49" xfId="0" applyFont="1" applyBorder="1" applyAlignment="1">
      <alignment horizontal="center" vertical="center"/>
    </xf>
    <xf numFmtId="4" fontId="71" fillId="0" borderId="15" xfId="0" applyNumberFormat="1" applyFont="1" applyBorder="1" applyAlignment="1">
      <alignment horizontal="center" vertical="center"/>
    </xf>
    <xf numFmtId="4" fontId="71" fillId="0" borderId="61" xfId="0" applyNumberFormat="1" applyFont="1" applyBorder="1" applyAlignment="1">
      <alignment horizontal="center" vertical="center"/>
    </xf>
    <xf numFmtId="0" fontId="73" fillId="56" borderId="0" xfId="0" applyFont="1" applyFill="1" applyAlignment="1">
      <alignment horizontal="left" vertical="center" shrinkToFit="1"/>
    </xf>
    <xf numFmtId="0" fontId="62" fillId="0" borderId="24" xfId="185" applyFont="1" applyBorder="1" applyAlignment="1">
      <alignment horizontal="center" wrapText="1"/>
    </xf>
    <xf numFmtId="0" fontId="62" fillId="0" borderId="27" xfId="185" applyFont="1" applyBorder="1" applyAlignment="1">
      <alignment horizontal="center" wrapText="1"/>
    </xf>
    <xf numFmtId="0" fontId="73" fillId="1" borderId="19" xfId="185" applyFont="1" applyFill="1" applyBorder="1" applyAlignment="1">
      <alignment horizontal="center" vertical="center"/>
    </xf>
    <xf numFmtId="168" fontId="71" fillId="0" borderId="19" xfId="185" applyNumberFormat="1" applyFont="1" applyBorder="1" applyAlignment="1">
      <alignment horizontal="center" vertical="center"/>
    </xf>
    <xf numFmtId="0" fontId="73" fillId="0" borderId="0" xfId="0" applyFont="1" applyAlignment="1">
      <alignment horizontal="left" vertical="center" wrapText="1" shrinkToFit="1"/>
    </xf>
    <xf numFmtId="0" fontId="118" fillId="0" borderId="0" xfId="0" applyFont="1" applyAlignment="1">
      <alignment horizontal="left" vertical="top" wrapText="1"/>
    </xf>
    <xf numFmtId="0" fontId="62" fillId="0" borderId="0" xfId="185" applyFont="1" applyAlignment="1">
      <alignment horizontal="right"/>
    </xf>
    <xf numFmtId="3" fontId="83" fillId="0" borderId="13" xfId="0" applyNumberFormat="1" applyFont="1" applyBorder="1" applyAlignment="1">
      <alignment horizontal="left"/>
    </xf>
    <xf numFmtId="0" fontId="83" fillId="0" borderId="10" xfId="0" applyFont="1" applyBorder="1" applyAlignment="1">
      <alignment horizontal="left"/>
    </xf>
    <xf numFmtId="0" fontId="73" fillId="0" borderId="0" xfId="0" applyFont="1" applyAlignment="1">
      <alignment vertical="center" shrinkToFit="1"/>
    </xf>
    <xf numFmtId="0" fontId="73" fillId="0" borderId="0" xfId="0" quotePrefix="1" applyFont="1" applyAlignment="1">
      <alignment horizontal="left" vertical="center" wrapText="1" shrinkToFit="1"/>
    </xf>
    <xf numFmtId="0" fontId="83" fillId="0" borderId="13" xfId="0" applyFont="1" applyBorder="1" applyAlignment="1">
      <alignment horizontal="left"/>
    </xf>
    <xf numFmtId="0" fontId="75" fillId="0" borderId="0" xfId="0" applyFont="1" applyAlignment="1">
      <alignment horizontal="center" vertical="center" wrapText="1" shrinkToFit="1"/>
    </xf>
    <xf numFmtId="0" fontId="75" fillId="0" borderId="0" xfId="0" applyFont="1" applyAlignment="1">
      <alignment horizontal="center" vertical="center" shrinkToFit="1"/>
    </xf>
    <xf numFmtId="3" fontId="83" fillId="0" borderId="0" xfId="0" applyNumberFormat="1" applyFont="1" applyAlignment="1">
      <alignment horizontal="left"/>
    </xf>
    <xf numFmtId="0" fontId="62" fillId="0" borderId="0" xfId="184" applyFont="1" applyAlignment="1">
      <alignment horizontal="center" shrinkToFit="1"/>
    </xf>
    <xf numFmtId="0" fontId="107" fillId="0" borderId="0" xfId="184" applyFont="1" applyAlignment="1">
      <alignment horizontal="center"/>
    </xf>
    <xf numFmtId="0" fontId="70" fillId="56" borderId="12" xfId="0" applyFont="1" applyFill="1" applyBorder="1" applyAlignment="1">
      <alignment horizontal="center"/>
    </xf>
    <xf numFmtId="0" fontId="70" fillId="56" borderId="14" xfId="0" applyFont="1" applyFill="1" applyBorder="1" applyAlignment="1">
      <alignment horizontal="center"/>
    </xf>
    <xf numFmtId="0" fontId="70" fillId="56" borderId="0" xfId="0" applyFont="1" applyFill="1" applyAlignment="1">
      <alignment horizontal="center"/>
    </xf>
    <xf numFmtId="0" fontId="65" fillId="0" borderId="0" xfId="0" applyFont="1" applyAlignment="1">
      <alignment horizontal="center" vertical="top" wrapText="1"/>
    </xf>
    <xf numFmtId="0" fontId="65" fillId="0" borderId="16" xfId="0" applyFont="1" applyBorder="1" applyAlignment="1">
      <alignment horizontal="center" vertical="top" wrapText="1"/>
    </xf>
    <xf numFmtId="0" fontId="71" fillId="0" borderId="0" xfId="0" applyFont="1" applyAlignment="1">
      <alignment horizontal="center" vertical="center" wrapText="1"/>
    </xf>
  </cellXfs>
  <cellStyles count="252">
    <cellStyle name="20% - Accent1" xfId="1" builtinId="30" customBuiltin="1"/>
    <cellStyle name="20% - Accent1 2" xfId="2" xr:uid="{00000000-0005-0000-0000-000001000000}"/>
    <cellStyle name="20% - Accent1 2 2" xfId="145" xr:uid="{00000000-0005-0000-0000-000002000000}"/>
    <cellStyle name="20% - Accent1 2 2 2" xfId="221" xr:uid="{66EDF774-A340-46CF-94F7-6BEEEE28236B}"/>
    <cellStyle name="20% - Accent1 2 3" xfId="222" xr:uid="{C2FE61FD-A810-4828-8B5B-F3B961E004FF}"/>
    <cellStyle name="20% - Accent2" xfId="3" builtinId="34" customBuiltin="1"/>
    <cellStyle name="20% - Accent2 2" xfId="4" xr:uid="{00000000-0005-0000-0000-000004000000}"/>
    <cellStyle name="20% - Accent2 2 2" xfId="146" xr:uid="{00000000-0005-0000-0000-000005000000}"/>
    <cellStyle name="20% - Accent2 2 2 2" xfId="223" xr:uid="{25624F12-7005-4467-85EB-1247540099F1}"/>
    <cellStyle name="20% - Accent2 2 3" xfId="224" xr:uid="{9142A630-E589-43D0-8798-2A45443EAC8A}"/>
    <cellStyle name="20% - Accent3" xfId="5" builtinId="38" customBuiltin="1"/>
    <cellStyle name="20% - Accent3 2" xfId="6" xr:uid="{00000000-0005-0000-0000-000007000000}"/>
    <cellStyle name="20% - Accent3 2 2" xfId="147" xr:uid="{00000000-0005-0000-0000-000008000000}"/>
    <cellStyle name="20% - Accent3 2 2 2" xfId="225" xr:uid="{F0D1615E-7C31-4FCB-8581-EF0D5ECBD307}"/>
    <cellStyle name="20% - Accent3 2 3" xfId="226" xr:uid="{4DC1E476-E688-4832-942C-FB0D2B4597E1}"/>
    <cellStyle name="20% - Accent4" xfId="7" builtinId="42" customBuiltin="1"/>
    <cellStyle name="20% - Accent4 2" xfId="8" xr:uid="{00000000-0005-0000-0000-00000A000000}"/>
    <cellStyle name="20% - Accent4 2 2" xfId="148" xr:uid="{00000000-0005-0000-0000-00000B000000}"/>
    <cellStyle name="20% - Accent4 2 2 2" xfId="227" xr:uid="{923614E0-ED2A-42FB-8BD0-4777AC6543E7}"/>
    <cellStyle name="20% - Accent4 2 3" xfId="228" xr:uid="{18DA5626-4EE7-40D4-95CE-9331A327207A}"/>
    <cellStyle name="20% - Accent5" xfId="9" builtinId="46" customBuiltin="1"/>
    <cellStyle name="20% - Accent5 2" xfId="10" xr:uid="{00000000-0005-0000-0000-00000D000000}"/>
    <cellStyle name="20% - Accent5 2 2" xfId="149" xr:uid="{00000000-0005-0000-0000-00000E000000}"/>
    <cellStyle name="20% - Accent5 2 2 2" xfId="229" xr:uid="{018E6368-C4DD-4235-87D5-C288BC32202E}"/>
    <cellStyle name="20% - Accent5 2 3" xfId="230" xr:uid="{9948D6FE-7394-4961-A976-DC50220ADF58}"/>
    <cellStyle name="20% - Accent6" xfId="11" builtinId="50" customBuiltin="1"/>
    <cellStyle name="20% - Accent6 2" xfId="12" xr:uid="{00000000-0005-0000-0000-000010000000}"/>
    <cellStyle name="20% - Accent6 2 2" xfId="150" xr:uid="{00000000-0005-0000-0000-000011000000}"/>
    <cellStyle name="20% - Accent6 2 2 2" xfId="231" xr:uid="{840E0D6A-D183-4D99-A500-2A424A846E64}"/>
    <cellStyle name="20% - Accent6 2 3" xfId="232" xr:uid="{C09B1912-A338-4AFF-8238-E73B82B61381}"/>
    <cellStyle name="40% - Accent1" xfId="13" builtinId="31" customBuiltin="1"/>
    <cellStyle name="40% - Accent1 2" xfId="14" xr:uid="{00000000-0005-0000-0000-000013000000}"/>
    <cellStyle name="40% - Accent1 2 2" xfId="151" xr:uid="{00000000-0005-0000-0000-000014000000}"/>
    <cellStyle name="40% - Accent1 2 2 2" xfId="233" xr:uid="{88C52B75-9D17-4FE8-AAC4-D81BB130BC18}"/>
    <cellStyle name="40% - Accent1 2 3" xfId="234" xr:uid="{21FEF90D-7631-42B8-AB8E-940D4C8B551D}"/>
    <cellStyle name="40% - Accent2" xfId="15" builtinId="35" customBuiltin="1"/>
    <cellStyle name="40% - Accent2 2" xfId="16" xr:uid="{00000000-0005-0000-0000-000016000000}"/>
    <cellStyle name="40% - Accent2 2 2" xfId="152" xr:uid="{00000000-0005-0000-0000-000017000000}"/>
    <cellStyle name="40% - Accent2 2 2 2" xfId="235" xr:uid="{B7F2DD64-8FDB-4E4E-95F0-A9A88354FAD2}"/>
    <cellStyle name="40% - Accent2 2 3" xfId="236" xr:uid="{7120B75C-821F-4AD2-9C94-6F3744025B04}"/>
    <cellStyle name="40% - Accent3" xfId="17" builtinId="39" customBuiltin="1"/>
    <cellStyle name="40% - Accent3 2" xfId="18" xr:uid="{00000000-0005-0000-0000-000019000000}"/>
    <cellStyle name="40% - Accent3 2 2" xfId="153" xr:uid="{00000000-0005-0000-0000-00001A000000}"/>
    <cellStyle name="40% - Accent3 2 2 2" xfId="237" xr:uid="{F8A5B779-4C23-4C12-8CBC-A383D8A16FB4}"/>
    <cellStyle name="40% - Accent3 2 3" xfId="238" xr:uid="{219D1BC6-6330-4960-B044-3F6EAD86436D}"/>
    <cellStyle name="40% - Accent4" xfId="19" builtinId="43" customBuiltin="1"/>
    <cellStyle name="40% - Accent4 2" xfId="20" xr:uid="{00000000-0005-0000-0000-00001C000000}"/>
    <cellStyle name="40% - Accent4 2 2" xfId="154" xr:uid="{00000000-0005-0000-0000-00001D000000}"/>
    <cellStyle name="40% - Accent4 2 2 2" xfId="239" xr:uid="{F7CEDAC2-A8B2-451B-812F-0A323BB66C71}"/>
    <cellStyle name="40% - Accent4 2 3" xfId="240" xr:uid="{A0FA348B-4ACF-4F88-B142-55E46EB2F454}"/>
    <cellStyle name="40% - Accent5" xfId="21" builtinId="47" customBuiltin="1"/>
    <cellStyle name="40% - Accent5 2" xfId="22" xr:uid="{00000000-0005-0000-0000-00001F000000}"/>
    <cellStyle name="40% - Accent5 2 2" xfId="155" xr:uid="{00000000-0005-0000-0000-000020000000}"/>
    <cellStyle name="40% - Accent5 2 2 2" xfId="241" xr:uid="{62EF4D59-E456-46C3-A323-CA13F42CE803}"/>
    <cellStyle name="40% - Accent5 2 3" xfId="242" xr:uid="{071EE3F2-80C6-46BE-B736-FE88E078CE64}"/>
    <cellStyle name="40% - Accent6" xfId="23" builtinId="51" customBuiltin="1"/>
    <cellStyle name="40% - Accent6 2" xfId="24" xr:uid="{00000000-0005-0000-0000-000022000000}"/>
    <cellStyle name="40% - Accent6 2 2" xfId="156" xr:uid="{00000000-0005-0000-0000-000023000000}"/>
    <cellStyle name="40% - Accent6 2 2 2" xfId="243" xr:uid="{D7ED6A83-5111-4DAB-A9B6-4CBF7788B332}"/>
    <cellStyle name="40% - Accent6 2 3" xfId="244" xr:uid="{CCD8D2A4-D3F0-4536-BF97-69192E141435}"/>
    <cellStyle name="60% - Accent1" xfId="25" builtinId="32" customBuiltin="1"/>
    <cellStyle name="60% - Accent1 2" xfId="26" xr:uid="{00000000-0005-0000-0000-000025000000}"/>
    <cellStyle name="60% - Accent2" xfId="27" builtinId="36" customBuiltin="1"/>
    <cellStyle name="60% - Accent2 2" xfId="28" xr:uid="{00000000-0005-0000-0000-000027000000}"/>
    <cellStyle name="60% - Accent3" xfId="29" builtinId="40" customBuiltin="1"/>
    <cellStyle name="60% - Accent3 2" xfId="30" xr:uid="{00000000-0005-0000-0000-000029000000}"/>
    <cellStyle name="60% - Accent4" xfId="31" builtinId="44" customBuiltin="1"/>
    <cellStyle name="60% - Accent4 2" xfId="32" xr:uid="{00000000-0005-0000-0000-00002B000000}"/>
    <cellStyle name="60% - Accent5" xfId="33" builtinId="48" customBuiltin="1"/>
    <cellStyle name="60% - Accent5 2" xfId="34" xr:uid="{00000000-0005-0000-0000-00002D000000}"/>
    <cellStyle name="60% - Accent6" xfId="35" builtinId="52" customBuiltin="1"/>
    <cellStyle name="60% - Accent6 2" xfId="36" xr:uid="{00000000-0005-0000-0000-00002F000000}"/>
    <cellStyle name="Accent1" xfId="37" builtinId="29" customBuiltin="1"/>
    <cellStyle name="Accent1 2" xfId="38" xr:uid="{00000000-0005-0000-0000-000031000000}"/>
    <cellStyle name="Accent2" xfId="39" builtinId="33" customBuiltin="1"/>
    <cellStyle name="Accent2 2" xfId="40" xr:uid="{00000000-0005-0000-0000-000033000000}"/>
    <cellStyle name="Accent3" xfId="41" builtinId="37" customBuiltin="1"/>
    <cellStyle name="Accent3 2" xfId="42" xr:uid="{00000000-0005-0000-0000-000035000000}"/>
    <cellStyle name="Accent4" xfId="43" builtinId="41" customBuiltin="1"/>
    <cellStyle name="Accent4 2" xfId="44" xr:uid="{00000000-0005-0000-0000-000037000000}"/>
    <cellStyle name="Accent5" xfId="45" builtinId="45" customBuiltin="1"/>
    <cellStyle name="Accent5 2" xfId="46" xr:uid="{00000000-0005-0000-0000-000039000000}"/>
    <cellStyle name="Accent6" xfId="47" builtinId="49" customBuiltin="1"/>
    <cellStyle name="Accent6 2" xfId="48" xr:uid="{00000000-0005-0000-0000-00003B000000}"/>
    <cellStyle name="Bad" xfId="49" builtinId="27" customBuiltin="1"/>
    <cellStyle name="Bad 2" xfId="50" xr:uid="{00000000-0005-0000-0000-00003D000000}"/>
    <cellStyle name="Calculation" xfId="51" builtinId="22" customBuiltin="1"/>
    <cellStyle name="Calculation 2" xfId="52" xr:uid="{00000000-0005-0000-0000-00003F000000}"/>
    <cellStyle name="Check Cell" xfId="53" builtinId="23" customBuiltin="1"/>
    <cellStyle name="Check Cell 2" xfId="54" xr:uid="{00000000-0005-0000-0000-000041000000}"/>
    <cellStyle name="Comma 10" xfId="55" xr:uid="{00000000-0005-0000-0000-000042000000}"/>
    <cellStyle name="Comma 10 2" xfId="56" xr:uid="{00000000-0005-0000-0000-000043000000}"/>
    <cellStyle name="Comma 10 2 2" xfId="158" xr:uid="{00000000-0005-0000-0000-000044000000}"/>
    <cellStyle name="Comma 10 3" xfId="157" xr:uid="{00000000-0005-0000-0000-000045000000}"/>
    <cellStyle name="Comma 11" xfId="57" xr:uid="{00000000-0005-0000-0000-000046000000}"/>
    <cellStyle name="Comma 11 2" xfId="159" xr:uid="{00000000-0005-0000-0000-000047000000}"/>
    <cellStyle name="Comma 2" xfId="58" xr:uid="{00000000-0005-0000-0000-000048000000}"/>
    <cellStyle name="Comma 2 2" xfId="160" xr:uid="{00000000-0005-0000-0000-000049000000}"/>
    <cellStyle name="Comma 3" xfId="59" xr:uid="{00000000-0005-0000-0000-00004A000000}"/>
    <cellStyle name="Comma 3 2" xfId="60" xr:uid="{00000000-0005-0000-0000-00004B000000}"/>
    <cellStyle name="Comma 3 2 2" xfId="162" xr:uid="{00000000-0005-0000-0000-00004C000000}"/>
    <cellStyle name="Comma 3 3" xfId="161" xr:uid="{00000000-0005-0000-0000-00004D000000}"/>
    <cellStyle name="Comma 4" xfId="61" xr:uid="{00000000-0005-0000-0000-00004E000000}"/>
    <cellStyle name="Comma 4 2" xfId="62" xr:uid="{00000000-0005-0000-0000-00004F000000}"/>
    <cellStyle name="Comma 4 2 2" xfId="164" xr:uid="{00000000-0005-0000-0000-000050000000}"/>
    <cellStyle name="Comma 4 3" xfId="163" xr:uid="{00000000-0005-0000-0000-000051000000}"/>
    <cellStyle name="Comma 5" xfId="63" xr:uid="{00000000-0005-0000-0000-000052000000}"/>
    <cellStyle name="Comma 5 2" xfId="64" xr:uid="{00000000-0005-0000-0000-000053000000}"/>
    <cellStyle name="Comma 5 2 2" xfId="166" xr:uid="{00000000-0005-0000-0000-000054000000}"/>
    <cellStyle name="Comma 5 3" xfId="165" xr:uid="{00000000-0005-0000-0000-000055000000}"/>
    <cellStyle name="Comma 6" xfId="65" xr:uid="{00000000-0005-0000-0000-000056000000}"/>
    <cellStyle name="Comma 6 2" xfId="66" xr:uid="{00000000-0005-0000-0000-000057000000}"/>
    <cellStyle name="Comma 6 2 2" xfId="168" xr:uid="{00000000-0005-0000-0000-000058000000}"/>
    <cellStyle name="Comma 6 3" xfId="167" xr:uid="{00000000-0005-0000-0000-000059000000}"/>
    <cellStyle name="Comma 7" xfId="67" xr:uid="{00000000-0005-0000-0000-00005A000000}"/>
    <cellStyle name="Comma 7 2" xfId="68" xr:uid="{00000000-0005-0000-0000-00005B000000}"/>
    <cellStyle name="Comma 7 2 2" xfId="170" xr:uid="{00000000-0005-0000-0000-00005C000000}"/>
    <cellStyle name="Comma 7 3" xfId="69" xr:uid="{00000000-0005-0000-0000-00005D000000}"/>
    <cellStyle name="Comma 7 3 2" xfId="171" xr:uid="{00000000-0005-0000-0000-00005E000000}"/>
    <cellStyle name="Comma 7 4" xfId="169" xr:uid="{00000000-0005-0000-0000-00005F000000}"/>
    <cellStyle name="Comma 8" xfId="70" xr:uid="{00000000-0005-0000-0000-000060000000}"/>
    <cellStyle name="Comma 8 2" xfId="71" xr:uid="{00000000-0005-0000-0000-000061000000}"/>
    <cellStyle name="Comma 8 2 2" xfId="173" xr:uid="{00000000-0005-0000-0000-000062000000}"/>
    <cellStyle name="Comma 8 3" xfId="72" xr:uid="{00000000-0005-0000-0000-000063000000}"/>
    <cellStyle name="Comma 8 3 2" xfId="174" xr:uid="{00000000-0005-0000-0000-000064000000}"/>
    <cellStyle name="Comma 8 4" xfId="172" xr:uid="{00000000-0005-0000-0000-000065000000}"/>
    <cellStyle name="Comma 9" xfId="73" xr:uid="{00000000-0005-0000-0000-000066000000}"/>
    <cellStyle name="Comma 9 2" xfId="175" xr:uid="{00000000-0005-0000-0000-000067000000}"/>
    <cellStyle name="Currency" xfId="218" builtinId="4"/>
    <cellStyle name="Currency 2" xfId="74" xr:uid="{00000000-0005-0000-0000-000068000000}"/>
    <cellStyle name="Currency 2 2" xfId="176" xr:uid="{00000000-0005-0000-0000-000069000000}"/>
    <cellStyle name="Currency 3" xfId="75" xr:uid="{00000000-0005-0000-0000-00006A000000}"/>
    <cellStyle name="Currency 3 2" xfId="76" xr:uid="{00000000-0005-0000-0000-00006B000000}"/>
    <cellStyle name="Currency 3 2 2" xfId="178" xr:uid="{00000000-0005-0000-0000-00006C000000}"/>
    <cellStyle name="Currency 3 3" xfId="177" xr:uid="{00000000-0005-0000-0000-00006D000000}"/>
    <cellStyle name="Currency 4" xfId="77" xr:uid="{00000000-0005-0000-0000-00006E000000}"/>
    <cellStyle name="Currency 4 2" xfId="78" xr:uid="{00000000-0005-0000-0000-00006F000000}"/>
    <cellStyle name="Currency 4 2 2" xfId="180" xr:uid="{00000000-0005-0000-0000-000070000000}"/>
    <cellStyle name="Currency 4 3" xfId="79" xr:uid="{00000000-0005-0000-0000-000071000000}"/>
    <cellStyle name="Currency 4 3 2" xfId="181" xr:uid="{00000000-0005-0000-0000-000072000000}"/>
    <cellStyle name="Currency 4 4" xfId="179" xr:uid="{00000000-0005-0000-0000-000073000000}"/>
    <cellStyle name="Currency 5" xfId="80" xr:uid="{00000000-0005-0000-0000-000074000000}"/>
    <cellStyle name="Currency 5 2" xfId="81" xr:uid="{00000000-0005-0000-0000-000075000000}"/>
    <cellStyle name="Currency 5 2 2" xfId="183" xr:uid="{00000000-0005-0000-0000-000076000000}"/>
    <cellStyle name="Currency 5 3" xfId="182" xr:uid="{00000000-0005-0000-0000-000077000000}"/>
    <cellStyle name="Explanatory Text" xfId="82" builtinId="53" customBuiltin="1"/>
    <cellStyle name="Explanatory Text 2" xfId="83" xr:uid="{00000000-0005-0000-0000-000079000000}"/>
    <cellStyle name="Good" xfId="84" builtinId="26" customBuiltin="1"/>
    <cellStyle name="Good 2" xfId="85" xr:uid="{00000000-0005-0000-0000-00007B000000}"/>
    <cellStyle name="Heading 1" xfId="86" builtinId="16" customBuiltin="1"/>
    <cellStyle name="Heading 1 2" xfId="87" xr:uid="{00000000-0005-0000-0000-00007D000000}"/>
    <cellStyle name="Heading 2" xfId="88" builtinId="17" customBuiltin="1"/>
    <cellStyle name="Heading 2 2" xfId="89" xr:uid="{00000000-0005-0000-0000-00007F000000}"/>
    <cellStyle name="Heading 3" xfId="90" builtinId="18" customBuiltin="1"/>
    <cellStyle name="Heading 3 2" xfId="91" xr:uid="{00000000-0005-0000-0000-000081000000}"/>
    <cellStyle name="Heading 4" xfId="92" builtinId="19" customBuiltin="1"/>
    <cellStyle name="Heading 4 2" xfId="93" xr:uid="{00000000-0005-0000-0000-000083000000}"/>
    <cellStyle name="Hyperlink" xfId="220" builtinId="8"/>
    <cellStyle name="Input" xfId="94" builtinId="20" customBuiltin="1"/>
    <cellStyle name="Input 2" xfId="95" xr:uid="{00000000-0005-0000-0000-000086000000}"/>
    <cellStyle name="Linked Cell" xfId="96" builtinId="24" customBuiltin="1"/>
    <cellStyle name="Linked Cell 2" xfId="97" xr:uid="{00000000-0005-0000-0000-000088000000}"/>
    <cellStyle name="Neutral" xfId="98" builtinId="28" customBuiltin="1"/>
    <cellStyle name="Neutral 2" xfId="99" xr:uid="{00000000-0005-0000-0000-00008A000000}"/>
    <cellStyle name="Normal" xfId="0" builtinId="0"/>
    <cellStyle name="Normal 10" xfId="100" xr:uid="{00000000-0005-0000-0000-00008C000000}"/>
    <cellStyle name="Normal 10 2" xfId="184" xr:uid="{00000000-0005-0000-0000-00008D000000}"/>
    <cellStyle name="Normal 11" xfId="144" xr:uid="{00000000-0005-0000-0000-00008E000000}"/>
    <cellStyle name="Normal 12" xfId="217" xr:uid="{F9C93148-A371-4703-90D1-67AE7D659803}"/>
    <cellStyle name="Normal 12 2" xfId="245" xr:uid="{431796BB-EA0F-4349-B217-A0A43D785221}"/>
    <cellStyle name="Normal 2" xfId="101" xr:uid="{00000000-0005-0000-0000-00008F000000}"/>
    <cellStyle name="Normal 2 2" xfId="102" xr:uid="{00000000-0005-0000-0000-000090000000}"/>
    <cellStyle name="Normal 2 3" xfId="103" xr:uid="{00000000-0005-0000-0000-000091000000}"/>
    <cellStyle name="Normal 2 4" xfId="185" xr:uid="{00000000-0005-0000-0000-000092000000}"/>
    <cellStyle name="Normal 3" xfId="104" xr:uid="{00000000-0005-0000-0000-000093000000}"/>
    <cellStyle name="Normal 3 2" xfId="105" xr:uid="{00000000-0005-0000-0000-000094000000}"/>
    <cellStyle name="Normal 3 2 2" xfId="187" xr:uid="{00000000-0005-0000-0000-000095000000}"/>
    <cellStyle name="Normal 3 3" xfId="106" xr:uid="{00000000-0005-0000-0000-000096000000}"/>
    <cellStyle name="Normal 3 3 2" xfId="188" xr:uid="{00000000-0005-0000-0000-000097000000}"/>
    <cellStyle name="Normal 3 4" xfId="186" xr:uid="{00000000-0005-0000-0000-000098000000}"/>
    <cellStyle name="Normal 4" xfId="107" xr:uid="{00000000-0005-0000-0000-000099000000}"/>
    <cellStyle name="Normal 4 2" xfId="108" xr:uid="{00000000-0005-0000-0000-00009A000000}"/>
    <cellStyle name="Normal 4 2 2" xfId="190" xr:uid="{00000000-0005-0000-0000-00009B000000}"/>
    <cellStyle name="Normal 4 3" xfId="109" xr:uid="{00000000-0005-0000-0000-00009C000000}"/>
    <cellStyle name="Normal 4 3 2" xfId="191" xr:uid="{00000000-0005-0000-0000-00009D000000}"/>
    <cellStyle name="Normal 4 3 2 2" xfId="246" xr:uid="{967BD935-F175-4195-8838-3181B29B0E96}"/>
    <cellStyle name="Normal 4 3 3" xfId="247" xr:uid="{04D72DD3-FF98-49CA-B65B-AFA59EE3CCD6}"/>
    <cellStyle name="Normal 4 4" xfId="189" xr:uid="{00000000-0005-0000-0000-00009E000000}"/>
    <cellStyle name="Normal 4 4 2" xfId="248" xr:uid="{6E452D1D-1554-4361-81C4-EE4B5F87A9A1}"/>
    <cellStyle name="Normal 4 5" xfId="249" xr:uid="{50B1128D-3B89-4602-94E1-D3C1EA60F81A}"/>
    <cellStyle name="Normal 5" xfId="110" xr:uid="{00000000-0005-0000-0000-00009F000000}"/>
    <cellStyle name="Normal 5 2" xfId="111" xr:uid="{00000000-0005-0000-0000-0000A0000000}"/>
    <cellStyle name="Normal 5 2 2" xfId="193" xr:uid="{00000000-0005-0000-0000-0000A1000000}"/>
    <cellStyle name="Normal 5 3" xfId="112" xr:uid="{00000000-0005-0000-0000-0000A2000000}"/>
    <cellStyle name="Normal 5 3 2" xfId="194" xr:uid="{00000000-0005-0000-0000-0000A3000000}"/>
    <cellStyle name="Normal 5 4" xfId="192" xr:uid="{00000000-0005-0000-0000-0000A4000000}"/>
    <cellStyle name="Normal 6" xfId="113" xr:uid="{00000000-0005-0000-0000-0000A5000000}"/>
    <cellStyle name="Normal 6 2" xfId="195" xr:uid="{00000000-0005-0000-0000-0000A6000000}"/>
    <cellStyle name="Normal 7" xfId="114" xr:uid="{00000000-0005-0000-0000-0000A7000000}"/>
    <cellStyle name="Normal 7 2" xfId="196" xr:uid="{00000000-0005-0000-0000-0000A8000000}"/>
    <cellStyle name="Normal 8" xfId="115" xr:uid="{00000000-0005-0000-0000-0000A9000000}"/>
    <cellStyle name="Normal 8 2" xfId="197" xr:uid="{00000000-0005-0000-0000-0000AA000000}"/>
    <cellStyle name="Normal 9" xfId="116" xr:uid="{00000000-0005-0000-0000-0000AB000000}"/>
    <cellStyle name="Normal 9 2" xfId="117" xr:uid="{00000000-0005-0000-0000-0000AC000000}"/>
    <cellStyle name="Normal 9 2 2" xfId="199" xr:uid="{00000000-0005-0000-0000-0000AD000000}"/>
    <cellStyle name="Normal 9 3" xfId="118" xr:uid="{00000000-0005-0000-0000-0000AE000000}"/>
    <cellStyle name="Normal 9 3 2" xfId="200" xr:uid="{00000000-0005-0000-0000-0000AF000000}"/>
    <cellStyle name="Normal 9 4" xfId="198" xr:uid="{00000000-0005-0000-0000-0000B0000000}"/>
    <cellStyle name="Note" xfId="119" builtinId="10" customBuiltin="1"/>
    <cellStyle name="Note 2" xfId="120" xr:uid="{00000000-0005-0000-0000-0000B2000000}"/>
    <cellStyle name="Note 2 2" xfId="201" xr:uid="{00000000-0005-0000-0000-0000B3000000}"/>
    <cellStyle name="Note 3" xfId="121" xr:uid="{00000000-0005-0000-0000-0000B4000000}"/>
    <cellStyle name="Note 3 2" xfId="122" xr:uid="{00000000-0005-0000-0000-0000B5000000}"/>
    <cellStyle name="Note 3 2 2" xfId="203" xr:uid="{00000000-0005-0000-0000-0000B6000000}"/>
    <cellStyle name="Note 3 3" xfId="202" xr:uid="{00000000-0005-0000-0000-0000B7000000}"/>
    <cellStyle name="Note 4" xfId="123" xr:uid="{00000000-0005-0000-0000-0000B8000000}"/>
    <cellStyle name="Note 4 2" xfId="124" xr:uid="{00000000-0005-0000-0000-0000B9000000}"/>
    <cellStyle name="Note 4 2 2" xfId="205" xr:uid="{00000000-0005-0000-0000-0000BA000000}"/>
    <cellStyle name="Note 4 3" xfId="204" xr:uid="{00000000-0005-0000-0000-0000BB000000}"/>
    <cellStyle name="Note 5" xfId="125" xr:uid="{00000000-0005-0000-0000-0000BC000000}"/>
    <cellStyle name="Note 5 2" xfId="126" xr:uid="{00000000-0005-0000-0000-0000BD000000}"/>
    <cellStyle name="Note 5 2 2" xfId="207" xr:uid="{00000000-0005-0000-0000-0000BE000000}"/>
    <cellStyle name="Note 5 3" xfId="127" xr:uid="{00000000-0005-0000-0000-0000BF000000}"/>
    <cellStyle name="Note 5 3 2" xfId="208" xr:uid="{00000000-0005-0000-0000-0000C0000000}"/>
    <cellStyle name="Note 5 4" xfId="128" xr:uid="{00000000-0005-0000-0000-0000C1000000}"/>
    <cellStyle name="Note 5 4 2" xfId="209" xr:uid="{00000000-0005-0000-0000-0000C2000000}"/>
    <cellStyle name="Note 5 5" xfId="206" xr:uid="{00000000-0005-0000-0000-0000C3000000}"/>
    <cellStyle name="Note 5 5 2" xfId="250" xr:uid="{7287F87F-7A7E-45A3-BA8A-8781DDEC0535}"/>
    <cellStyle name="Note 5 6" xfId="251" xr:uid="{F47C8A6B-A515-48ED-8681-541594A694D5}"/>
    <cellStyle name="Note 6" xfId="129" xr:uid="{00000000-0005-0000-0000-0000C4000000}"/>
    <cellStyle name="Note 6 2" xfId="210" xr:uid="{00000000-0005-0000-0000-0000C5000000}"/>
    <cellStyle name="Note 7" xfId="130" xr:uid="{00000000-0005-0000-0000-0000C6000000}"/>
    <cellStyle name="Note 7 2" xfId="131" xr:uid="{00000000-0005-0000-0000-0000C7000000}"/>
    <cellStyle name="Note 7 2 2" xfId="212" xr:uid="{00000000-0005-0000-0000-0000C8000000}"/>
    <cellStyle name="Note 7 3" xfId="211" xr:uid="{00000000-0005-0000-0000-0000C9000000}"/>
    <cellStyle name="Output" xfId="132" builtinId="21" customBuiltin="1"/>
    <cellStyle name="Output 2" xfId="133" xr:uid="{00000000-0005-0000-0000-0000CB000000}"/>
    <cellStyle name="Percent" xfId="219" builtinId="5"/>
    <cellStyle name="Percent 2" xfId="134" xr:uid="{00000000-0005-0000-0000-0000CC000000}"/>
    <cellStyle name="Percent 2 2" xfId="135" xr:uid="{00000000-0005-0000-0000-0000CD000000}"/>
    <cellStyle name="Percent 2 2 2" xfId="214" xr:uid="{00000000-0005-0000-0000-0000CE000000}"/>
    <cellStyle name="Percent 2 3" xfId="213" xr:uid="{00000000-0005-0000-0000-0000CF000000}"/>
    <cellStyle name="Percent 3" xfId="136" xr:uid="{00000000-0005-0000-0000-0000D0000000}"/>
    <cellStyle name="Percent 3 2" xfId="215" xr:uid="{00000000-0005-0000-0000-0000D1000000}"/>
    <cellStyle name="Percent 4" xfId="137" xr:uid="{00000000-0005-0000-0000-0000D2000000}"/>
    <cellStyle name="Percent 4 2" xfId="216" xr:uid="{00000000-0005-0000-0000-0000D3000000}"/>
    <cellStyle name="Title" xfId="138" builtinId="15" customBuiltin="1"/>
    <cellStyle name="Title 2" xfId="139" xr:uid="{00000000-0005-0000-0000-0000D5000000}"/>
    <cellStyle name="Total" xfId="140" builtinId="25" customBuiltin="1"/>
    <cellStyle name="Total 2" xfId="141" xr:uid="{00000000-0005-0000-0000-0000D7000000}"/>
    <cellStyle name="Warning Text" xfId="142" builtinId="11" customBuiltin="1"/>
    <cellStyle name="Warning Text 2" xfId="143" xr:uid="{00000000-0005-0000-0000-0000D9000000}"/>
  </cellStyles>
  <dxfs count="241">
    <dxf>
      <font>
        <b val="0"/>
        <i val="0"/>
        <strike val="0"/>
        <condense val="0"/>
        <extend val="0"/>
        <outline val="0"/>
        <shadow val="0"/>
        <u val="none"/>
        <vertAlign val="baseline"/>
        <sz val="10"/>
        <color theme="1"/>
        <name val="Calibri"/>
        <family val="2"/>
        <scheme val="minor"/>
      </font>
      <numFmt numFmtId="12" formatCode="&quot;$&quot;#,##0.00_);[Red]\(&quot;$&quot;#,##0.00\)"/>
      <fill>
        <patternFill patternType="solid">
          <fgColor indexed="64"/>
          <bgColor rgb="FFF5F5F5"/>
        </patternFill>
      </fill>
      <alignment horizontal="right" vertical="bottom"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Calibri"/>
        <family val="2"/>
        <scheme val="minor"/>
      </font>
      <numFmt numFmtId="12" formatCode="&quot;$&quot;#,##0.00_);[Red]\(&quot;$&quot;#,##0.00\)"/>
      <fill>
        <patternFill patternType="solid">
          <fgColor indexed="64"/>
          <bgColor rgb="FFF5F5F5"/>
        </patternFill>
      </fill>
      <alignment horizontal="right" vertical="bottom"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rgb="FFF5F5F5"/>
        </patternFill>
      </fill>
      <alignment horizontal="right" vertical="bottom"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Calibri"/>
        <family val="2"/>
        <scheme val="minor"/>
      </font>
      <numFmt numFmtId="3" formatCode="#,##0"/>
      <fill>
        <patternFill patternType="solid">
          <fgColor indexed="64"/>
          <bgColor rgb="FFF5F5F5"/>
        </patternFill>
      </fill>
      <alignment horizontal="right" vertical="bottom"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rgb="FFF5F5F5"/>
        </patternFill>
      </fill>
      <alignment horizontal="center" vertical="bottom"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rgb="FFF5F5F5"/>
        </patternFill>
      </fill>
      <alignment horizontal="general" vertical="bottom"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rgb="FFF5F5F5"/>
        </patternFill>
      </fill>
      <alignment horizontal="general" vertical="bottom"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rgb="FFF5F5F5"/>
        </patternFill>
      </fill>
      <alignment horizontal="center" vertical="bottom"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border outline="0">
        <top style="thin">
          <color rgb="FF000000"/>
        </top>
      </border>
    </dxf>
    <dxf>
      <border outline="0">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rgb="FF000000"/>
        <name val="Calibri"/>
        <family val="2"/>
        <scheme val="none"/>
      </font>
      <fill>
        <patternFill patternType="solid">
          <fgColor rgb="FF000000"/>
          <bgColor rgb="FFF5F5F5"/>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Calibri"/>
        <family val="2"/>
        <scheme val="minor"/>
      </font>
      <alignment horizontal="center" vertical="bottom" textRotation="0" wrapText="1" indent="0" justifyLastLine="0" shrinkToFit="0" readingOrder="0"/>
      <border diagonalUp="0" diagonalDown="0" outline="0">
        <left style="thin">
          <color rgb="FF000000"/>
        </left>
        <right style="thin">
          <color rgb="FF000000"/>
        </right>
        <top/>
        <bottom/>
      </border>
    </dxf>
    <dxf>
      <fill>
        <patternFill>
          <bgColor rgb="FFFFFF00"/>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color rgb="FFFF0000"/>
      </font>
      <fill>
        <patternFill>
          <bgColor theme="0" tint="-0.14996795556505021"/>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1"/>
        </patternFill>
      </fill>
    </dxf>
    <dxf>
      <fill>
        <patternFill>
          <bgColor theme="1"/>
        </patternFill>
      </fill>
    </dxf>
    <dxf>
      <font>
        <strike/>
        <color rgb="FFFF0000"/>
      </font>
      <fill>
        <patternFill>
          <bgColor theme="1" tint="4.9989318521683403E-2"/>
        </patternFill>
      </fill>
    </dxf>
    <dxf>
      <font>
        <strike/>
        <color rgb="FFFF0000"/>
      </font>
      <fill>
        <patternFill>
          <bgColor theme="1" tint="4.9989318521683403E-2"/>
        </patternFill>
      </fill>
    </dxf>
    <dxf>
      <font>
        <strike/>
        <color rgb="FFFF0000"/>
      </font>
      <fill>
        <patternFill>
          <bgColor theme="1"/>
        </patternFill>
      </fill>
      <border>
        <left/>
        <right/>
        <top/>
        <bottom/>
      </border>
    </dxf>
    <dxf>
      <font>
        <strike/>
        <color rgb="FFFF0000"/>
      </font>
      <fill>
        <patternFill>
          <bgColor theme="1"/>
        </patternFill>
      </fill>
      <border>
        <left/>
        <right/>
        <top/>
        <bottom/>
      </border>
    </dxf>
    <dxf>
      <font>
        <strike/>
        <color rgb="FFFF0000"/>
      </font>
      <fill>
        <patternFill>
          <bgColor theme="1"/>
        </patternFill>
      </fill>
      <border>
        <left/>
        <right/>
        <top/>
        <bottom/>
      </border>
    </dxf>
    <dxf>
      <font>
        <strike/>
        <color rgb="FFFF0000"/>
      </font>
      <fill>
        <patternFill>
          <bgColor theme="1"/>
        </patternFill>
      </fill>
    </dxf>
    <dxf>
      <font>
        <strike/>
        <color rgb="FFFF0000"/>
      </font>
      <fill>
        <patternFill>
          <bgColor theme="1" tint="4.9989318521683403E-2"/>
        </patternFill>
      </fill>
    </dxf>
    <dxf>
      <font>
        <strike/>
        <color rgb="FFC00000"/>
      </font>
      <fill>
        <patternFill>
          <bgColor theme="1"/>
        </patternFill>
      </fill>
    </dxf>
    <dxf>
      <font>
        <strike/>
        <color rgb="FFFF0000"/>
      </font>
      <fill>
        <patternFill>
          <bgColor theme="1"/>
        </patternFill>
      </fill>
      <border>
        <left/>
        <right/>
        <top/>
        <bottom/>
      </border>
    </dxf>
    <dxf>
      <font>
        <strike/>
        <color rgb="FFFF0000"/>
      </font>
      <fill>
        <patternFill>
          <bgColor theme="1"/>
        </patternFill>
      </fill>
    </dxf>
    <dxf>
      <font>
        <strike/>
        <color rgb="FFFF0000"/>
      </font>
      <fill>
        <patternFill>
          <bgColor theme="1"/>
        </patternFill>
      </fill>
      <border>
        <left/>
        <right/>
        <top/>
        <bottom/>
      </border>
    </dxf>
    <dxf>
      <font>
        <strike/>
        <color rgb="FFFF0000"/>
      </font>
      <fill>
        <patternFill>
          <bgColor theme="1" tint="4.9989318521683403E-2"/>
        </patternFill>
      </fill>
    </dxf>
    <dxf>
      <font>
        <strike/>
        <color rgb="FFC00000"/>
      </font>
      <fill>
        <patternFill>
          <bgColor theme="1" tint="4.9989318521683403E-2"/>
        </patternFill>
      </fill>
    </dxf>
    <dxf>
      <font>
        <strike/>
        <color rgb="FFC00000"/>
      </font>
      <fill>
        <patternFill>
          <bgColor theme="1"/>
        </patternFill>
      </fill>
      <border>
        <left/>
        <right/>
        <top/>
        <bottom/>
      </border>
    </dxf>
    <dxf>
      <font>
        <strike/>
        <color rgb="FFFF0000"/>
      </font>
      <fill>
        <patternFill>
          <bgColor theme="1"/>
        </patternFill>
      </fill>
      <border>
        <left/>
        <right/>
        <top/>
        <bottom/>
      </border>
    </dxf>
    <dxf>
      <font>
        <strike/>
        <color rgb="FFFF0000"/>
      </font>
      <fill>
        <patternFill>
          <bgColor theme="1"/>
        </patternFill>
      </fill>
      <border>
        <left/>
        <right/>
        <top/>
        <bottom/>
      </border>
    </dxf>
    <dxf>
      <font>
        <strike/>
        <color rgb="FFC00000"/>
      </font>
      <fill>
        <patternFill>
          <bgColor theme="1"/>
        </patternFill>
      </fill>
    </dxf>
    <dxf>
      <font>
        <strike/>
        <color rgb="FFC00000"/>
      </font>
      <fill>
        <patternFill>
          <bgColor theme="1" tint="4.9989318521683403E-2"/>
        </patternFill>
      </fill>
    </dxf>
    <dxf>
      <font>
        <strike/>
        <color rgb="FFC00000"/>
      </font>
      <fill>
        <patternFill>
          <bgColor theme="1"/>
        </patternFill>
      </fill>
    </dxf>
    <dxf>
      <font>
        <strike/>
        <color rgb="FFFF0000"/>
      </font>
      <fill>
        <patternFill>
          <bgColor theme="1"/>
        </patternFill>
      </fill>
      <border>
        <left/>
        <right/>
        <top/>
        <bottom/>
      </border>
    </dxf>
    <dxf>
      <font>
        <strike/>
        <color rgb="FFFF0000"/>
      </font>
      <fill>
        <patternFill>
          <bgColor theme="1"/>
        </patternFill>
      </fill>
    </dxf>
    <dxf>
      <font>
        <strike/>
        <color rgb="FFFF0000"/>
      </font>
      <fill>
        <patternFill>
          <bgColor theme="1"/>
        </patternFill>
      </fill>
      <border>
        <left/>
        <right/>
        <top/>
        <bottom/>
      </border>
    </dxf>
    <dxf>
      <font>
        <strike/>
        <color rgb="FFFF0000"/>
      </font>
      <fill>
        <patternFill>
          <bgColor theme="1" tint="4.9989318521683403E-2"/>
        </patternFill>
      </fill>
    </dxf>
    <dxf>
      <font>
        <strike/>
        <color rgb="FFC00000"/>
      </font>
      <fill>
        <patternFill>
          <bgColor theme="1"/>
        </patternFill>
      </fill>
      <border>
        <left/>
        <right/>
        <top/>
        <bottom/>
      </border>
    </dxf>
    <dxf>
      <font>
        <strike/>
        <color rgb="FFC00000"/>
      </font>
      <fill>
        <patternFill>
          <bgColor theme="1" tint="4.9989318521683403E-2"/>
        </patternFill>
      </fill>
    </dxf>
    <dxf>
      <font>
        <strike/>
        <color rgb="FFC00000"/>
      </font>
      <fill>
        <patternFill>
          <bgColor theme="1"/>
        </patternFill>
      </fill>
      <border>
        <left/>
        <right/>
        <top/>
        <bottom/>
      </border>
    </dxf>
    <dxf>
      <font>
        <strike/>
        <color rgb="FFFF0000"/>
      </font>
      <fill>
        <patternFill>
          <bgColor theme="1"/>
        </patternFill>
      </fill>
      <border>
        <left/>
        <right/>
        <top/>
        <bottom/>
      </border>
    </dxf>
    <dxf>
      <font>
        <strike/>
        <color rgb="FFFF0000"/>
      </font>
      <fill>
        <patternFill>
          <bgColor theme="1"/>
        </patternFill>
      </fill>
      <border>
        <left/>
        <right/>
        <top/>
        <bottom/>
      </border>
    </dxf>
    <dxf>
      <font>
        <strike/>
        <color rgb="FFC00000"/>
      </font>
      <fill>
        <patternFill>
          <bgColor theme="1" tint="4.9989318521683403E-2"/>
        </patternFill>
      </fill>
    </dxf>
    <dxf>
      <font>
        <strike/>
        <color rgb="FFC00000"/>
      </font>
      <fill>
        <patternFill>
          <bgColor theme="1"/>
        </patternFill>
      </fill>
    </dxf>
    <dxf>
      <font>
        <strike/>
        <color rgb="FFC00000"/>
      </font>
      <fill>
        <patternFill>
          <bgColor theme="1"/>
        </patternFill>
      </fill>
    </dxf>
    <dxf>
      <font>
        <strike/>
        <color rgb="FFFF0000"/>
      </font>
      <fill>
        <patternFill>
          <bgColor theme="1"/>
        </patternFill>
      </fill>
    </dxf>
    <dxf>
      <fill>
        <patternFill>
          <bgColor theme="0" tint="-0.14996795556505021"/>
        </patternFill>
      </fill>
    </dxf>
    <dxf>
      <fill>
        <patternFill>
          <bgColor theme="1" tint="4.9989318521683403E-2"/>
        </patternFill>
      </fill>
    </dxf>
    <dxf>
      <fill>
        <patternFill>
          <bgColor theme="1"/>
        </patternFill>
      </fill>
      <border>
        <left/>
        <right/>
        <top/>
        <bottom/>
      </border>
    </dxf>
    <dxf>
      <fill>
        <patternFill>
          <bgColor theme="1"/>
        </patternFill>
      </fill>
    </dxf>
    <dxf>
      <fill>
        <patternFill>
          <bgColor theme="1" tint="4.9989318521683403E-2"/>
        </patternFill>
      </fill>
    </dxf>
    <dxf>
      <font>
        <strike/>
        <color rgb="FFC00000"/>
      </font>
      <fill>
        <patternFill>
          <bgColor theme="1"/>
        </patternFill>
      </fill>
    </dxf>
    <dxf>
      <fill>
        <patternFill>
          <bgColor theme="1"/>
        </patternFill>
      </fill>
    </dxf>
    <dxf>
      <font>
        <color auto="1"/>
      </font>
      <fill>
        <patternFill>
          <bgColor theme="9" tint="0.79998168889431442"/>
        </patternFill>
      </fill>
      <border>
        <left style="thin">
          <color auto="1"/>
        </left>
        <right style="thin">
          <color auto="1"/>
        </right>
        <top style="thin">
          <color auto="1"/>
        </top>
        <bottom style="thin">
          <color auto="1"/>
        </bottom>
      </border>
    </dxf>
    <dxf>
      <font>
        <color auto="1"/>
      </font>
      <fill>
        <patternFill>
          <bgColor theme="9" tint="0.79998168889431442"/>
        </patternFill>
      </fill>
      <border>
        <left style="thin">
          <color auto="1"/>
        </left>
        <right style="thin">
          <color auto="1"/>
        </right>
        <top style="thin">
          <color auto="1"/>
        </top>
        <bottom style="thin">
          <color auto="1"/>
        </bottom>
      </border>
    </dxf>
    <dxf>
      <font>
        <color theme="0"/>
      </font>
    </dxf>
    <dxf>
      <font>
        <color auto="1"/>
      </font>
      <fill>
        <patternFill patternType="solid">
          <bgColor theme="0" tint="-4.9989318521683403E-2"/>
        </patternFill>
      </fill>
      <border>
        <left style="thin">
          <color auto="1"/>
        </left>
        <right style="thin">
          <color auto="1"/>
        </right>
        <top style="thin">
          <color auto="1"/>
        </top>
        <bottom style="thin">
          <color auto="1"/>
        </bottom>
      </border>
    </dxf>
    <dxf>
      <fill>
        <patternFill>
          <bgColor theme="1"/>
        </patternFill>
      </fill>
    </dxf>
    <dxf>
      <font>
        <color auto="1"/>
      </font>
      <fill>
        <patternFill>
          <bgColor theme="9"/>
        </patternFill>
      </fill>
      <border>
        <left style="thin">
          <color auto="1"/>
        </left>
        <right style="thin">
          <color auto="1"/>
        </right>
        <top style="thin">
          <color auto="1"/>
        </top>
        <bottom style="thin">
          <color auto="1"/>
        </bottom>
      </border>
    </dxf>
    <dxf>
      <font>
        <color auto="1"/>
      </font>
      <fill>
        <patternFill>
          <bgColor theme="9"/>
        </patternFill>
      </fill>
      <border>
        <left style="thin">
          <color auto="1"/>
        </left>
        <right style="thin">
          <color auto="1"/>
        </right>
        <top style="thin">
          <color auto="1"/>
        </top>
        <bottom style="thin">
          <color auto="1"/>
        </bottom>
      </border>
    </dxf>
    <dxf>
      <font>
        <color theme="0"/>
      </font>
    </dxf>
    <dxf>
      <fill>
        <patternFill>
          <bgColor theme="1"/>
        </patternFill>
      </fill>
    </dxf>
    <dxf>
      <font>
        <color auto="1"/>
      </font>
      <fill>
        <patternFill patternType="solid">
          <bgColor theme="0" tint="-4.9989318521683403E-2"/>
        </patternFill>
      </fill>
      <border>
        <left style="thin">
          <color auto="1"/>
        </left>
        <right style="thin">
          <color auto="1"/>
        </right>
        <top style="thin">
          <color auto="1"/>
        </top>
        <bottom style="thin">
          <color auto="1"/>
        </bottom>
      </border>
    </dxf>
    <dxf>
      <font>
        <color auto="1"/>
      </font>
      <fill>
        <patternFill>
          <bgColor theme="9" tint="0.79998168889431442"/>
        </patternFill>
      </fill>
      <border>
        <left style="thin">
          <color auto="1"/>
        </left>
        <right style="thin">
          <color auto="1"/>
        </right>
        <top style="thin">
          <color auto="1"/>
        </top>
        <bottom style="thin">
          <color auto="1"/>
        </bottom>
      </border>
    </dxf>
    <dxf>
      <font>
        <color auto="1"/>
      </font>
      <fill>
        <patternFill>
          <bgColor theme="9" tint="0.79998168889431442"/>
        </patternFill>
      </fill>
      <border>
        <left style="thin">
          <color auto="1"/>
        </left>
        <right style="thin">
          <color auto="1"/>
        </right>
        <top style="thin">
          <color auto="1"/>
        </top>
        <bottom style="thin">
          <color auto="1"/>
        </bottom>
      </border>
    </dxf>
    <dxf>
      <font>
        <color theme="0"/>
      </font>
    </dxf>
    <dxf>
      <font>
        <color rgb="FFFF0000"/>
      </font>
      <fill>
        <patternFill>
          <bgColor rgb="FFFFFF00"/>
        </patternFill>
      </fill>
    </dxf>
    <dxf>
      <fill>
        <patternFill>
          <bgColor theme="1"/>
        </patternFill>
      </fill>
    </dxf>
    <dxf>
      <fill>
        <patternFill>
          <bgColor theme="1"/>
        </patternFill>
      </fill>
    </dxf>
    <dxf>
      <font>
        <color auto="1"/>
      </font>
      <fill>
        <patternFill patternType="solid">
          <bgColor theme="0" tint="-4.9989318521683403E-2"/>
        </patternFill>
      </fill>
      <border>
        <left style="thin">
          <color auto="1"/>
        </left>
        <right style="thin">
          <color auto="1"/>
        </right>
        <top style="thin">
          <color auto="1"/>
        </top>
        <bottom style="thin">
          <color auto="1"/>
        </bottom>
      </border>
    </dxf>
    <dxf>
      <fill>
        <patternFill>
          <bgColor theme="1"/>
        </patternFill>
      </fill>
    </dxf>
    <dxf>
      <font>
        <color auto="1"/>
      </font>
      <fill>
        <patternFill>
          <bgColor theme="9"/>
        </patternFill>
      </fill>
      <border>
        <left style="thin">
          <color auto="1"/>
        </left>
        <right style="thin">
          <color auto="1"/>
        </right>
        <top style="thin">
          <color auto="1"/>
        </top>
        <bottom style="thin">
          <color auto="1"/>
        </bottom>
      </border>
    </dxf>
    <dxf>
      <fill>
        <patternFill>
          <bgColor rgb="FFFFFF00"/>
        </patternFill>
      </fill>
    </dxf>
    <dxf>
      <font>
        <strike/>
        <color rgb="FFFF0000"/>
      </font>
      <fill>
        <patternFill>
          <bgColor theme="1"/>
        </patternFill>
      </fill>
    </dxf>
    <dxf>
      <font>
        <strike/>
        <color rgb="FFFF0000"/>
      </font>
      <fill>
        <patternFill>
          <bgColor theme="1"/>
        </patternFill>
      </fill>
    </dxf>
    <dxf>
      <fill>
        <patternFill>
          <bgColor theme="7" tint="0.79998168889431442"/>
        </patternFill>
      </fill>
      <border>
        <left style="thin">
          <color auto="1"/>
        </left>
        <right style="thin">
          <color auto="1"/>
        </right>
        <top style="thin">
          <color auto="1"/>
        </top>
        <bottom style="thin">
          <color auto="1"/>
        </bottom>
      </border>
    </dxf>
    <dxf>
      <font>
        <strike/>
        <color rgb="FFFF0000"/>
      </font>
    </dxf>
    <dxf>
      <fill>
        <patternFill>
          <bgColor theme="7" tint="0.79998168889431442"/>
        </patternFill>
      </fill>
      <border>
        <left style="thin">
          <color auto="1"/>
        </left>
        <right style="thin">
          <color auto="1"/>
        </right>
        <top style="thin">
          <color auto="1"/>
        </top>
        <bottom style="thin">
          <color auto="1"/>
        </bottom>
      </border>
    </dxf>
    <dxf>
      <font>
        <strike/>
        <color rgb="FFFF0000"/>
      </font>
      <fill>
        <patternFill>
          <bgColor theme="1"/>
        </patternFill>
      </fill>
    </dxf>
    <dxf>
      <fill>
        <patternFill>
          <bgColor theme="7" tint="0.79998168889431442"/>
        </patternFill>
      </fill>
      <border>
        <left style="thin">
          <color auto="1"/>
        </left>
        <right style="thin">
          <color auto="1"/>
        </right>
        <top style="thin">
          <color auto="1"/>
        </top>
        <bottom style="thin">
          <color auto="1"/>
        </bottom>
      </border>
    </dxf>
    <dxf>
      <font>
        <strike/>
        <color rgb="FFFF0000"/>
      </font>
    </dxf>
    <dxf>
      <font>
        <strike/>
        <color rgb="FFFF0000"/>
      </font>
      <fill>
        <patternFill>
          <bgColor theme="1"/>
        </patternFill>
      </fill>
    </dxf>
    <dxf>
      <font>
        <strike/>
        <color rgb="FFFF0000"/>
      </font>
      <fill>
        <patternFill>
          <bgColor theme="1"/>
        </patternFill>
      </fill>
    </dxf>
    <dxf>
      <fill>
        <patternFill>
          <bgColor theme="7" tint="0.79998168889431442"/>
        </patternFill>
      </fill>
      <border>
        <left style="thin">
          <color auto="1"/>
        </left>
        <right style="thin">
          <color auto="1"/>
        </right>
        <top style="thin">
          <color auto="1"/>
        </top>
        <bottom style="thin">
          <color auto="1"/>
        </bottom>
      </border>
    </dxf>
    <dxf>
      <font>
        <strike/>
        <color rgb="FFFF0000"/>
      </font>
    </dxf>
    <dxf>
      <fill>
        <patternFill>
          <bgColor theme="7" tint="0.79998168889431442"/>
        </patternFill>
      </fill>
      <border>
        <left style="thin">
          <color auto="1"/>
        </left>
        <right style="thin">
          <color auto="1"/>
        </right>
        <top style="thin">
          <color auto="1"/>
        </top>
        <bottom style="thin">
          <color auto="1"/>
        </bottom>
      </border>
    </dxf>
    <dxf>
      <font>
        <strike/>
        <color rgb="FFFF0000"/>
      </font>
      <fill>
        <patternFill>
          <bgColor theme="1"/>
        </patternFill>
      </fill>
    </dxf>
    <dxf>
      <font>
        <strike/>
        <color rgb="FFFF0000"/>
      </font>
    </dxf>
    <dxf>
      <font>
        <strike/>
        <color rgb="FFFF0000"/>
      </font>
      <fill>
        <patternFill>
          <bgColor theme="1"/>
        </patternFill>
      </fill>
    </dxf>
    <dxf>
      <font>
        <color theme="0"/>
      </font>
      <fill>
        <patternFill>
          <bgColor theme="7" tint="0.39994506668294322"/>
        </patternFill>
      </fill>
      <border>
        <left style="thin">
          <color auto="1"/>
        </left>
        <right style="thin">
          <color auto="1"/>
        </right>
        <top style="thin">
          <color auto="1"/>
        </top>
        <bottom style="thin">
          <color auto="1"/>
        </bottom>
      </border>
    </dxf>
    <dxf>
      <font>
        <strike/>
        <color rgb="FFFF0000"/>
      </font>
      <numFmt numFmtId="0" formatCode="General"/>
    </dxf>
    <dxf>
      <font>
        <strike/>
        <color rgb="FFFF0000"/>
      </font>
      <fill>
        <patternFill>
          <bgColor theme="1"/>
        </patternFill>
      </fill>
    </dxf>
    <dxf>
      <font>
        <color theme="0"/>
      </font>
      <fill>
        <patternFill>
          <bgColor theme="7" tint="0.39994506668294322"/>
        </patternFill>
      </fill>
      <border>
        <left style="thin">
          <color auto="1"/>
        </left>
        <right style="thin">
          <color auto="1"/>
        </right>
        <top style="thin">
          <color auto="1"/>
        </top>
        <bottom style="thin">
          <color auto="1"/>
        </bottom>
      </border>
    </dxf>
    <dxf>
      <font>
        <strike/>
        <color rgb="FFFF0000"/>
      </font>
      <numFmt numFmtId="0" formatCode="General"/>
    </dxf>
    <dxf>
      <font>
        <strike/>
        <color rgb="FFFF0000"/>
      </font>
      <fill>
        <patternFill>
          <bgColor theme="1"/>
        </patternFill>
      </fill>
    </dxf>
    <dxf>
      <font>
        <color theme="0"/>
      </font>
      <fill>
        <patternFill>
          <bgColor theme="7" tint="0.39994506668294322"/>
        </patternFill>
      </fill>
      <border>
        <left style="thin">
          <color auto="1"/>
        </left>
        <right style="thin">
          <color auto="1"/>
        </right>
        <top style="thin">
          <color auto="1"/>
        </top>
        <bottom style="thin">
          <color auto="1"/>
        </bottom>
      </border>
    </dxf>
    <dxf>
      <font>
        <strike/>
        <color rgb="FFFF0000"/>
      </font>
      <numFmt numFmtId="0" formatCode="General"/>
    </dxf>
    <dxf>
      <font>
        <strike/>
        <color rgb="FFFF0000"/>
      </font>
      <fill>
        <patternFill>
          <bgColor theme="1"/>
        </patternFill>
      </fill>
    </dxf>
    <dxf>
      <font>
        <strike/>
        <color rgb="FFFF0000"/>
      </font>
      <fill>
        <patternFill>
          <bgColor theme="1"/>
        </patternFill>
      </fill>
    </dxf>
    <dxf>
      <font>
        <color theme="0"/>
      </font>
      <fill>
        <patternFill>
          <bgColor theme="7" tint="0.39994506668294322"/>
        </patternFill>
      </fill>
      <border>
        <left style="thin">
          <color auto="1"/>
        </left>
        <right style="thin">
          <color auto="1"/>
        </right>
        <top style="thin">
          <color auto="1"/>
        </top>
        <bottom style="thin">
          <color auto="1"/>
        </bottom>
      </border>
    </dxf>
    <dxf>
      <font>
        <color theme="0"/>
      </font>
      <fill>
        <patternFill>
          <bgColor theme="7" tint="0.39994506668294322"/>
        </patternFill>
      </fill>
      <border>
        <left style="thin">
          <color auto="1"/>
        </left>
        <right style="thin">
          <color auto="1"/>
        </right>
        <top style="thin">
          <color auto="1"/>
        </top>
        <bottom style="thin">
          <color auto="1"/>
        </bottom>
      </border>
    </dxf>
    <dxf>
      <font>
        <strike/>
        <color rgb="FFFF0000"/>
      </font>
      <numFmt numFmtId="0" formatCode="General"/>
    </dxf>
    <dxf>
      <font>
        <strike/>
        <color rgb="FFFF0000"/>
      </font>
      <fill>
        <patternFill>
          <bgColor theme="1"/>
        </patternFill>
      </fill>
    </dxf>
    <dxf>
      <font>
        <strike/>
        <color rgb="FFFF0000"/>
      </font>
      <numFmt numFmtId="0" formatCode="General"/>
    </dxf>
    <dxf>
      <fill>
        <patternFill>
          <bgColor theme="7" tint="0.79998168889431442"/>
        </patternFill>
      </fill>
      <border>
        <left style="thin">
          <color auto="1"/>
        </left>
        <right style="thin">
          <color auto="1"/>
        </right>
        <top style="thin">
          <color auto="1"/>
        </top>
        <bottom style="thin">
          <color auto="1"/>
        </bottom>
      </border>
    </dxf>
    <dxf>
      <font>
        <strike/>
        <color rgb="FFFF0000"/>
      </font>
      <fill>
        <patternFill>
          <bgColor theme="1"/>
        </patternFill>
      </fill>
    </dxf>
    <dxf>
      <font>
        <strike/>
        <color rgb="FFFF0000"/>
      </font>
      <fill>
        <patternFill>
          <bgColor theme="1"/>
        </patternFill>
      </fill>
    </dxf>
    <dxf>
      <font>
        <strike/>
        <color rgb="FFFF0000"/>
      </font>
    </dxf>
    <dxf>
      <fill>
        <patternFill>
          <bgColor theme="7" tint="0.79998168889431442"/>
        </patternFill>
      </fill>
      <border>
        <left style="thin">
          <color auto="1"/>
        </left>
        <right style="thin">
          <color auto="1"/>
        </right>
        <top style="thin">
          <color auto="1"/>
        </top>
        <bottom style="thin">
          <color auto="1"/>
        </bottom>
      </border>
    </dxf>
    <dxf>
      <font>
        <strike/>
        <color rgb="FFFF0000"/>
      </font>
      <fill>
        <patternFill>
          <bgColor theme="1"/>
        </patternFill>
      </fill>
    </dxf>
    <dxf>
      <fill>
        <patternFill>
          <bgColor theme="7" tint="0.79998168889431442"/>
        </patternFill>
      </fill>
      <border>
        <left style="thin">
          <color auto="1"/>
        </left>
        <right style="thin">
          <color auto="1"/>
        </right>
        <top style="thin">
          <color auto="1"/>
        </top>
        <bottom style="thin">
          <color auto="1"/>
        </bottom>
      </border>
    </dxf>
    <dxf>
      <font>
        <strike/>
        <color rgb="FFFF0000"/>
      </font>
    </dxf>
    <dxf>
      <font>
        <strike/>
        <color rgb="FFFF0000"/>
      </font>
      <fill>
        <patternFill>
          <bgColor theme="1"/>
        </patternFill>
      </fill>
    </dxf>
    <dxf>
      <font>
        <strike/>
        <color rgb="FFFF0000"/>
      </font>
      <fill>
        <patternFill>
          <bgColor theme="1"/>
        </patternFill>
      </fill>
    </dxf>
    <dxf>
      <fill>
        <patternFill>
          <bgColor theme="7" tint="0.79998168889431442"/>
        </patternFill>
      </fill>
      <border>
        <left style="thin">
          <color auto="1"/>
        </left>
        <right style="thin">
          <color auto="1"/>
        </right>
        <top style="thin">
          <color auto="1"/>
        </top>
        <bottom style="thin">
          <color auto="1"/>
        </bottom>
      </border>
    </dxf>
    <dxf>
      <font>
        <strike/>
        <color rgb="FFFF0000"/>
      </font>
    </dxf>
    <dxf>
      <fill>
        <patternFill>
          <bgColor theme="7" tint="0.79998168889431442"/>
        </patternFill>
      </fill>
      <border>
        <left style="thin">
          <color auto="1"/>
        </left>
        <right style="thin">
          <color auto="1"/>
        </right>
        <top style="thin">
          <color auto="1"/>
        </top>
        <bottom style="thin">
          <color auto="1"/>
        </bottom>
      </border>
    </dxf>
    <dxf>
      <font>
        <strike/>
        <color rgb="FFFF0000"/>
      </font>
      <fill>
        <patternFill>
          <bgColor theme="1"/>
        </patternFill>
      </fill>
    </dxf>
    <dxf>
      <font>
        <strike/>
        <color rgb="FFFF0000"/>
      </font>
    </dxf>
    <dxf>
      <font>
        <color theme="0"/>
      </font>
      <fill>
        <patternFill>
          <bgColor theme="7" tint="0.39994506668294322"/>
        </patternFill>
      </fill>
      <border>
        <left style="thin">
          <color auto="1"/>
        </left>
        <right style="thin">
          <color auto="1"/>
        </right>
        <top style="thin">
          <color auto="1"/>
        </top>
        <bottom style="thin">
          <color auto="1"/>
        </bottom>
      </border>
    </dxf>
    <dxf>
      <font>
        <strike/>
        <color rgb="FFFF0000"/>
      </font>
      <fill>
        <patternFill>
          <bgColor theme="1"/>
        </patternFill>
      </fill>
    </dxf>
    <dxf>
      <font>
        <strike/>
        <color rgb="FFFF0000"/>
      </font>
      <fill>
        <patternFill>
          <bgColor theme="1"/>
        </patternFill>
      </fill>
    </dxf>
    <dxf>
      <font>
        <color theme="0"/>
      </font>
      <fill>
        <patternFill>
          <bgColor theme="7" tint="0.39994506668294322"/>
        </patternFill>
      </fill>
      <border>
        <left style="thin">
          <color auto="1"/>
        </left>
        <right style="thin">
          <color auto="1"/>
        </right>
        <top style="thin">
          <color auto="1"/>
        </top>
        <bottom style="thin">
          <color auto="1"/>
        </bottom>
      </border>
    </dxf>
    <dxf>
      <font>
        <strike/>
        <color rgb="FFFF0000"/>
      </font>
      <fill>
        <patternFill>
          <bgColor theme="1"/>
        </patternFill>
      </fill>
    </dxf>
    <dxf>
      <font>
        <color theme="0"/>
      </font>
      <fill>
        <patternFill>
          <bgColor theme="7" tint="0.39994506668294322"/>
        </patternFill>
      </fill>
      <border>
        <left style="thin">
          <color auto="1"/>
        </left>
        <right style="thin">
          <color auto="1"/>
        </right>
        <top style="thin">
          <color auto="1"/>
        </top>
        <bottom style="thin">
          <color auto="1"/>
        </bottom>
      </border>
    </dxf>
    <dxf>
      <font>
        <strike/>
        <color rgb="FFFF0000"/>
      </font>
      <fill>
        <patternFill>
          <bgColor theme="1"/>
        </patternFill>
      </fill>
    </dxf>
    <dxf>
      <font>
        <strike/>
        <color rgb="FFFF0000"/>
      </font>
      <fill>
        <patternFill>
          <bgColor theme="1"/>
        </patternFill>
      </fill>
    </dxf>
    <dxf>
      <font>
        <color theme="0"/>
      </font>
      <fill>
        <patternFill>
          <bgColor theme="7" tint="0.39994506668294322"/>
        </patternFill>
      </fill>
      <border>
        <left style="thin">
          <color auto="1"/>
        </left>
        <right style="thin">
          <color auto="1"/>
        </right>
        <top style="thin">
          <color auto="1"/>
        </top>
        <bottom style="thin">
          <color auto="1"/>
        </bottom>
      </border>
    </dxf>
    <dxf>
      <font>
        <color theme="0"/>
      </font>
      <fill>
        <patternFill>
          <bgColor theme="7" tint="0.39994506668294322"/>
        </patternFill>
      </fill>
      <border>
        <left style="thin">
          <color auto="1"/>
        </left>
        <right style="thin">
          <color auto="1"/>
        </right>
        <top style="thin">
          <color auto="1"/>
        </top>
        <bottom style="thin">
          <color auto="1"/>
        </bottom>
      </border>
    </dxf>
    <dxf>
      <font>
        <strike/>
        <color rgb="FFFF0000"/>
      </font>
      <fill>
        <patternFill>
          <bgColor theme="1"/>
        </patternFill>
      </fill>
    </dxf>
    <dxf>
      <font>
        <color theme="0"/>
      </font>
      <fill>
        <patternFill>
          <bgColor theme="0"/>
        </patternFill>
      </fill>
    </dxf>
    <dxf>
      <font>
        <color rgb="FFFF0000"/>
      </font>
      <fill>
        <patternFill>
          <bgColor theme="1"/>
        </patternFill>
      </fill>
    </dxf>
    <dxf>
      <fill>
        <patternFill>
          <bgColor theme="6" tint="0.59996337778862885"/>
        </patternFill>
      </fill>
      <border>
        <left style="thin">
          <color auto="1"/>
        </left>
        <right style="thin">
          <color auto="1"/>
        </right>
        <top style="thin">
          <color auto="1"/>
        </top>
        <bottom style="thin">
          <color auto="1"/>
        </bottom>
      </border>
    </dxf>
    <dxf>
      <fill>
        <patternFill>
          <bgColor theme="6" tint="0.59996337778862885"/>
        </patternFill>
      </fill>
      <border>
        <left style="thin">
          <color auto="1"/>
        </left>
        <right style="thin">
          <color auto="1"/>
        </right>
        <top style="thin">
          <color auto="1"/>
        </top>
        <bottom style="thin">
          <color auto="1"/>
        </bottom>
      </border>
    </dxf>
    <dxf>
      <font>
        <color auto="1"/>
      </font>
      <fill>
        <patternFill>
          <bgColor theme="6" tint="0.59996337778862885"/>
        </patternFill>
      </fill>
      <border>
        <left style="thin">
          <color auto="1"/>
        </left>
        <right style="thin">
          <color auto="1"/>
        </right>
        <top style="thin">
          <color auto="1"/>
        </top>
        <bottom style="thin">
          <color auto="1"/>
        </bottom>
      </border>
    </dxf>
    <dxf>
      <fill>
        <patternFill>
          <bgColor theme="6" tint="0.59996337778862885"/>
        </patternFill>
      </fill>
      <border>
        <left style="thin">
          <color auto="1"/>
        </left>
        <right style="thin">
          <color auto="1"/>
        </right>
        <top style="thin">
          <color auto="1"/>
        </top>
        <bottom style="thin">
          <color auto="1"/>
        </bottom>
      </border>
    </dxf>
    <dxf>
      <font>
        <strike/>
        <color rgb="FFFF0000"/>
      </font>
    </dxf>
    <dxf>
      <font>
        <color theme="0"/>
      </font>
    </dxf>
    <dxf>
      <font>
        <color theme="0"/>
      </font>
      <fill>
        <patternFill>
          <bgColor theme="6"/>
        </patternFill>
      </fill>
      <border>
        <left style="thin">
          <color auto="1"/>
        </left>
        <right style="thin">
          <color auto="1"/>
        </right>
        <top style="thin">
          <color auto="1"/>
        </top>
        <bottom style="thin">
          <color auto="1"/>
        </bottom>
      </border>
    </dxf>
    <dxf>
      <font>
        <color theme="0"/>
      </font>
      <fill>
        <patternFill>
          <bgColor theme="6"/>
        </patternFill>
      </fill>
      <border>
        <left style="thin">
          <color auto="1"/>
        </left>
        <right style="thin">
          <color auto="1"/>
        </right>
        <top style="thin">
          <color auto="1"/>
        </top>
        <bottom style="thin">
          <color auto="1"/>
        </bottom>
      </border>
    </dxf>
    <dxf>
      <font>
        <color theme="0"/>
      </font>
      <fill>
        <patternFill>
          <bgColor theme="6"/>
        </patternFill>
      </fill>
      <border>
        <left style="thin">
          <color auto="1"/>
        </left>
        <right style="thin">
          <color auto="1"/>
        </right>
        <top style="thin">
          <color auto="1"/>
        </top>
        <bottom style="thin">
          <color auto="1"/>
        </bottom>
      </border>
    </dxf>
    <dxf>
      <font>
        <strike/>
        <color rgb="FFFF0000"/>
      </font>
      <numFmt numFmtId="0" formatCode="General"/>
    </dxf>
    <dxf>
      <font>
        <color theme="0"/>
      </font>
      <fill>
        <patternFill>
          <bgColor theme="6"/>
        </patternFill>
      </fill>
      <border>
        <left style="thin">
          <color auto="1"/>
        </left>
        <right style="thin">
          <color auto="1"/>
        </right>
        <top style="thin">
          <color auto="1"/>
        </top>
        <bottom style="thin">
          <color auto="1"/>
        </bottom>
      </border>
    </dxf>
    <dxf>
      <font>
        <color theme="0"/>
      </font>
    </dxf>
    <dxf>
      <font>
        <strike val="0"/>
        <color auto="1"/>
      </font>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border>
    </dxf>
    <dxf>
      <fill>
        <patternFill>
          <bgColor theme="6" tint="0.59996337778862885"/>
        </patternFill>
      </fill>
      <border>
        <left style="thin">
          <color auto="1"/>
        </left>
        <right style="thin">
          <color auto="1"/>
        </right>
        <top style="thin">
          <color auto="1"/>
        </top>
        <bottom style="thin">
          <color auto="1"/>
        </bottom>
      </border>
    </dxf>
    <dxf>
      <font>
        <color auto="1"/>
      </font>
      <fill>
        <patternFill>
          <bgColor theme="6" tint="0.59996337778862885"/>
        </patternFill>
      </fill>
      <border>
        <left style="thin">
          <color auto="1"/>
        </left>
        <right style="thin">
          <color auto="1"/>
        </right>
        <top style="thin">
          <color auto="1"/>
        </top>
        <bottom style="thin">
          <color auto="1"/>
        </bottom>
      </border>
    </dxf>
    <dxf>
      <fill>
        <patternFill>
          <bgColor theme="6" tint="0.59996337778862885"/>
        </patternFill>
      </fill>
      <border>
        <left style="thin">
          <color auto="1"/>
        </left>
        <right style="thin">
          <color auto="1"/>
        </right>
        <top style="thin">
          <color auto="1"/>
        </top>
        <bottom style="thin">
          <color auto="1"/>
        </bottom>
      </border>
    </dxf>
    <dxf>
      <font>
        <strike/>
        <color rgb="FFFF0000"/>
      </font>
    </dxf>
    <dxf>
      <font>
        <strike/>
        <color rgb="FFFF0000"/>
      </font>
    </dxf>
    <dxf>
      <font>
        <color theme="0"/>
      </font>
      <fill>
        <patternFill>
          <bgColor theme="6"/>
        </patternFill>
      </fill>
      <border>
        <left style="thin">
          <color auto="1"/>
        </left>
        <right style="thin">
          <color auto="1"/>
        </right>
        <top style="thin">
          <color auto="1"/>
        </top>
        <bottom style="thin">
          <color auto="1"/>
        </bottom>
      </border>
    </dxf>
    <dxf>
      <font>
        <color theme="0"/>
      </font>
      <fill>
        <patternFill>
          <bgColor theme="6"/>
        </patternFill>
      </fill>
      <border>
        <left style="thin">
          <color auto="1"/>
        </left>
        <right style="thin">
          <color auto="1"/>
        </right>
        <top style="thin">
          <color auto="1"/>
        </top>
        <bottom style="thin">
          <color auto="1"/>
        </bottom>
      </border>
    </dxf>
    <dxf>
      <font>
        <color theme="0"/>
      </font>
      <fill>
        <patternFill>
          <bgColor theme="6"/>
        </patternFill>
      </fill>
      <border>
        <left style="thin">
          <color auto="1"/>
        </left>
        <right style="thin">
          <color auto="1"/>
        </right>
        <top style="thin">
          <color auto="1"/>
        </top>
        <bottom style="thin">
          <color auto="1"/>
        </bottom>
      </border>
    </dxf>
    <dxf>
      <font>
        <color theme="0"/>
      </font>
      <fill>
        <patternFill>
          <bgColor theme="6"/>
        </patternFill>
      </fill>
      <border>
        <left style="thin">
          <color auto="1"/>
        </left>
        <right style="thin">
          <color auto="1"/>
        </right>
        <top style="thin">
          <color auto="1"/>
        </top>
        <bottom style="thin">
          <color auto="1"/>
        </bottom>
      </border>
    </dxf>
    <dxf>
      <font>
        <strike/>
        <color rgb="FFFF0000"/>
      </font>
      <numFmt numFmtId="0" formatCode="General"/>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rgb="FFFFFF66"/>
        </patternFill>
      </fill>
      <border>
        <left style="thin">
          <color auto="1"/>
        </left>
        <right style="thin">
          <color auto="1"/>
        </right>
        <top style="thin">
          <color auto="1"/>
        </top>
        <bottom style="thin">
          <color auto="1"/>
        </bottom>
      </border>
    </dxf>
    <dxf>
      <font>
        <strike/>
        <color rgb="FFFF0000"/>
      </font>
    </dxf>
    <dxf>
      <font>
        <color rgb="FFFF0000"/>
      </font>
      <fill>
        <patternFill>
          <bgColor theme="0" tint="-4.9989318521683403E-2"/>
        </patternFill>
      </fill>
    </dxf>
    <dxf>
      <font>
        <color theme="0"/>
      </font>
      <fill>
        <patternFill>
          <bgColor theme="0"/>
        </patternFill>
      </fill>
    </dxf>
    <dxf>
      <font>
        <color auto="1"/>
      </font>
      <fill>
        <patternFill>
          <bgColor theme="9"/>
        </patternFill>
      </fill>
    </dxf>
    <dxf>
      <font>
        <strike/>
        <color rgb="FFFF0000"/>
      </font>
      <numFmt numFmtId="0" formatCode="General"/>
    </dxf>
    <dxf>
      <font>
        <color auto="1"/>
      </font>
      <fill>
        <patternFill>
          <bgColor rgb="FFFFFF66"/>
        </patternFill>
      </fill>
      <border>
        <left style="thin">
          <color auto="1"/>
        </left>
        <right style="thin">
          <color auto="1"/>
        </right>
        <top style="thin">
          <color auto="1"/>
        </top>
        <bottom style="thin">
          <color auto="1"/>
        </bottom>
      </border>
    </dxf>
    <dxf>
      <font>
        <color rgb="FFFF0000"/>
      </font>
      <fill>
        <patternFill>
          <bgColor theme="0" tint="-4.9989318521683403E-2"/>
        </patternFill>
      </fill>
    </dxf>
    <dxf>
      <font>
        <color theme="0"/>
      </font>
      <fill>
        <patternFill>
          <bgColor theme="0"/>
        </patternFill>
      </fill>
    </dxf>
    <dxf>
      <font>
        <color auto="1"/>
      </font>
      <fill>
        <patternFill>
          <bgColor rgb="FFFFFF66"/>
        </patternFill>
      </fill>
      <border>
        <left style="thin">
          <color auto="1"/>
        </left>
        <right style="thin">
          <color auto="1"/>
        </right>
        <top style="thin">
          <color auto="1"/>
        </top>
        <bottom style="thin">
          <color auto="1"/>
        </bottom>
      </border>
    </dxf>
    <dxf>
      <font>
        <strike/>
        <color rgb="FFFF0000"/>
      </font>
    </dxf>
    <dxf>
      <font>
        <color rgb="FFFF0000"/>
      </font>
      <fill>
        <patternFill>
          <bgColor theme="0" tint="-4.9989318521683403E-2"/>
        </patternFill>
      </fill>
    </dxf>
    <dxf>
      <font>
        <color theme="0"/>
      </font>
      <fill>
        <patternFill>
          <bgColor theme="0"/>
        </patternFill>
      </fill>
    </dxf>
    <dxf>
      <font>
        <color theme="0"/>
      </font>
      <fill>
        <patternFill>
          <bgColor theme="4"/>
        </patternFill>
      </fill>
    </dxf>
    <dxf>
      <font>
        <color auto="1"/>
      </font>
      <fill>
        <patternFill>
          <bgColor rgb="FFFFFF66"/>
        </patternFill>
      </fill>
      <border>
        <left style="thin">
          <color auto="1"/>
        </left>
        <right style="thin">
          <color auto="1"/>
        </right>
        <top style="thin">
          <color auto="1"/>
        </top>
        <bottom style="thin">
          <color auto="1"/>
        </bottom>
      </border>
    </dxf>
    <dxf>
      <font>
        <strike/>
        <color rgb="FFFF0000"/>
      </font>
      <numFmt numFmtId="0" formatCode="General"/>
    </dxf>
    <dxf>
      <font>
        <color rgb="FFFF0000"/>
      </font>
      <fill>
        <patternFill>
          <bgColor theme="0" tint="-4.9989318521683403E-2"/>
        </patternFill>
      </fill>
    </dxf>
    <dxf>
      <font>
        <color theme="0"/>
      </font>
      <fill>
        <patternFill>
          <bgColor theme="7"/>
        </patternFill>
      </fill>
    </dxf>
    <dxf>
      <font>
        <color auto="1"/>
      </font>
      <fill>
        <patternFill>
          <bgColor theme="6"/>
        </patternFill>
      </fill>
    </dxf>
    <dxf>
      <font>
        <b val="0"/>
        <i val="0"/>
        <strike val="0"/>
        <condense val="0"/>
        <extend val="0"/>
        <outline val="0"/>
        <shadow val="0"/>
        <u val="none"/>
        <vertAlign val="baseline"/>
        <sz val="10"/>
        <color theme="1"/>
        <name val="Calibri"/>
        <family val="2"/>
        <scheme val="minor"/>
      </font>
      <numFmt numFmtId="12" formatCode="&quot;$&quot;#,##0.00_);[Red]\(&quot;$&quot;#,##0.00\)"/>
      <fill>
        <patternFill patternType="solid">
          <fgColor indexed="64"/>
          <bgColor rgb="FFF5F5F5"/>
        </patternFill>
      </fill>
      <alignment horizontal="right" vertical="bottom"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Calibri"/>
        <family val="2"/>
        <scheme val="minor"/>
      </font>
      <numFmt numFmtId="12" formatCode="&quot;$&quot;#,##0.00_);[Red]\(&quot;$&quot;#,##0.00\)"/>
      <fill>
        <patternFill patternType="solid">
          <fgColor indexed="64"/>
          <bgColor rgb="FFF5F5F5"/>
        </patternFill>
      </fill>
      <alignment horizontal="right" vertical="bottom"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rgb="FFF5F5F5"/>
        </patternFill>
      </fill>
      <alignment horizontal="right" vertical="bottom"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Calibri"/>
        <family val="2"/>
        <scheme val="minor"/>
      </font>
      <numFmt numFmtId="3" formatCode="#,##0"/>
      <fill>
        <patternFill patternType="solid">
          <fgColor indexed="64"/>
          <bgColor rgb="FFF5F5F5"/>
        </patternFill>
      </fill>
      <alignment horizontal="right" vertical="bottom"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rgb="FFF5F5F5"/>
        </patternFill>
      </fill>
      <alignment horizontal="center" vertical="bottom"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rgb="FFF5F5F5"/>
        </patternFill>
      </fill>
      <alignment horizontal="general" vertical="bottom"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rgb="FFF5F5F5"/>
        </patternFill>
      </fill>
      <alignment horizontal="general" vertical="bottom"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rgb="FFF5F5F5"/>
        </patternFill>
      </fill>
      <alignment horizontal="center" vertical="bottom"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rgb="FFF5F5F5"/>
        </patternFill>
      </fill>
      <alignment horizontal="right" vertical="bottom" textRotation="0" wrapText="1"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family val="2"/>
        <scheme val="minor"/>
      </font>
      <alignment horizontal="center" vertical="bottom" textRotation="0" wrapText="1" indent="0" justifyLastLine="0" shrinkToFit="0" readingOrder="0"/>
      <border diagonalUp="0" diagonalDown="0" outline="0">
        <left style="thin">
          <color rgb="FF000000"/>
        </left>
        <right style="thin">
          <color rgb="FF000000"/>
        </right>
        <top/>
        <bottom/>
      </border>
    </dxf>
    <dxf>
      <numFmt numFmtId="0" formatCode="General"/>
    </dxf>
    <dxf>
      <font>
        <b val="0"/>
        <i val="0"/>
        <strike val="0"/>
        <condense val="0"/>
        <extend val="0"/>
        <outline val="0"/>
        <shadow val="0"/>
        <u val="none"/>
        <vertAlign val="baseline"/>
        <sz val="10"/>
        <color auto="1"/>
        <name val="Calibri"/>
        <family val="2"/>
        <scheme val="minor"/>
      </font>
      <numFmt numFmtId="12" formatCode="&quot;$&quot;#,##0.00_);[Red]\(&quot;$&quot;#,##0.00\)"/>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family val="2"/>
        <scheme val="minor"/>
      </font>
      <numFmt numFmtId="12" formatCode="&quot;$&quot;#,##0.00_);[Red]\(&quot;$&quot;#,##0.00\)"/>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family val="2"/>
        <scheme val="minor"/>
      </font>
      <fill>
        <patternFill patternType="solid">
          <fgColor indexed="64"/>
          <bgColor rgb="FF92D050"/>
        </patternFill>
      </fill>
      <alignment horizontal="center" vertical="bottom"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family val="2"/>
        <scheme val="minor"/>
      </font>
      <numFmt numFmtId="12" formatCode="&quot;$&quot;#,##0.00_);[Red]\(&quot;$&quot;#,##0.00\)"/>
      <alignment horizontal="right" vertical="bottom" textRotation="0" wrapText="1" indent="0" justifyLastLine="0" shrinkToFit="0" readingOrder="0"/>
      <border diagonalUp="0" diagonalDown="0">
        <left style="thin">
          <color indexed="64"/>
        </left>
        <right/>
        <top style="thin">
          <color indexed="64"/>
        </top>
        <bottom style="thin">
          <color indexed="64"/>
        </bottom>
        <vertical/>
        <horizontal/>
      </border>
    </dxf>
    <dxf>
      <numFmt numFmtId="12" formatCode="&quot;$&quot;#,##0.00_);[Red]\(&quot;$&quot;#,##0.00\)"/>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Calibri"/>
        <family val="2"/>
        <scheme val="minor"/>
      </font>
      <numFmt numFmtId="0" formatCode="General"/>
    </dxf>
    <dxf>
      <font>
        <b val="0"/>
        <i val="0"/>
        <strike val="0"/>
        <condense val="0"/>
        <extend val="0"/>
        <outline val="0"/>
        <shadow val="0"/>
        <u val="none"/>
        <vertAlign val="baseline"/>
        <sz val="10"/>
        <color auto="1"/>
        <name val="Calibri"/>
        <family val="2"/>
        <scheme val="minor"/>
      </font>
      <numFmt numFmtId="212" formatCode="_(&quot;$&quot;* #,##0_);_(&quot;$&quot;* \(#,##0\);_(&quot;$&quot;* &quot;-&quot;??_);_(@_)"/>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family val="2"/>
        <scheme val="minor"/>
      </font>
    </dxf>
    <dxf>
      <font>
        <b/>
        <i val="0"/>
        <strike val="0"/>
        <condense val="0"/>
        <extend val="0"/>
        <outline val="0"/>
        <shadow val="0"/>
        <u val="none"/>
        <vertAlign val="baseline"/>
        <sz val="10"/>
        <color auto="1"/>
        <name val="Calibri"/>
        <family val="2"/>
        <scheme val="minor"/>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family val="2"/>
        <scheme val="minor"/>
      </font>
    </dxf>
  </dxfs>
  <tableStyles count="0" defaultTableStyle="TableStyleMedium2" defaultPivotStyle="PivotStyleLight16"/>
  <colors>
    <mruColors>
      <color rgb="FFD20000"/>
      <color rgb="FF004620"/>
      <color rgb="FFFFFF66"/>
      <color rgb="FF68829E"/>
      <color rgb="FF59823A"/>
      <color rgb="FF505160"/>
      <color rgb="FFAEBC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1.xml"/></Relationships>
</file>

<file path=xl/ctrlProps/ctrlProp1.xml><?xml version="1.0" encoding="utf-8"?>
<formControlPr xmlns="http://schemas.microsoft.com/office/spreadsheetml/2009/9/main" objectType="CheckBox" fmlaLink="HIDDEN!$A$88" noThreeD="1"/>
</file>

<file path=xl/ctrlProps/ctrlProp10.xml><?xml version="1.0" encoding="utf-8"?>
<formControlPr xmlns="http://schemas.microsoft.com/office/spreadsheetml/2009/9/main" objectType="CheckBox" fmlaLink="HIDDEN!$A$105" lockText="1" noThreeD="1"/>
</file>

<file path=xl/ctrlProps/ctrlProp11.xml><?xml version="1.0" encoding="utf-8"?>
<formControlPr xmlns="http://schemas.microsoft.com/office/spreadsheetml/2009/9/main" objectType="CheckBox" fmlaLink="HIDDEN!$A$91" lockText="1" noThreeD="1"/>
</file>

<file path=xl/ctrlProps/ctrlProp12.xml><?xml version="1.0" encoding="utf-8"?>
<formControlPr xmlns="http://schemas.microsoft.com/office/spreadsheetml/2009/9/main" objectType="CheckBox" fmlaLink="HIDDEN!$A$93" lockText="1" noThreeD="1"/>
</file>

<file path=xl/ctrlProps/ctrlProp13.xml><?xml version="1.0" encoding="utf-8"?>
<formControlPr xmlns="http://schemas.microsoft.com/office/spreadsheetml/2009/9/main" objectType="CheckBox" fmlaLink="HIDDEN!$A$106" lockText="1" noThreeD="1"/>
</file>

<file path=xl/ctrlProps/ctrlProp14.xml><?xml version="1.0" encoding="utf-8"?>
<formControlPr xmlns="http://schemas.microsoft.com/office/spreadsheetml/2009/9/main" objectType="CheckBox" fmlaLink="HIDDEN!$A$99" lockText="1" noThreeD="1"/>
</file>

<file path=xl/ctrlProps/ctrlProp15.xml><?xml version="1.0" encoding="utf-8"?>
<formControlPr xmlns="http://schemas.microsoft.com/office/spreadsheetml/2009/9/main" objectType="CheckBox" fmlaLink="HIDDEN!$A$98" lockText="1" noThreeD="1"/>
</file>

<file path=xl/ctrlProps/ctrlProp16.xml><?xml version="1.0" encoding="utf-8"?>
<formControlPr xmlns="http://schemas.microsoft.com/office/spreadsheetml/2009/9/main" objectType="CheckBox" fmlaLink="HIDDEN!$A$107" lockText="1" noThreeD="1"/>
</file>

<file path=xl/ctrlProps/ctrlProp17.xml><?xml version="1.0" encoding="utf-8"?>
<formControlPr xmlns="http://schemas.microsoft.com/office/spreadsheetml/2009/9/main" objectType="CheckBox" fmlaLink="HIDDEN!$A$102" lockText="1" noThreeD="1"/>
</file>

<file path=xl/ctrlProps/ctrlProp18.xml><?xml version="1.0" encoding="utf-8"?>
<formControlPr xmlns="http://schemas.microsoft.com/office/spreadsheetml/2009/9/main" objectType="CheckBox" fmlaLink="HIDDEN!$A$92" lockText="1" noThreeD="1"/>
</file>

<file path=xl/ctrlProps/ctrlProp19.xml><?xml version="1.0" encoding="utf-8"?>
<formControlPr xmlns="http://schemas.microsoft.com/office/spreadsheetml/2009/9/main" objectType="CheckBox" fmlaLink="HIDDEN!$A$96" lockText="1" noThreeD="1"/>
</file>

<file path=xl/ctrlProps/ctrlProp2.xml><?xml version="1.0" encoding="utf-8"?>
<formControlPr xmlns="http://schemas.microsoft.com/office/spreadsheetml/2009/9/main" objectType="CheckBox" fmlaLink="HIDDEN!$A$100" lockText="1" noThreeD="1"/>
</file>

<file path=xl/ctrlProps/ctrlProp20.xml><?xml version="1.0" encoding="utf-8"?>
<formControlPr xmlns="http://schemas.microsoft.com/office/spreadsheetml/2009/9/main" objectType="CheckBox" fmlaLink="HIDDEN!$A$95" lockText="1" noThreeD="1"/>
</file>

<file path=xl/ctrlProps/ctrlProp3.xml><?xml version="1.0" encoding="utf-8"?>
<formControlPr xmlns="http://schemas.microsoft.com/office/spreadsheetml/2009/9/main" objectType="CheckBox" fmlaLink="HIDDEN!$A$94" lockText="1" noThreeD="1"/>
</file>

<file path=xl/ctrlProps/ctrlProp4.xml><?xml version="1.0" encoding="utf-8"?>
<formControlPr xmlns="http://schemas.microsoft.com/office/spreadsheetml/2009/9/main" objectType="CheckBox" fmlaLink="HIDDEN!$A$104" lockText="1" noThreeD="1"/>
</file>

<file path=xl/ctrlProps/ctrlProp5.xml><?xml version="1.0" encoding="utf-8"?>
<formControlPr xmlns="http://schemas.microsoft.com/office/spreadsheetml/2009/9/main" objectType="CheckBox" fmlaLink="HIDDEN!$A$89" lockText="1" noThreeD="1"/>
</file>

<file path=xl/ctrlProps/ctrlProp6.xml><?xml version="1.0" encoding="utf-8"?>
<formControlPr xmlns="http://schemas.microsoft.com/office/spreadsheetml/2009/9/main" objectType="CheckBox" fmlaLink="HIDDEN!$A$90" lockText="1" noThreeD="1"/>
</file>

<file path=xl/ctrlProps/ctrlProp7.xml><?xml version="1.0" encoding="utf-8"?>
<formControlPr xmlns="http://schemas.microsoft.com/office/spreadsheetml/2009/9/main" objectType="CheckBox" fmlaLink="HIDDEN!$A$97" lockText="1" noThreeD="1"/>
</file>

<file path=xl/ctrlProps/ctrlProp8.xml><?xml version="1.0" encoding="utf-8"?>
<formControlPr xmlns="http://schemas.microsoft.com/office/spreadsheetml/2009/9/main" objectType="CheckBox" fmlaLink="HIDDEN!$A$101" lockText="1" noThreeD="1"/>
</file>

<file path=xl/ctrlProps/ctrlProp9.xml><?xml version="1.0" encoding="utf-8"?>
<formControlPr xmlns="http://schemas.microsoft.com/office/spreadsheetml/2009/9/main" objectType="CheckBox" fmlaLink="HIDDEN!$A$103"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emf"/><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3.emf"/></Relationships>
</file>

<file path=xl/drawings/_rels/drawing7.xml.rels><?xml version="1.0" encoding="UTF-8" standalone="yes"?>
<Relationships xmlns="http://schemas.openxmlformats.org/package/2006/relationships"><Relationship Id="rId1" Type="http://schemas.openxmlformats.org/officeDocument/2006/relationships/image" Target="../media/image3.emf"/></Relationships>
</file>

<file path=xl/drawings/_rels/drawing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6.v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jpeg"/><Relationship Id="rId1" Type="http://schemas.openxmlformats.org/officeDocument/2006/relationships/image" Target="../media/image11.jpeg"/><Relationship Id="rId4" Type="http://schemas.openxmlformats.org/officeDocument/2006/relationships/image" Target="../media/image4.png"/></Relationships>
</file>

<file path=xl/drawings/_rels/vmlDrawing17.v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jpeg"/><Relationship Id="rId1" Type="http://schemas.openxmlformats.org/officeDocument/2006/relationships/image" Target="../media/image11.jpeg"/><Relationship Id="rId4" Type="http://schemas.openxmlformats.org/officeDocument/2006/relationships/image" Target="../media/image4.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571500</xdr:colOff>
      <xdr:row>9</xdr:row>
      <xdr:rowOff>63983</xdr:rowOff>
    </xdr:from>
    <xdr:to>
      <xdr:col>9</xdr:col>
      <xdr:colOff>192405</xdr:colOff>
      <xdr:row>9</xdr:row>
      <xdr:rowOff>321442</xdr:rowOff>
    </xdr:to>
    <xdr:pic>
      <xdr:nvPicPr>
        <xdr:cNvPr id="2" name="Picture 1" descr="A list of tabs corresponding to sheets in this document. The tabs are: Basic Project Data, Roadway, Multimodal, Pavement, Traffic Control, and Misc Items.">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11989" t="-2613" r="25958" b="-1641"/>
        <a:stretch/>
      </xdr:blipFill>
      <xdr:spPr>
        <a:xfrm>
          <a:off x="1300655" y="1739069"/>
          <a:ext cx="5539543" cy="244759"/>
        </a:xfrm>
        <a:prstGeom prst="rect">
          <a:avLst/>
        </a:prstGeom>
      </xdr:spPr>
    </xdr:pic>
    <xdr:clientData/>
  </xdr:twoCellAnchor>
  <xdr:twoCellAnchor editAs="oneCell">
    <xdr:from>
      <xdr:col>4</xdr:col>
      <xdr:colOff>357483</xdr:colOff>
      <xdr:row>11</xdr:row>
      <xdr:rowOff>32845</xdr:rowOff>
    </xdr:from>
    <xdr:to>
      <xdr:col>7</xdr:col>
      <xdr:colOff>288157</xdr:colOff>
      <xdr:row>11</xdr:row>
      <xdr:rowOff>283224</xdr:rowOff>
    </xdr:to>
    <xdr:pic>
      <xdr:nvPicPr>
        <xdr:cNvPr id="6" name="Picture 5" descr="A list of tabs corresponding to sheets in this document. The tabs are: Project Summary and Project Estimate.">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srcRect l="74107" t="-6736" b="-1"/>
        <a:stretch/>
      </xdr:blipFill>
      <xdr:spPr>
        <a:xfrm>
          <a:off x="2781431" y="2279431"/>
          <a:ext cx="2321340" cy="250379"/>
        </a:xfrm>
        <a:prstGeom prst="rect">
          <a:avLst/>
        </a:prstGeom>
      </xdr:spPr>
    </xdr:pic>
    <xdr:clientData/>
  </xdr:twoCellAnchor>
  <xdr:twoCellAnchor editAs="oneCell">
    <xdr:from>
      <xdr:col>1</xdr:col>
      <xdr:colOff>58070</xdr:colOff>
      <xdr:row>13</xdr:row>
      <xdr:rowOff>59121</xdr:rowOff>
    </xdr:from>
    <xdr:to>
      <xdr:col>10</xdr:col>
      <xdr:colOff>59341</xdr:colOff>
      <xdr:row>13</xdr:row>
      <xdr:rowOff>288227</xdr:rowOff>
    </xdr:to>
    <xdr:pic>
      <xdr:nvPicPr>
        <xdr:cNvPr id="3" name="Picture 2" descr="A list of tabs corresponding to the sheets in this document. The tabs are: area, pavement press, design, civil, edging, drainage, lighting, traffic, signal, amenitie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675553" y="2877207"/>
          <a:ext cx="6629138" cy="23799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1700893</xdr:colOff>
      <xdr:row>0</xdr:row>
      <xdr:rowOff>0</xdr:rowOff>
    </xdr:from>
    <xdr:ext cx="5551540" cy="1469954"/>
    <xdr:sp macro="" textlink="">
      <xdr:nvSpPr>
        <xdr:cNvPr id="4" name="Rectangle 3">
          <a:extLst>
            <a:ext uri="{FF2B5EF4-FFF2-40B4-BE49-F238E27FC236}">
              <a16:creationId xmlns:a16="http://schemas.microsoft.com/office/drawing/2014/main" id="{00000000-0008-0000-1300-000004000000}"/>
            </a:ext>
          </a:extLst>
        </xdr:cNvPr>
        <xdr:cNvSpPr/>
      </xdr:nvSpPr>
      <xdr:spPr>
        <a:xfrm>
          <a:off x="2258786" y="0"/>
          <a:ext cx="5551540" cy="1469954"/>
        </a:xfrm>
        <a:prstGeom prst="rect">
          <a:avLst/>
        </a:prstGeom>
        <a:noFill/>
      </xdr:spPr>
      <xdr:txBody>
        <a:bodyPr wrap="square" lIns="91440" tIns="45720" rIns="91440" bIns="45720">
          <a:spAutoFit/>
        </a:bodyPr>
        <a:lstStyle/>
        <a:p>
          <a:pPr algn="ctr"/>
          <a:r>
            <a:rPr lang="en-US" sz="8800" b="1" cap="none" spc="0">
              <a:ln w="9525">
                <a:noFill/>
                <a:prstDash val="solid"/>
              </a:ln>
              <a:solidFill>
                <a:schemeClr val="tx1">
                  <a:alpha val="10000"/>
                </a:schemeClr>
              </a:solidFill>
              <a:effectLst>
                <a:outerShdw blurRad="12700" dist="38100" dir="2700000" algn="tl" rotWithShape="0">
                  <a:schemeClr val="bg1">
                    <a:lumMod val="50000"/>
                  </a:schemeClr>
                </a:outerShdw>
              </a:effectLst>
            </a:rPr>
            <a:t>DRAFT</a:t>
          </a:r>
        </a:p>
      </xdr:txBody>
    </xdr:sp>
    <xdr:clientData/>
  </xdr:oneCellAnchor>
</xdr:wsDr>
</file>

<file path=xl/drawings/drawing2.xml><?xml version="1.0" encoding="utf-8"?>
<xdr:wsDr xmlns:xdr="http://schemas.openxmlformats.org/drawingml/2006/spreadsheetDrawing" xmlns:a="http://schemas.openxmlformats.org/drawingml/2006/main">
  <xdr:twoCellAnchor editAs="absolute">
    <xdr:from>
      <xdr:col>5</xdr:col>
      <xdr:colOff>366</xdr:colOff>
      <xdr:row>1</xdr:row>
      <xdr:rowOff>41182</xdr:rowOff>
    </xdr:from>
    <xdr:to>
      <xdr:col>7</xdr:col>
      <xdr:colOff>301685</xdr:colOff>
      <xdr:row>3</xdr:row>
      <xdr:rowOff>94494</xdr:rowOff>
    </xdr:to>
    <xdr:pic>
      <xdr:nvPicPr>
        <xdr:cNvPr id="2" name="Picture 2" hidden="1">
          <a:extLst>
            <a:ext uri="{FF2B5EF4-FFF2-40B4-BE49-F238E27FC236}">
              <a16:creationId xmlns:a16="http://schemas.microsoft.com/office/drawing/2014/main" id="{00000000-0008-0000-0100-000002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9791" y="241207"/>
          <a:ext cx="1798649"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25</xdr:row>
          <xdr:rowOff>66675</xdr:rowOff>
        </xdr:from>
        <xdr:to>
          <xdr:col>3</xdr:col>
          <xdr:colOff>257175</xdr:colOff>
          <xdr:row>26</xdr:row>
          <xdr:rowOff>104775</xdr:rowOff>
        </xdr:to>
        <xdr:sp macro="" textlink="">
          <xdr:nvSpPr>
            <xdr:cNvPr id="924703" name="Check Box 31" hidden="1">
              <a:extLst>
                <a:ext uri="{63B3BB69-23CF-44E3-9099-C40C66FF867C}">
                  <a14:compatExt spid="_x0000_s924703"/>
                </a:ext>
                <a:ext uri="{FF2B5EF4-FFF2-40B4-BE49-F238E27FC236}">
                  <a16:creationId xmlns:a16="http://schemas.microsoft.com/office/drawing/2014/main" id="{00000000-0008-0000-0100-00001F1C0E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Drainage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352425</xdr:colOff>
          <xdr:row>26</xdr:row>
          <xdr:rowOff>76200</xdr:rowOff>
        </xdr:from>
        <xdr:to>
          <xdr:col>4</xdr:col>
          <xdr:colOff>638175</xdr:colOff>
          <xdr:row>27</xdr:row>
          <xdr:rowOff>114300</xdr:rowOff>
        </xdr:to>
        <xdr:sp macro="" textlink="">
          <xdr:nvSpPr>
            <xdr:cNvPr id="924704" name="Check Box 32" hidden="1">
              <a:extLst>
                <a:ext uri="{63B3BB69-23CF-44E3-9099-C40C66FF867C}">
                  <a14:compatExt spid="_x0000_s924704"/>
                </a:ext>
                <a:ext uri="{FF2B5EF4-FFF2-40B4-BE49-F238E27FC236}">
                  <a16:creationId xmlns:a16="http://schemas.microsoft.com/office/drawing/2014/main" id="{00000000-0008-0000-0100-0000201C0E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Sidewalks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26</xdr:row>
          <xdr:rowOff>66675</xdr:rowOff>
        </xdr:from>
        <xdr:to>
          <xdr:col>6</xdr:col>
          <xdr:colOff>581025</xdr:colOff>
          <xdr:row>27</xdr:row>
          <xdr:rowOff>123825</xdr:rowOff>
        </xdr:to>
        <xdr:sp macro="" textlink="">
          <xdr:nvSpPr>
            <xdr:cNvPr id="924705" name="Check Box 33" hidden="1">
              <a:extLst>
                <a:ext uri="{63B3BB69-23CF-44E3-9099-C40C66FF867C}">
                  <a14:compatExt spid="_x0000_s924705"/>
                </a:ext>
                <a:ext uri="{FF2B5EF4-FFF2-40B4-BE49-F238E27FC236}">
                  <a16:creationId xmlns:a16="http://schemas.microsoft.com/office/drawing/2014/main" id="{00000000-0008-0000-0100-0000211C0E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Traffic Signals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466725</xdr:colOff>
          <xdr:row>25</xdr:row>
          <xdr:rowOff>38100</xdr:rowOff>
        </xdr:from>
        <xdr:to>
          <xdr:col>9</xdr:col>
          <xdr:colOff>295275</xdr:colOff>
          <xdr:row>26</xdr:row>
          <xdr:rowOff>123825</xdr:rowOff>
        </xdr:to>
        <xdr:sp macro="" textlink="">
          <xdr:nvSpPr>
            <xdr:cNvPr id="924706" name="Check Box 34" hidden="1">
              <a:extLst>
                <a:ext uri="{63B3BB69-23CF-44E3-9099-C40C66FF867C}">
                  <a14:compatExt spid="_x0000_s924706"/>
                </a:ext>
                <a:ext uri="{FF2B5EF4-FFF2-40B4-BE49-F238E27FC236}">
                  <a16:creationId xmlns:a16="http://schemas.microsoft.com/office/drawing/2014/main" id="{00000000-0008-0000-0100-0000221C0E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Pavement Patching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26</xdr:row>
          <xdr:rowOff>66675</xdr:rowOff>
        </xdr:from>
        <xdr:to>
          <xdr:col>3</xdr:col>
          <xdr:colOff>266700</xdr:colOff>
          <xdr:row>27</xdr:row>
          <xdr:rowOff>76200</xdr:rowOff>
        </xdr:to>
        <xdr:sp macro="" textlink="">
          <xdr:nvSpPr>
            <xdr:cNvPr id="924707" name="Check Box 35" hidden="1">
              <a:extLst>
                <a:ext uri="{63B3BB69-23CF-44E3-9099-C40C66FF867C}">
                  <a14:compatExt spid="_x0000_s924707"/>
                </a:ext>
                <a:ext uri="{FF2B5EF4-FFF2-40B4-BE49-F238E27FC236}">
                  <a16:creationId xmlns:a16="http://schemas.microsoft.com/office/drawing/2014/main" id="{00000000-0008-0000-0100-0000231C0E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Curbing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27</xdr:row>
          <xdr:rowOff>47625</xdr:rowOff>
        </xdr:from>
        <xdr:to>
          <xdr:col>3</xdr:col>
          <xdr:colOff>371475</xdr:colOff>
          <xdr:row>28</xdr:row>
          <xdr:rowOff>66675</xdr:rowOff>
        </xdr:to>
        <xdr:sp macro="" textlink="">
          <xdr:nvSpPr>
            <xdr:cNvPr id="924708" name="Check Box 36" hidden="1">
              <a:extLst>
                <a:ext uri="{63B3BB69-23CF-44E3-9099-C40C66FF867C}">
                  <a14:compatExt spid="_x0000_s924708"/>
                </a:ext>
                <a:ext uri="{FF2B5EF4-FFF2-40B4-BE49-F238E27FC236}">
                  <a16:creationId xmlns:a16="http://schemas.microsoft.com/office/drawing/2014/main" id="{00000000-0008-0000-0100-0000241C0E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Fence/Rail/Wall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25</xdr:row>
          <xdr:rowOff>66675</xdr:rowOff>
        </xdr:from>
        <xdr:to>
          <xdr:col>6</xdr:col>
          <xdr:colOff>581025</xdr:colOff>
          <xdr:row>26</xdr:row>
          <xdr:rowOff>114300</xdr:rowOff>
        </xdr:to>
        <xdr:sp macro="" textlink="">
          <xdr:nvSpPr>
            <xdr:cNvPr id="924709" name="Check Box 37" hidden="1">
              <a:extLst>
                <a:ext uri="{63B3BB69-23CF-44E3-9099-C40C66FF867C}">
                  <a14:compatExt spid="_x0000_s924709"/>
                </a:ext>
                <a:ext uri="{FF2B5EF4-FFF2-40B4-BE49-F238E27FC236}">
                  <a16:creationId xmlns:a16="http://schemas.microsoft.com/office/drawing/2014/main" id="{00000000-0008-0000-0100-0000251C0E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RRFBs/HAWKs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352425</xdr:colOff>
          <xdr:row>27</xdr:row>
          <xdr:rowOff>66675</xdr:rowOff>
        </xdr:from>
        <xdr:to>
          <xdr:col>4</xdr:col>
          <xdr:colOff>733425</xdr:colOff>
          <xdr:row>28</xdr:row>
          <xdr:rowOff>104775</xdr:rowOff>
        </xdr:to>
        <xdr:sp macro="" textlink="">
          <xdr:nvSpPr>
            <xdr:cNvPr id="924710" name="Check Box 38" hidden="1">
              <a:extLst>
                <a:ext uri="{63B3BB69-23CF-44E3-9099-C40C66FF867C}">
                  <a14:compatExt spid="_x0000_s924710"/>
                </a:ext>
                <a:ext uri="{FF2B5EF4-FFF2-40B4-BE49-F238E27FC236}">
                  <a16:creationId xmlns:a16="http://schemas.microsoft.com/office/drawing/2014/main" id="{00000000-0008-0000-0100-0000261C0E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Bike Facilities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28</xdr:row>
          <xdr:rowOff>161925</xdr:rowOff>
        </xdr:from>
        <xdr:to>
          <xdr:col>6</xdr:col>
          <xdr:colOff>561975</xdr:colOff>
          <xdr:row>31</xdr:row>
          <xdr:rowOff>38100</xdr:rowOff>
        </xdr:to>
        <xdr:sp macro="" textlink="">
          <xdr:nvSpPr>
            <xdr:cNvPr id="924711" name="Check Box 39" hidden="1">
              <a:extLst>
                <a:ext uri="{63B3BB69-23CF-44E3-9099-C40C66FF867C}">
                  <a14:compatExt spid="_x0000_s924711"/>
                </a:ext>
                <a:ext uri="{FF2B5EF4-FFF2-40B4-BE49-F238E27FC236}">
                  <a16:creationId xmlns:a16="http://schemas.microsoft.com/office/drawing/2014/main" id="{00000000-0008-0000-0100-0000271C0E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Complete Streets Amenities (i.e. bike racks)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466725</xdr:colOff>
          <xdr:row>26</xdr:row>
          <xdr:rowOff>66675</xdr:rowOff>
        </xdr:from>
        <xdr:to>
          <xdr:col>9</xdr:col>
          <xdr:colOff>295275</xdr:colOff>
          <xdr:row>27</xdr:row>
          <xdr:rowOff>104775</xdr:rowOff>
        </xdr:to>
        <xdr:sp macro="" textlink="">
          <xdr:nvSpPr>
            <xdr:cNvPr id="924712" name="Check Box 40" hidden="1">
              <a:extLst>
                <a:ext uri="{63B3BB69-23CF-44E3-9099-C40C66FF867C}">
                  <a14:compatExt spid="_x0000_s924712"/>
                </a:ext>
                <a:ext uri="{FF2B5EF4-FFF2-40B4-BE49-F238E27FC236}">
                  <a16:creationId xmlns:a16="http://schemas.microsoft.com/office/drawing/2014/main" id="{00000000-0008-0000-0100-0000281C0E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Pavement Preservation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28</xdr:row>
          <xdr:rowOff>38100</xdr:rowOff>
        </xdr:from>
        <xdr:to>
          <xdr:col>3</xdr:col>
          <xdr:colOff>295275</xdr:colOff>
          <xdr:row>29</xdr:row>
          <xdr:rowOff>76200</xdr:rowOff>
        </xdr:to>
        <xdr:sp macro="" textlink="">
          <xdr:nvSpPr>
            <xdr:cNvPr id="924713" name="Check Box 41" hidden="1">
              <a:extLst>
                <a:ext uri="{63B3BB69-23CF-44E3-9099-C40C66FF867C}">
                  <a14:compatExt spid="_x0000_s924713"/>
                </a:ext>
                <a:ext uri="{FF2B5EF4-FFF2-40B4-BE49-F238E27FC236}">
                  <a16:creationId xmlns:a16="http://schemas.microsoft.com/office/drawing/2014/main" id="{00000000-0008-0000-0100-0000291C0E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Curb Ramps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352425</xdr:colOff>
          <xdr:row>25</xdr:row>
          <xdr:rowOff>66675</xdr:rowOff>
        </xdr:from>
        <xdr:to>
          <xdr:col>4</xdr:col>
          <xdr:colOff>657225</xdr:colOff>
          <xdr:row>26</xdr:row>
          <xdr:rowOff>114300</xdr:rowOff>
        </xdr:to>
        <xdr:sp macro="" textlink="">
          <xdr:nvSpPr>
            <xdr:cNvPr id="924714" name="Check Box 42" hidden="1">
              <a:extLst>
                <a:ext uri="{63B3BB69-23CF-44E3-9099-C40C66FF867C}">
                  <a14:compatExt spid="_x0000_s924714"/>
                </a:ext>
                <a:ext uri="{FF2B5EF4-FFF2-40B4-BE49-F238E27FC236}">
                  <a16:creationId xmlns:a16="http://schemas.microsoft.com/office/drawing/2014/main" id="{00000000-0008-0000-0100-00002A1C0E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Median Islands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466725</xdr:colOff>
          <xdr:row>27</xdr:row>
          <xdr:rowOff>76200</xdr:rowOff>
        </xdr:from>
        <xdr:to>
          <xdr:col>9</xdr:col>
          <xdr:colOff>457200</xdr:colOff>
          <xdr:row>28</xdr:row>
          <xdr:rowOff>104775</xdr:rowOff>
        </xdr:to>
        <xdr:sp macro="" textlink="">
          <xdr:nvSpPr>
            <xdr:cNvPr id="924715" name="Check Box 43" hidden="1">
              <a:extLst>
                <a:ext uri="{63B3BB69-23CF-44E3-9099-C40C66FF867C}">
                  <a14:compatExt spid="_x0000_s924715"/>
                </a:ext>
                <a:ext uri="{FF2B5EF4-FFF2-40B4-BE49-F238E27FC236}">
                  <a16:creationId xmlns:a16="http://schemas.microsoft.com/office/drawing/2014/main" id="{00000000-0008-0000-0100-00002B1C0E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Full Depth Construction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29</xdr:row>
          <xdr:rowOff>66675</xdr:rowOff>
        </xdr:from>
        <xdr:to>
          <xdr:col>4</xdr:col>
          <xdr:colOff>600075</xdr:colOff>
          <xdr:row>30</xdr:row>
          <xdr:rowOff>114300</xdr:rowOff>
        </xdr:to>
        <xdr:sp macro="" textlink="">
          <xdr:nvSpPr>
            <xdr:cNvPr id="924716" name="Check Box 44" hidden="1">
              <a:extLst>
                <a:ext uri="{63B3BB69-23CF-44E3-9099-C40C66FF867C}">
                  <a14:compatExt spid="_x0000_s924716"/>
                </a:ext>
                <a:ext uri="{FF2B5EF4-FFF2-40B4-BE49-F238E27FC236}">
                  <a16:creationId xmlns:a16="http://schemas.microsoft.com/office/drawing/2014/main" id="{00000000-0008-0000-0100-00002C1C0E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Path Lighting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466725</xdr:colOff>
          <xdr:row>29</xdr:row>
          <xdr:rowOff>85725</xdr:rowOff>
        </xdr:from>
        <xdr:to>
          <xdr:col>9</xdr:col>
          <xdr:colOff>276225</xdr:colOff>
          <xdr:row>30</xdr:row>
          <xdr:rowOff>152400</xdr:rowOff>
        </xdr:to>
        <xdr:sp macro="" textlink="">
          <xdr:nvSpPr>
            <xdr:cNvPr id="924717" name="Check Box 45" hidden="1">
              <a:extLst>
                <a:ext uri="{63B3BB69-23CF-44E3-9099-C40C66FF867C}">
                  <a14:compatExt spid="_x0000_s924717"/>
                </a:ext>
                <a:ext uri="{FF2B5EF4-FFF2-40B4-BE49-F238E27FC236}">
                  <a16:creationId xmlns:a16="http://schemas.microsoft.com/office/drawing/2014/main" id="{00000000-0008-0000-0100-00002D1C0E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Roadway Lighting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28</xdr:row>
          <xdr:rowOff>85725</xdr:rowOff>
        </xdr:from>
        <xdr:to>
          <xdr:col>9</xdr:col>
          <xdr:colOff>333375</xdr:colOff>
          <xdr:row>29</xdr:row>
          <xdr:rowOff>114300</xdr:rowOff>
        </xdr:to>
        <xdr:sp macro="" textlink="">
          <xdr:nvSpPr>
            <xdr:cNvPr id="924718" name="Check Box 46" hidden="1">
              <a:extLst>
                <a:ext uri="{63B3BB69-23CF-44E3-9099-C40C66FF867C}">
                  <a14:compatExt spid="_x0000_s924718"/>
                </a:ext>
                <a:ext uri="{FF2B5EF4-FFF2-40B4-BE49-F238E27FC236}">
                  <a16:creationId xmlns:a16="http://schemas.microsoft.com/office/drawing/2014/main" id="{00000000-0008-0000-0100-00002E1C0E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Resurfacing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352425</xdr:colOff>
          <xdr:row>28</xdr:row>
          <xdr:rowOff>47625</xdr:rowOff>
        </xdr:from>
        <xdr:to>
          <xdr:col>4</xdr:col>
          <xdr:colOff>714375</xdr:colOff>
          <xdr:row>29</xdr:row>
          <xdr:rowOff>104775</xdr:rowOff>
        </xdr:to>
        <xdr:sp macro="" textlink="">
          <xdr:nvSpPr>
            <xdr:cNvPr id="924719" name="Check Box 47" hidden="1">
              <a:extLst>
                <a:ext uri="{63B3BB69-23CF-44E3-9099-C40C66FF867C}">
                  <a14:compatExt spid="_x0000_s924719"/>
                </a:ext>
                <a:ext uri="{FF2B5EF4-FFF2-40B4-BE49-F238E27FC236}">
                  <a16:creationId xmlns:a16="http://schemas.microsoft.com/office/drawing/2014/main" id="{00000000-0008-0000-0100-00002F1C0E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Shared Use Paths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29</xdr:row>
          <xdr:rowOff>66675</xdr:rowOff>
        </xdr:from>
        <xdr:to>
          <xdr:col>3</xdr:col>
          <xdr:colOff>333375</xdr:colOff>
          <xdr:row>30</xdr:row>
          <xdr:rowOff>104775</xdr:rowOff>
        </xdr:to>
        <xdr:sp macro="" textlink="">
          <xdr:nvSpPr>
            <xdr:cNvPr id="924720" name="Check Box 48" hidden="1">
              <a:extLst>
                <a:ext uri="{63B3BB69-23CF-44E3-9099-C40C66FF867C}">
                  <a14:compatExt spid="_x0000_s924720"/>
                </a:ext>
                <a:ext uri="{FF2B5EF4-FFF2-40B4-BE49-F238E27FC236}">
                  <a16:creationId xmlns:a16="http://schemas.microsoft.com/office/drawing/2014/main" id="{00000000-0008-0000-0100-0000301C0E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Raised Crossings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28</xdr:row>
          <xdr:rowOff>9525</xdr:rowOff>
        </xdr:from>
        <xdr:to>
          <xdr:col>6</xdr:col>
          <xdr:colOff>352425</xdr:colOff>
          <xdr:row>29</xdr:row>
          <xdr:rowOff>85725</xdr:rowOff>
        </xdr:to>
        <xdr:sp macro="" textlink="">
          <xdr:nvSpPr>
            <xdr:cNvPr id="924721" name="Check Box 49" hidden="1">
              <a:extLst>
                <a:ext uri="{63B3BB69-23CF-44E3-9099-C40C66FF867C}">
                  <a14:compatExt spid="_x0000_s924721"/>
                </a:ext>
                <a:ext uri="{FF2B5EF4-FFF2-40B4-BE49-F238E27FC236}">
                  <a16:creationId xmlns:a16="http://schemas.microsoft.com/office/drawing/2014/main" id="{00000000-0008-0000-0100-0000311C0E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Bike Signals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27</xdr:row>
          <xdr:rowOff>38100</xdr:rowOff>
        </xdr:from>
        <xdr:to>
          <xdr:col>7</xdr:col>
          <xdr:colOff>238125</xdr:colOff>
          <xdr:row>28</xdr:row>
          <xdr:rowOff>104775</xdr:rowOff>
        </xdr:to>
        <xdr:sp macro="" textlink="">
          <xdr:nvSpPr>
            <xdr:cNvPr id="924728" name="Check Box 56" hidden="1">
              <a:extLst>
                <a:ext uri="{63B3BB69-23CF-44E3-9099-C40C66FF867C}">
                  <a14:compatExt spid="_x0000_s924728"/>
                </a:ext>
                <a:ext uri="{FF2B5EF4-FFF2-40B4-BE49-F238E27FC236}">
                  <a16:creationId xmlns:a16="http://schemas.microsoft.com/office/drawing/2014/main" id="{00000000-0008-0000-0100-0000381C0E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Pedestrian Signal Equipment</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absolute">
    <xdr:from>
      <xdr:col>4</xdr:col>
      <xdr:colOff>783404</xdr:colOff>
      <xdr:row>1</xdr:row>
      <xdr:rowOff>54810</xdr:rowOff>
    </xdr:from>
    <xdr:to>
      <xdr:col>6</xdr:col>
      <xdr:colOff>534261</xdr:colOff>
      <xdr:row>3</xdr:row>
      <xdr:rowOff>98918</xdr:rowOff>
    </xdr:to>
    <xdr:pic>
      <xdr:nvPicPr>
        <xdr:cNvPr id="2" name="Picture 2" hidden="1">
          <a:extLst>
            <a:ext uri="{FF2B5EF4-FFF2-40B4-BE49-F238E27FC236}">
              <a16:creationId xmlns:a16="http://schemas.microsoft.com/office/drawing/2014/main" id="{00000000-0008-0000-0200-000002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9791" y="241207"/>
          <a:ext cx="1798649"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19050</xdr:colOff>
      <xdr:row>6</xdr:row>
      <xdr:rowOff>59635</xdr:rowOff>
    </xdr:from>
    <xdr:to>
      <xdr:col>10</xdr:col>
      <xdr:colOff>207010</xdr:colOff>
      <xdr:row>7</xdr:row>
      <xdr:rowOff>19375</xdr:rowOff>
    </xdr:to>
    <xdr:pic>
      <xdr:nvPicPr>
        <xdr:cNvPr id="26" name="Picture 10" descr="A graphic showing a cross section of the roadway. Starting from the left are two directions of pedestrian and bicyclist facility, a pedestrian and bicyclist buffer with grass and plants, three lanes of traffic, a bicycle buffer, one direction of bicyclist facility, a pedestrian buffer with trees, and a pedestrian facility. ">
          <a:extLst>
            <a:ext uri="{FF2B5EF4-FFF2-40B4-BE49-F238E27FC236}">
              <a16:creationId xmlns:a16="http://schemas.microsoft.com/office/drawing/2014/main" id="{00000000-0008-0000-0300-00001A000000}"/>
            </a:ext>
          </a:extLst>
        </xdr:cNvPr>
        <xdr:cNvPicPr>
          <a:picLocks noChangeAspect="1"/>
        </xdr:cNvPicPr>
      </xdr:nvPicPr>
      <xdr:blipFill rotWithShape="1">
        <a:blip xmlns:r="http://schemas.openxmlformats.org/officeDocument/2006/relationships" r:embed="rId1"/>
        <a:srcRect l="148" r="642"/>
        <a:stretch/>
      </xdr:blipFill>
      <xdr:spPr>
        <a:xfrm>
          <a:off x="619125" y="1574110"/>
          <a:ext cx="6381750" cy="2372740"/>
        </a:xfrm>
        <a:prstGeom prst="rect">
          <a:avLst/>
        </a:prstGeom>
      </xdr:spPr>
    </xdr:pic>
    <xdr:clientData/>
  </xdr:twoCellAnchor>
  <xdr:twoCellAnchor editAs="absolute">
    <xdr:from>
      <xdr:col>5</xdr:col>
      <xdr:colOff>366</xdr:colOff>
      <xdr:row>1</xdr:row>
      <xdr:rowOff>54900</xdr:rowOff>
    </xdr:from>
    <xdr:to>
      <xdr:col>7</xdr:col>
      <xdr:colOff>284540</xdr:colOff>
      <xdr:row>3</xdr:row>
      <xdr:rowOff>98687</xdr:rowOff>
    </xdr:to>
    <xdr:pic>
      <xdr:nvPicPr>
        <xdr:cNvPr id="2" name="Picture 2" hidden="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19791" y="241207"/>
          <a:ext cx="1798649"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-1565376</xdr:colOff>
      <xdr:row>33</xdr:row>
      <xdr:rowOff>0</xdr:rowOff>
    </xdr:from>
    <xdr:ext cx="802944" cy="2271794"/>
    <xdr:pic>
      <xdr:nvPicPr>
        <xdr:cNvPr id="3" name="Picture 23">
          <a:extLst>
            <a:ext uri="{FF2B5EF4-FFF2-40B4-BE49-F238E27FC236}">
              <a16:creationId xmlns:a16="http://schemas.microsoft.com/office/drawing/2014/main" id="{00000000-0008-0000-03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12762638" y="5340034"/>
          <a:ext cx="802944" cy="2199784"/>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absolute">
    <xdr:from>
      <xdr:col>4</xdr:col>
      <xdr:colOff>168006</xdr:colOff>
      <xdr:row>1</xdr:row>
      <xdr:rowOff>41182</xdr:rowOff>
    </xdr:from>
    <xdr:to>
      <xdr:col>6</xdr:col>
      <xdr:colOff>417890</xdr:colOff>
      <xdr:row>3</xdr:row>
      <xdr:rowOff>94522</xdr:rowOff>
    </xdr:to>
    <xdr:pic>
      <xdr:nvPicPr>
        <xdr:cNvPr id="2" name="Picture 2" hidden="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9791" y="241207"/>
          <a:ext cx="1798649"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322479</xdr:colOff>
      <xdr:row>5</xdr:row>
      <xdr:rowOff>413681</xdr:rowOff>
    </xdr:from>
    <xdr:to>
      <xdr:col>22</xdr:col>
      <xdr:colOff>364861</xdr:colOff>
      <xdr:row>15</xdr:row>
      <xdr:rowOff>129812</xdr:rowOff>
    </xdr:to>
    <xdr:pic>
      <xdr:nvPicPr>
        <xdr:cNvPr id="3" name="Picture 2" descr="A graphic depicting the layers of pavement. To the right is a gradient listing materials at each layer. From top to bottom, the materials are: fog seal, rejuvenating fog seal, slurry seal, micro surfacing, cape seal, ultra thin lift HMA, chip seal, crack seal, scrub seal, tack coat, prime coat, cold planing and micro milling, hot in-place recycling, cold in-place recycling, cold central plant recycling, full depth reclamation, base stabilization, and soil stabilization and soil modification. ">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266454" y="1737656"/>
          <a:ext cx="8266267" cy="36112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4</xdr:col>
      <xdr:colOff>323128</xdr:colOff>
      <xdr:row>1</xdr:row>
      <xdr:rowOff>41182</xdr:rowOff>
    </xdr:from>
    <xdr:to>
      <xdr:col>5</xdr:col>
      <xdr:colOff>1350161</xdr:colOff>
      <xdr:row>3</xdr:row>
      <xdr:rowOff>94522</xdr:rowOff>
    </xdr:to>
    <xdr:pic>
      <xdr:nvPicPr>
        <xdr:cNvPr id="2" name="Picture 2" hidden="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6064" y="250732"/>
          <a:ext cx="180603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554402</xdr:colOff>
      <xdr:row>21</xdr:row>
      <xdr:rowOff>94032</xdr:rowOff>
    </xdr:from>
    <xdr:to>
      <xdr:col>10</xdr:col>
      <xdr:colOff>357</xdr:colOff>
      <xdr:row>23</xdr:row>
      <xdr:rowOff>1865187</xdr:rowOff>
    </xdr:to>
    <xdr:pic>
      <xdr:nvPicPr>
        <xdr:cNvPr id="3" name="Picture 2" descr="A rendering showing proposed placement of traffic control devices. The devices are labeled, and from left to right they read: pedestrian signal, traffic signal posts, traffic signal controller, pedestrian pushbutton, bike signal, traffic signal indicators, mast arm, and pedestrian signals. ">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1150667" y="4155492"/>
          <a:ext cx="8107990" cy="557734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3</xdr:col>
      <xdr:colOff>515075</xdr:colOff>
      <xdr:row>1</xdr:row>
      <xdr:rowOff>57936</xdr:rowOff>
    </xdr:from>
    <xdr:to>
      <xdr:col>4</xdr:col>
      <xdr:colOff>326947</xdr:colOff>
      <xdr:row>3</xdr:row>
      <xdr:rowOff>93468</xdr:rowOff>
    </xdr:to>
    <xdr:pic>
      <xdr:nvPicPr>
        <xdr:cNvPr id="2" name="Picture 2" hidden="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9791" y="241207"/>
          <a:ext cx="1798649"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115957</xdr:colOff>
      <xdr:row>34</xdr:row>
      <xdr:rowOff>149087</xdr:rowOff>
    </xdr:from>
    <xdr:ext cx="5551540" cy="1469954"/>
    <xdr:sp macro="" textlink="">
      <xdr:nvSpPr>
        <xdr:cNvPr id="2" name="Rectangle 1">
          <a:extLst>
            <a:ext uri="{FF2B5EF4-FFF2-40B4-BE49-F238E27FC236}">
              <a16:creationId xmlns:a16="http://schemas.microsoft.com/office/drawing/2014/main" id="{00000000-0008-0000-0A00-000002000000}"/>
            </a:ext>
          </a:extLst>
        </xdr:cNvPr>
        <xdr:cNvSpPr/>
      </xdr:nvSpPr>
      <xdr:spPr>
        <a:xfrm>
          <a:off x="115957" y="7984435"/>
          <a:ext cx="5551540" cy="1469954"/>
        </a:xfrm>
        <a:prstGeom prst="rect">
          <a:avLst/>
        </a:prstGeom>
        <a:noFill/>
      </xdr:spPr>
      <xdr:txBody>
        <a:bodyPr wrap="square" lIns="91440" tIns="45720" rIns="91440" bIns="45720">
          <a:spAutoFit/>
        </a:bodyPr>
        <a:lstStyle/>
        <a:p>
          <a:pPr algn="ctr"/>
          <a:r>
            <a:rPr lang="en-US" sz="8800" b="1" cap="none" spc="0">
              <a:ln w="9525">
                <a:noFill/>
                <a:prstDash val="solid"/>
              </a:ln>
              <a:solidFill>
                <a:schemeClr val="tx1">
                  <a:alpha val="10000"/>
                </a:schemeClr>
              </a:solidFill>
              <a:effectLst>
                <a:outerShdw blurRad="12700" dist="38100" dir="2700000" algn="tl" rotWithShape="0">
                  <a:schemeClr val="bg1">
                    <a:lumMod val="50000"/>
                  </a:schemeClr>
                </a:outerShdw>
              </a:effectLst>
            </a:rPr>
            <a:t>DRAFT</a:t>
          </a:r>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20</xdr:col>
      <xdr:colOff>209549</xdr:colOff>
      <xdr:row>146</xdr:row>
      <xdr:rowOff>25894</xdr:rowOff>
    </xdr:from>
    <xdr:to>
      <xdr:col>26</xdr:col>
      <xdr:colOff>556258</xdr:colOff>
      <xdr:row>170</xdr:row>
      <xdr:rowOff>169423</xdr:rowOff>
    </xdr:to>
    <xdr:pic>
      <xdr:nvPicPr>
        <xdr:cNvPr id="10" name="Picture 2" descr="A drawing of and specifications for low retaining walls.">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1"/>
        <a:stretch>
          <a:fillRect/>
        </a:stretch>
      </xdr:blipFill>
      <xdr:spPr>
        <a:xfrm>
          <a:off x="12249149" y="27086419"/>
          <a:ext cx="4013834" cy="5178444"/>
        </a:xfrm>
        <a:prstGeom prst="rect">
          <a:avLst/>
        </a:prstGeom>
      </xdr:spPr>
    </xdr:pic>
    <xdr:clientData/>
  </xdr:twoCellAnchor>
  <xdr:twoCellAnchor editAs="oneCell">
    <xdr:from>
      <xdr:col>13</xdr:col>
      <xdr:colOff>333499</xdr:colOff>
      <xdr:row>146</xdr:row>
      <xdr:rowOff>38099</xdr:rowOff>
    </xdr:from>
    <xdr:to>
      <xdr:col>20</xdr:col>
      <xdr:colOff>170405</xdr:colOff>
      <xdr:row>171</xdr:row>
      <xdr:rowOff>35226</xdr:rowOff>
    </xdr:to>
    <xdr:pic>
      <xdr:nvPicPr>
        <xdr:cNvPr id="9" name="Picture 3" descr="A drawing of and specifications for low retaining walls.">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2"/>
        <a:stretch>
          <a:fillRect/>
        </a:stretch>
      </xdr:blipFill>
      <xdr:spPr>
        <a:xfrm>
          <a:off x="8105899" y="27098624"/>
          <a:ext cx="4111726" cy="522635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7A5605C-6178-4BFC-89CD-9A7EC87DFB02}" name="PullFromCalcs" displayName="PullFromCalcs" ref="Y9:AD165" totalsRowShown="0" headerRowDxfId="240" dataDxfId="239">
  <autoFilter ref="Y9:AD165" xr:uid="{D7A5605C-6178-4BFC-89CD-9A7EC87DFB02}"/>
  <tableColumns count="6">
    <tableColumn id="1" xr3:uid="{0BE09A2E-86BD-4C96-90E4-A151D0CD7F30}" name="Item" dataDxfId="238"/>
    <tableColumn id="2" xr3:uid="{23B57ACA-E16D-48C4-94BA-B7E108A835EE}" name="Sheet" dataDxfId="237"/>
    <tableColumn id="3" xr3:uid="{774CE538-C92C-47B8-9581-B4117DEF8697}" name="Quantity" dataDxfId="236">
      <calculatedColumnFormula array="1">_xlfn.XLOOKUP($Y10,INDIRECT("'"&amp;$Z10&amp;"'!C1:C1000"),INDIRECT("'"&amp;$Z10&amp;"'!"&amp;AA$8&amp;"1:"&amp;AA$8&amp;"1000"))</calculatedColumnFormula>
    </tableColumn>
    <tableColumn id="4" xr3:uid="{660E1A8E-66B1-49D8-B458-C9FD7B193D70}" name="Unit Price" dataDxfId="235">
      <calculatedColumnFormula array="1">_xlfn.XLOOKUP($Y10,INDIRECT("'"&amp;$Z10&amp;"'!C1:C1000"),INDIRECT("'"&amp;$Z10&amp;"'!"&amp;AB$8&amp;"1:"&amp;AB$8&amp;"1000"))</calculatedColumnFormula>
    </tableColumn>
    <tableColumn id="5" xr3:uid="{54306E21-6CDF-4302-98D6-8F996EE74EB2}" name="Price" dataDxfId="234" dataCellStyle="Currency">
      <calculatedColumnFormula array="1">_xlfn.XLOOKUP($Y10,INDIRECT("'"&amp;$Z10&amp;"'!C1:C1000"),INDIRECT("'"&amp;$Z10&amp;"'!"&amp;AC$8&amp;"1:"&amp;AC$8&amp;"1000"))</calculatedColumnFormula>
    </tableColumn>
    <tableColumn id="6" xr3:uid="{E7ACAF21-380C-453E-BC07-8E82F248C7BE}" name="Column1" dataDxfId="23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6585827-D2DD-4087-B72F-1D67246D1BE3}" name="Output" displayName="Output" ref="A7:K247" totalsRowShown="0" headerRowDxfId="232">
  <autoFilter ref="A7:K247" xr:uid="{46585827-D2DD-4087-B72F-1D67246D1BE3}"/>
  <tableColumns count="11">
    <tableColumn id="1" xr3:uid="{7DC71625-6332-44E6-B124-8019EEFFB5CC}" name="Item #" dataDxfId="231" dataCellStyle="Normal 12"/>
    <tableColumn id="2" xr3:uid="{C4C57BEA-2C7A-4A0A-851A-ACEBE8535DE8}" name="Description" dataDxfId="230"/>
    <tableColumn id="3" xr3:uid="{EA3209B4-46D8-416E-A7A2-9B94C0B01046}" name="Units" dataDxfId="229"/>
    <tableColumn id="4" xr3:uid="{EBBF4EEC-9609-447D-A615-4855F36EDD96}" name="Quantity" dataDxfId="228"/>
    <tableColumn id="5" xr3:uid="{4A43BD1E-52FE-4D91-BC7D-221FA2118562}" name="Unit Price (Max or Override)" dataDxfId="227"/>
    <tableColumn id="6" xr3:uid="{5EF81AB3-2A50-4E71-AC5B-A983474243B8}" name="Total Cost" dataDxfId="226">
      <calculatedColumnFormula>IFERROR(E8*D8,0)</calculatedColumnFormula>
    </tableColumn>
    <tableColumn id="7" xr3:uid="{B3BF0BDF-4F74-437C-A30F-93DCF3A0A6EB}" name="Sheet" dataDxfId="225">
      <calculatedColumnFormula>_xlfn.XLOOKUP(A8,OUTPUT!$Y$10:$Y$165,OUTPUT!$Z$10:$Z$165,"USER INPUT")</calculatedColumnFormula>
    </tableColumn>
    <tableColumn id="8" xr3:uid="{EA92B960-991F-48E2-8D90-6EE9BDEE4725}" name="Mean District Price" dataDxfId="224">
      <calculatedColumnFormula array="1">_xlfn.XLOOKUP($A8&amp;BasicProjectData!$G$18,PRICES!$B$2:$B$3684&amp;PRICES!$A$2:$A$3684,PRICES!$H$2:$H$3684)</calculatedColumnFormula>
    </tableColumn>
    <tableColumn id="9" xr3:uid="{C436D92D-E16A-4A29-A52D-7E5A72EC6257}" name="Mean Unit Price State" dataDxfId="223">
      <calculatedColumnFormula array="1">_xlfn.XLOOKUP($A8&amp;"All Districts",PRICES!$B$2:$B$3684&amp;PRICES!$A$2:$A$3684,PRICES!$H$2:$H$3684)</calculatedColumnFormula>
    </tableColumn>
    <tableColumn id="10" xr3:uid="{B26B8398-4DC6-4170-8B57-3215773ECAD1}" name="Price Override?"/>
    <tableColumn id="11" xr3:uid="{6AFDEE45-DDA8-4410-8612-F4907371CCC2}" name="Column1" dataDxfId="222">
      <calculatedColumnFormula>IF(AND(_xlfn.IFNA(Output[[#This Row],[Mean Unit Price State]],0)=0,Output[[#This Row],[Price Override?]]=0),"CHECK","")</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60BD4A8-E3E0-4930-9AAF-D57FE13DA56E}" name="Prices" displayName="Prices" ref="A1:H3683" totalsRowShown="0" headerRowDxfId="221" dataDxfId="219" headerRowBorderDxfId="220" tableBorderDxfId="218" totalsRowBorderDxfId="217" headerRowCellStyle="Normal 12" dataCellStyle="Normal 12">
  <autoFilter ref="A1:H3683" xr:uid="{260BD4A8-E3E0-4930-9AAF-D57FE13DA56E}"/>
  <tableColumns count="8">
    <tableColumn id="1" xr3:uid="{9699903D-5D89-4ACE-843B-F67E1560E143}" name="Location" dataDxfId="216" dataCellStyle="Normal 12"/>
    <tableColumn id="2" xr3:uid="{07FE6EBE-9552-486E-B3CE-23ADA07ECB7C}" name="Item #" dataDxfId="215" dataCellStyle="Normal 12"/>
    <tableColumn id="3" xr3:uid="{C450CE1E-8910-4339-8FDA-76FD043B1A60}" name="Description" dataDxfId="214" dataCellStyle="Normal 12"/>
    <tableColumn id="4" xr3:uid="{366379FA-792B-4D7C-B778-BA3CF196C0E3}" name="Units" dataDxfId="213" dataCellStyle="Normal 12"/>
    <tableColumn id="5" xr3:uid="{25EBD976-B010-452A-994E-CB4764A263F6}" name="Quantity" dataDxfId="212" dataCellStyle="Normal 12"/>
    <tableColumn id="6" xr3:uid="{FB8F59A9-2E70-4DEA-9A2F-A844B18E05AA}" name="# of Projects" dataDxfId="211" dataCellStyle="Normal 12"/>
    <tableColumn id="7" xr3:uid="{544C744A-5247-4B6E-8E16-745CC116E02F}" name="Median Price" dataDxfId="210" dataCellStyle="Normal 12"/>
    <tableColumn id="8" xr3:uid="{98984187-6273-4643-B497-9DB51D6B082C}" name="Mean Price" dataDxfId="209" dataCellStyle="Normal 12"/>
  </tableColumns>
  <tableStyleInfo name="TableStyleLight2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A2AEDB8-EB6D-45DC-AD54-7832CD9DE903}" name="Prices5" displayName="Prices5" ref="A1:H3683" totalsRowShown="0" headerRowDxfId="12" dataDxfId="11" headerRowBorderDxfId="9" tableBorderDxfId="10" totalsRowBorderDxfId="8" headerRowCellStyle="Normal 12" dataCellStyle="Normal 12">
  <autoFilter ref="A1:H3683" xr:uid="{260BD4A8-E3E0-4930-9AAF-D57FE13DA56E}"/>
  <tableColumns count="8">
    <tableColumn id="1" xr3:uid="{DB59FFBE-F4A6-4229-B592-7B0BD2754841}" name="Location" dataDxfId="7" dataCellStyle="Normal 12"/>
    <tableColumn id="2" xr3:uid="{405100D0-1BFB-4F0A-A199-62ACE533E81B}" name="Item #" dataDxfId="6" dataCellStyle="Normal 12"/>
    <tableColumn id="3" xr3:uid="{7171C2F1-5DC9-495B-91AF-AFFF8B6054FC}" name="Description" dataDxfId="5" dataCellStyle="Normal 12"/>
    <tableColumn id="4" xr3:uid="{58458458-E536-4667-9F65-0DA6C500F737}" name="Units" dataDxfId="4" dataCellStyle="Normal 12"/>
    <tableColumn id="5" xr3:uid="{5127ADD6-E47E-428D-92AC-26D4365BF586}" name="Quantity" dataDxfId="3" dataCellStyle="Normal 12"/>
    <tableColumn id="6" xr3:uid="{4E37A4B0-AB25-40E8-A572-72B03D862A1E}" name="# of Projects" dataDxfId="2" dataCellStyle="Normal 12"/>
    <tableColumn id="7" xr3:uid="{413FB74B-8A39-43BB-941C-BFA9AABF97F7}" name="Median Price" dataDxfId="1" dataCellStyle="Normal 12"/>
    <tableColumn id="8" xr3:uid="{A1371C8D-38E5-47FA-AC63-DC575A4EA81C}" name="Mean Price" dataDxfId="0" dataCellStyle="Normal 12"/>
  </tableColumns>
  <tableStyleInfo name="TableStyleLight2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vmlDrawing" Target="../drawings/vmlDrawing1.v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 Type="http://schemas.openxmlformats.org/officeDocument/2006/relationships/drawing" Target="../drawings/drawing2.xml"/><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printerSettings" Target="../printerSettings/printerSettings2.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2.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0.xml"/><Relationship Id="rId1" Type="http://schemas.openxmlformats.org/officeDocument/2006/relationships/printerSettings" Target="../printerSettings/printerSettings20.bin"/><Relationship Id="rId5" Type="http://schemas.openxmlformats.org/officeDocument/2006/relationships/table" Target="../tables/table2.xml"/><Relationship Id="rId4" Type="http://schemas.openxmlformats.org/officeDocument/2006/relationships/table" Target="../tables/table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www.roadresource.org/treatment_resources" TargetMode="External"/><Relationship Id="rId2" Type="http://schemas.openxmlformats.org/officeDocument/2006/relationships/hyperlink" Target="https://roadresource.org/toolbox/photos" TargetMode="External"/><Relationship Id="rId1" Type="http://schemas.openxmlformats.org/officeDocument/2006/relationships/hyperlink" Target="http://www.roadresource.org/" TargetMode="External"/><Relationship Id="rId6" Type="http://schemas.openxmlformats.org/officeDocument/2006/relationships/vmlDrawing" Target="../drawings/vmlDrawing5.vml"/><Relationship Id="rId5" Type="http://schemas.openxmlformats.org/officeDocument/2006/relationships/drawing" Target="../drawings/drawing5.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safety.fhwa.dot.gov/ped_bike/step/resources/" TargetMode="External"/><Relationship Id="rId4"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mass.gov/lists/construction-specifications" TargetMode="External"/><Relationship Id="rId4"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hyperlink" Target="https://www.mass.gov/doc/preliminary-estimate-form/downloa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B2ED4-A33F-4EE0-AB3E-8B669FB9685E}">
  <sheetPr codeName="Sheet6">
    <tabColor theme="1"/>
    <pageSetUpPr fitToPage="1"/>
  </sheetPr>
  <dimension ref="B1:X39"/>
  <sheetViews>
    <sheetView tabSelected="1" zoomScale="115" zoomScaleNormal="115" workbookViewId="0">
      <selection activeCell="C8" sqref="C8:J8"/>
    </sheetView>
  </sheetViews>
  <sheetFormatPr defaultColWidth="9.140625" defaultRowHeight="14.25"/>
  <cols>
    <col min="1" max="1" width="9" style="3" customWidth="1"/>
    <col min="2" max="2" width="1.7109375" style="3" customWidth="1"/>
    <col min="3" max="3" width="13.28515625" style="3" customWidth="1"/>
    <col min="4" max="4" width="11.42578125" style="3" customWidth="1"/>
    <col min="5" max="5" width="10" style="3" customWidth="1"/>
    <col min="6" max="6" width="11.140625" style="3" customWidth="1"/>
    <col min="7" max="7" width="13.7109375" style="3" customWidth="1"/>
    <col min="8" max="8" width="13" style="3" customWidth="1"/>
    <col min="9" max="9" width="13.85546875" style="3" customWidth="1"/>
    <col min="10" max="10" width="8.7109375" style="3" customWidth="1"/>
    <col min="11" max="11" width="1.7109375" style="3" customWidth="1"/>
    <col min="12" max="16384" width="9.140625" style="3"/>
  </cols>
  <sheetData>
    <row r="1" spans="2:24" ht="15" thickBot="1"/>
    <row r="2" spans="2:24" ht="14.25" customHeight="1" thickBot="1">
      <c r="B2" s="1144" t="s">
        <v>3940</v>
      </c>
      <c r="C2" s="1144"/>
      <c r="D2" s="1144"/>
      <c r="E2" s="1144"/>
      <c r="F2" s="1144"/>
      <c r="G2" s="1144"/>
      <c r="H2" s="1144"/>
      <c r="I2" s="1144"/>
      <c r="J2" s="1144"/>
      <c r="K2" s="1145"/>
    </row>
    <row r="3" spans="2:24" ht="14.25" customHeight="1">
      <c r="B3" s="1144"/>
      <c r="C3" s="1144"/>
      <c r="D3" s="1144"/>
      <c r="E3" s="1144"/>
      <c r="F3" s="1144"/>
      <c r="G3" s="1144"/>
      <c r="H3" s="1144"/>
      <c r="I3" s="1144"/>
      <c r="J3" s="1144"/>
      <c r="K3" s="1145"/>
    </row>
    <row r="4" spans="2:24" ht="14.25" customHeight="1">
      <c r="B4" s="1146" t="s">
        <v>3944</v>
      </c>
      <c r="C4" s="1146"/>
      <c r="D4" s="1146"/>
      <c r="E4" s="1146"/>
      <c r="F4" s="1146"/>
      <c r="G4" s="1146"/>
      <c r="H4" s="1146"/>
      <c r="I4" s="1146"/>
      <c r="J4" s="1146"/>
      <c r="K4" s="1147"/>
    </row>
    <row r="5" spans="2:24" ht="18" customHeight="1" thickBot="1">
      <c r="B5" s="1148"/>
      <c r="C5" s="1148"/>
      <c r="D5" s="1148"/>
      <c r="E5" s="1148"/>
      <c r="F5" s="1148"/>
      <c r="G5" s="1148"/>
      <c r="H5" s="1148"/>
      <c r="I5" s="1148"/>
      <c r="J5" s="1148"/>
      <c r="K5" s="1149"/>
    </row>
    <row r="6" spans="2:24" ht="15">
      <c r="B6" s="7"/>
      <c r="C6" s="8"/>
      <c r="D6" s="8"/>
      <c r="E6" s="8"/>
      <c r="F6" s="8"/>
      <c r="G6" s="8"/>
      <c r="H6" s="8"/>
      <c r="I6" s="8"/>
      <c r="J6" s="8"/>
      <c r="K6" s="9"/>
    </row>
    <row r="7" spans="2:24" ht="15.75">
      <c r="B7" s="5"/>
      <c r="C7" s="1150" t="s">
        <v>3961</v>
      </c>
      <c r="D7" s="1150"/>
      <c r="E7" s="1150"/>
      <c r="F7" s="1150"/>
      <c r="G7" s="1150"/>
      <c r="H7" s="1150"/>
      <c r="I7" s="1150"/>
      <c r="J7" s="1150"/>
      <c r="K7" s="2"/>
    </row>
    <row r="8" spans="2:24" ht="15">
      <c r="B8" s="5"/>
      <c r="C8" s="1140" t="str">
        <f ca="1">IF(TODAY()&gt;=DATE(2024,12,12),"THIS TOOL IS GREATER THAN 6 MONTHS OLD, PLEASE DOWNLOAD NEWEST TOOL"," ")</f>
        <v xml:space="preserve"> </v>
      </c>
      <c r="D8" s="1140"/>
      <c r="E8" s="1140"/>
      <c r="F8" s="1140"/>
      <c r="G8" s="1140"/>
      <c r="H8" s="1140"/>
      <c r="I8" s="1140"/>
      <c r="J8" s="1140"/>
      <c r="K8" s="2"/>
    </row>
    <row r="9" spans="2:24" ht="15.75">
      <c r="B9" s="5"/>
      <c r="C9" s="41" t="s">
        <v>3945</v>
      </c>
      <c r="D9" s="39"/>
      <c r="E9" s="39"/>
      <c r="F9" s="38"/>
      <c r="G9" s="39"/>
      <c r="H9" s="39"/>
      <c r="I9" s="39"/>
      <c r="J9" s="38"/>
      <c r="K9" s="2"/>
      <c r="Q9" s="6"/>
      <c r="U9" s="6"/>
      <c r="X9" s="4"/>
    </row>
    <row r="10" spans="2:24" ht="30" customHeight="1">
      <c r="B10" s="10"/>
      <c r="K10" s="2"/>
    </row>
    <row r="11" spans="2:24" ht="15" customHeight="1">
      <c r="B11" s="10"/>
      <c r="C11" s="41" t="s">
        <v>3946</v>
      </c>
      <c r="D11" s="40"/>
      <c r="E11" s="40"/>
      <c r="F11" s="40"/>
      <c r="G11" s="40"/>
      <c r="H11" s="40"/>
      <c r="I11" s="40"/>
      <c r="J11" s="40"/>
      <c r="K11" s="1"/>
    </row>
    <row r="12" spans="2:24" ht="30" customHeight="1">
      <c r="B12" s="10"/>
      <c r="C12" s="41"/>
      <c r="D12" s="40"/>
      <c r="E12" s="40"/>
      <c r="F12" s="40"/>
      <c r="G12" s="40"/>
      <c r="H12" s="40"/>
      <c r="I12" s="40"/>
      <c r="J12" s="40"/>
      <c r="K12" s="1"/>
    </row>
    <row r="13" spans="2:24" ht="15" customHeight="1">
      <c r="B13" s="10"/>
      <c r="C13" s="41" t="s">
        <v>3947</v>
      </c>
      <c r="D13" s="40"/>
      <c r="E13" s="40"/>
      <c r="F13" s="40"/>
      <c r="G13" s="40"/>
      <c r="H13" s="40"/>
      <c r="I13" s="40"/>
      <c r="J13" s="40"/>
      <c r="K13" s="1"/>
    </row>
    <row r="14" spans="2:24" ht="30" customHeight="1">
      <c r="B14" s="10"/>
      <c r="C14" s="41"/>
      <c r="D14" s="40"/>
      <c r="E14" s="40"/>
      <c r="F14" s="40"/>
      <c r="G14" s="40"/>
      <c r="H14" s="40"/>
      <c r="I14" s="40"/>
      <c r="J14" s="40"/>
      <c r="K14" s="1"/>
    </row>
    <row r="15" spans="2:24" ht="15.75">
      <c r="B15" s="10"/>
      <c r="C15" s="492" t="s">
        <v>3643</v>
      </c>
      <c r="D15" s="40"/>
      <c r="E15" s="40"/>
      <c r="F15" s="40"/>
      <c r="G15" s="40"/>
      <c r="H15" s="40"/>
      <c r="I15" s="40"/>
      <c r="J15" s="40"/>
      <c r="K15" s="1"/>
    </row>
    <row r="16" spans="2:24" ht="30" customHeight="1">
      <c r="B16" s="10"/>
      <c r="C16" s="493" t="s">
        <v>3642</v>
      </c>
      <c r="D16" s="1139" t="str">
        <f>"Ensure that you have downloaded the latest version of the tool from this website. This tool was last updated "&amp;I39&amp;"."</f>
        <v>Ensure that you have downloaded the latest version of the tool from this website. This tool was last updated JUNE 2024.</v>
      </c>
      <c r="E16" s="1139"/>
      <c r="F16" s="1139"/>
      <c r="G16" s="1139"/>
      <c r="H16" s="1139"/>
      <c r="I16" s="1139"/>
      <c r="J16" s="1139"/>
      <c r="K16" s="1"/>
    </row>
    <row r="17" spans="2:11" ht="30" customHeight="1">
      <c r="B17" s="10"/>
      <c r="C17" s="494" t="s">
        <v>3640</v>
      </c>
      <c r="D17" s="1139" t="s">
        <v>3965</v>
      </c>
      <c r="E17" s="1139"/>
      <c r="F17" s="1139"/>
      <c r="G17" s="1139"/>
      <c r="H17" s="1139"/>
      <c r="I17" s="1139"/>
      <c r="J17" s="1139"/>
      <c r="K17" s="1"/>
    </row>
    <row r="18" spans="2:11" ht="30" customHeight="1">
      <c r="B18" s="10"/>
      <c r="C18" s="494" t="s">
        <v>3641</v>
      </c>
      <c r="D18" s="1139" t="s">
        <v>3966</v>
      </c>
      <c r="E18" s="1139"/>
      <c r="F18" s="1139"/>
      <c r="G18" s="1139"/>
      <c r="H18" s="1139"/>
      <c r="I18" s="1139"/>
      <c r="J18" s="1139"/>
      <c r="K18" s="1"/>
    </row>
    <row r="19" spans="2:11" ht="30" customHeight="1">
      <c r="B19" s="10"/>
      <c r="C19" s="494" t="s">
        <v>3968</v>
      </c>
      <c r="D19" s="1139" t="s">
        <v>3967</v>
      </c>
      <c r="E19" s="1139"/>
      <c r="F19" s="1139"/>
      <c r="G19" s="1139"/>
      <c r="H19" s="1139"/>
      <c r="I19" s="1139"/>
      <c r="J19" s="1139"/>
      <c r="K19" s="1"/>
    </row>
    <row r="20" spans="2:11" ht="51.6" customHeight="1">
      <c r="B20" s="10"/>
      <c r="C20" s="494" t="s">
        <v>3970</v>
      </c>
      <c r="D20" s="1141" t="s">
        <v>3971</v>
      </c>
      <c r="E20" s="1142"/>
      <c r="F20" s="1142"/>
      <c r="G20" s="1142"/>
      <c r="H20" s="1142"/>
      <c r="I20" s="1142"/>
      <c r="J20" s="1143"/>
      <c r="K20" s="1"/>
    </row>
    <row r="21" spans="2:11" ht="65.25" customHeight="1">
      <c r="B21" s="10"/>
      <c r="C21" s="494" t="s">
        <v>3969</v>
      </c>
      <c r="D21" s="1139" t="s">
        <v>3972</v>
      </c>
      <c r="E21" s="1139"/>
      <c r="F21" s="1139"/>
      <c r="G21" s="1139"/>
      <c r="H21" s="1139"/>
      <c r="I21" s="1139"/>
      <c r="J21" s="1139"/>
      <c r="K21" s="1"/>
    </row>
    <row r="22" spans="2:11" ht="15" customHeight="1">
      <c r="B22" s="10"/>
      <c r="C22" s="40"/>
      <c r="D22" s="40"/>
      <c r="E22" s="40"/>
      <c r="F22" s="40"/>
      <c r="G22" s="40"/>
      <c r="H22" s="40"/>
      <c r="I22" s="40"/>
      <c r="J22" s="40"/>
      <c r="K22" s="1"/>
    </row>
    <row r="23" spans="2:11" ht="15" customHeight="1">
      <c r="B23" s="10"/>
      <c r="C23" s="688" t="s">
        <v>3942</v>
      </c>
      <c r="D23" s="57"/>
      <c r="E23" s="57"/>
      <c r="F23" s="57"/>
      <c r="G23" s="57"/>
      <c r="H23" s="57"/>
      <c r="I23" s="57"/>
      <c r="J23" s="57"/>
      <c r="K23" s="1"/>
    </row>
    <row r="24" spans="2:11" ht="15" customHeight="1">
      <c r="B24" s="10"/>
      <c r="C24" s="1042" t="s">
        <v>3973</v>
      </c>
      <c r="D24" s="1042"/>
      <c r="E24" s="1042"/>
      <c r="F24" s="1042"/>
      <c r="G24" s="1042"/>
      <c r="H24" s="1042"/>
      <c r="I24" s="1042"/>
      <c r="J24" s="1042"/>
      <c r="K24" s="1"/>
    </row>
    <row r="25" spans="2:11" ht="29.1" customHeight="1">
      <c r="B25" s="10"/>
      <c r="C25" s="1043" t="s">
        <v>3974</v>
      </c>
      <c r="D25" s="1043"/>
      <c r="E25" s="1043"/>
      <c r="F25" s="1043"/>
      <c r="G25" s="1043"/>
      <c r="H25" s="1043"/>
      <c r="I25" s="1043"/>
      <c r="J25" s="1043"/>
      <c r="K25" s="1"/>
    </row>
    <row r="26" spans="2:11" ht="33.75" customHeight="1">
      <c r="B26" s="10"/>
      <c r="C26" s="1043" t="s">
        <v>3975</v>
      </c>
      <c r="D26" s="1043"/>
      <c r="E26" s="1043"/>
      <c r="F26" s="1043"/>
      <c r="G26" s="1043"/>
      <c r="H26" s="1043"/>
      <c r="I26" s="1043"/>
      <c r="J26" s="1043"/>
      <c r="K26" s="1"/>
    </row>
    <row r="27" spans="2:11" ht="59.25" customHeight="1">
      <c r="B27" s="10"/>
      <c r="C27" s="1043" t="s">
        <v>3976</v>
      </c>
      <c r="D27" s="1043"/>
      <c r="E27" s="1043"/>
      <c r="F27" s="1043"/>
      <c r="G27" s="1043"/>
      <c r="H27" s="1043"/>
      <c r="I27" s="1043"/>
      <c r="J27" s="1043"/>
      <c r="K27" s="1"/>
    </row>
    <row r="28" spans="2:11" ht="19.5" customHeight="1">
      <c r="B28" s="10"/>
      <c r="C28" s="1043" t="s">
        <v>3977</v>
      </c>
      <c r="D28" s="1043"/>
      <c r="E28" s="1043"/>
      <c r="F28" s="1043"/>
      <c r="G28" s="1043"/>
      <c r="H28" s="1043"/>
      <c r="I28" s="1043"/>
      <c r="J28" s="1043"/>
      <c r="K28" s="1"/>
    </row>
    <row r="29" spans="2:11" ht="31.5" customHeight="1">
      <c r="B29" s="10"/>
      <c r="C29" s="1043" t="s">
        <v>3978</v>
      </c>
      <c r="D29" s="1043"/>
      <c r="E29" s="1043"/>
      <c r="F29" s="1043"/>
      <c r="G29" s="1043"/>
      <c r="H29" s="1043"/>
      <c r="I29" s="1043"/>
      <c r="J29" s="1043"/>
      <c r="K29" s="1"/>
    </row>
    <row r="30" spans="2:11" ht="56.1" customHeight="1" thickBot="1">
      <c r="B30" s="10"/>
      <c r="C30" s="1044" t="s">
        <v>3979</v>
      </c>
      <c r="D30" s="1044"/>
      <c r="E30" s="1044"/>
      <c r="F30" s="1044"/>
      <c r="G30" s="1044"/>
      <c r="H30" s="1044"/>
      <c r="I30" s="1044"/>
      <c r="J30" s="1044"/>
      <c r="K30" s="1"/>
    </row>
    <row r="31" spans="2:11" ht="15" customHeight="1">
      <c r="B31" s="587"/>
      <c r="C31" s="689" t="s">
        <v>3943</v>
      </c>
      <c r="D31" s="690"/>
      <c r="E31" s="690"/>
      <c r="F31" s="690"/>
      <c r="G31" s="690"/>
      <c r="H31" s="690"/>
      <c r="I31" s="690"/>
      <c r="J31" s="690"/>
      <c r="K31" s="9"/>
    </row>
    <row r="32" spans="2:11" ht="39.6" customHeight="1">
      <c r="B32" s="10"/>
      <c r="C32" s="1043" t="s">
        <v>3980</v>
      </c>
      <c r="D32" s="1043"/>
      <c r="E32" s="1043"/>
      <c r="F32" s="1043"/>
      <c r="G32" s="1043"/>
      <c r="H32" s="1043"/>
      <c r="I32" s="1043"/>
      <c r="J32" s="1043"/>
      <c r="K32" s="1"/>
    </row>
    <row r="33" spans="2:11" ht="36.75" customHeight="1">
      <c r="B33" s="10"/>
      <c r="C33" s="1043" t="s">
        <v>3981</v>
      </c>
      <c r="D33" s="1043"/>
      <c r="E33" s="1043"/>
      <c r="F33" s="1043"/>
      <c r="G33" s="1043"/>
      <c r="H33" s="1043"/>
      <c r="I33" s="1043"/>
      <c r="J33" s="1043"/>
      <c r="K33" s="1"/>
    </row>
    <row r="34" spans="2:11" ht="30.6" customHeight="1">
      <c r="B34" s="10"/>
      <c r="C34" s="1043" t="s">
        <v>3982</v>
      </c>
      <c r="D34" s="1043"/>
      <c r="E34" s="1043"/>
      <c r="F34" s="1043"/>
      <c r="G34" s="1043"/>
      <c r="H34" s="1043"/>
      <c r="I34" s="1043"/>
      <c r="J34" s="1043"/>
      <c r="K34" s="1"/>
    </row>
    <row r="35" spans="2:11" ht="37.5" customHeight="1">
      <c r="B35" s="10"/>
      <c r="C35" s="1043" t="s">
        <v>3983</v>
      </c>
      <c r="D35" s="1043"/>
      <c r="E35" s="1043"/>
      <c r="F35" s="1043"/>
      <c r="G35" s="1043"/>
      <c r="H35" s="1043"/>
      <c r="I35" s="1043"/>
      <c r="J35" s="1043"/>
      <c r="K35" s="1"/>
    </row>
    <row r="36" spans="2:11" ht="30.6" customHeight="1">
      <c r="B36" s="10"/>
      <c r="C36" s="1043" t="s">
        <v>3984</v>
      </c>
      <c r="D36" s="1043"/>
      <c r="E36" s="1043"/>
      <c r="F36" s="1043"/>
      <c r="G36" s="1043"/>
      <c r="H36" s="1043"/>
      <c r="I36" s="1043"/>
      <c r="J36" s="1043"/>
      <c r="K36" s="1"/>
    </row>
    <row r="37" spans="2:11" ht="56.25" customHeight="1">
      <c r="B37" s="10"/>
      <c r="C37" s="1043" t="s">
        <v>3985</v>
      </c>
      <c r="D37" s="1043"/>
      <c r="E37" s="1043"/>
      <c r="F37" s="1043"/>
      <c r="G37" s="1043"/>
      <c r="H37" s="1043"/>
      <c r="I37" s="1043"/>
      <c r="J37" s="1043"/>
      <c r="K37" s="1"/>
    </row>
    <row r="38" spans="2:11" ht="10.5" customHeight="1" thickBot="1">
      <c r="B38" s="11"/>
      <c r="C38" s="1030"/>
      <c r="D38" s="1030"/>
      <c r="E38" s="1030"/>
      <c r="F38" s="1030"/>
      <c r="G38" s="1030"/>
      <c r="H38" s="1030"/>
      <c r="I38" s="1030"/>
      <c r="J38" s="1030"/>
      <c r="K38" s="42"/>
    </row>
    <row r="39" spans="2:11">
      <c r="H39" s="1081" t="s">
        <v>3957</v>
      </c>
      <c r="I39" s="1082" t="s">
        <v>4074</v>
      </c>
    </row>
  </sheetData>
  <mergeCells count="10">
    <mergeCell ref="D21:J21"/>
    <mergeCell ref="C8:J8"/>
    <mergeCell ref="D20:J20"/>
    <mergeCell ref="B2:K3"/>
    <mergeCell ref="B4:K5"/>
    <mergeCell ref="C7:J7"/>
    <mergeCell ref="D16:J16"/>
    <mergeCell ref="D17:J17"/>
    <mergeCell ref="D18:J18"/>
    <mergeCell ref="D19:J19"/>
  </mergeCells>
  <pageMargins left="0.75" right="0.75" top="1" bottom="1" header="0.5" footer="0.5"/>
  <pageSetup scale="92" fitToHeight="0" orientation="portrait" r:id="rId1"/>
  <headerFooter alignWithMargins="0">
    <oddHeader>&amp;C&amp;"Arial,Bold Italic"&amp;20DRAFT - TOOL STILL IN PRODUCTION</oddHeader>
    <oddFooter>&amp;C&amp;"Futura Bk BT,Book"Page &amp;P</oddFooter>
  </headerFooter>
  <rowBreaks count="1" manualBreakCount="1">
    <brk id="30" min="1"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5">
    <tabColor theme="0" tint="-0.249977111117893"/>
    <pageSetUpPr fitToPage="1"/>
  </sheetPr>
  <dimension ref="B1:P67"/>
  <sheetViews>
    <sheetView zoomScale="85" zoomScaleNormal="85" workbookViewId="0">
      <selection activeCell="Q8" sqref="Q8"/>
    </sheetView>
  </sheetViews>
  <sheetFormatPr defaultColWidth="9.140625" defaultRowHeight="15"/>
  <cols>
    <col min="1" max="1" width="9" style="40" customWidth="1"/>
    <col min="2" max="2" width="1.7109375" style="40" customWidth="1"/>
    <col min="3" max="3" width="16.140625" style="40" customWidth="1"/>
    <col min="4" max="4" width="18.42578125" style="87" customWidth="1"/>
    <col min="5" max="8" width="12.140625" style="40" customWidth="1"/>
    <col min="9" max="9" width="10.42578125" style="40" bestFit="1" customWidth="1"/>
    <col min="10" max="12" width="10.42578125" style="40" customWidth="1"/>
    <col min="13" max="13" width="2.7109375" style="40" customWidth="1"/>
    <col min="14" max="20" width="9.140625" style="40"/>
    <col min="21" max="21" width="23.140625" style="40" bestFit="1" customWidth="1"/>
    <col min="22" max="16384" width="9.140625" style="40"/>
  </cols>
  <sheetData>
    <row r="1" spans="2:13" ht="15.75" thickBot="1"/>
    <row r="2" spans="2:13" ht="20.25" customHeight="1" thickBot="1">
      <c r="B2" s="1205" t="s">
        <v>3936</v>
      </c>
      <c r="C2" s="1205"/>
      <c r="D2" s="1205"/>
      <c r="E2" s="1205"/>
      <c r="F2" s="1205"/>
      <c r="G2" s="1205"/>
      <c r="H2" s="1205"/>
      <c r="I2" s="1205"/>
      <c r="J2" s="1205"/>
      <c r="K2" s="1205"/>
      <c r="L2" s="1205"/>
      <c r="M2" s="1206"/>
    </row>
    <row r="3" spans="2:13" ht="20.25" customHeight="1">
      <c r="B3" s="1205"/>
      <c r="C3" s="1205"/>
      <c r="D3" s="1205"/>
      <c r="E3" s="1205"/>
      <c r="F3" s="1205"/>
      <c r="G3" s="1205"/>
      <c r="H3" s="1205"/>
      <c r="I3" s="1205"/>
      <c r="J3" s="1205"/>
      <c r="K3" s="1205"/>
      <c r="L3" s="1205"/>
      <c r="M3" s="1206"/>
    </row>
    <row r="4" spans="2:13">
      <c r="B4" s="1207" t="s">
        <v>3937</v>
      </c>
      <c r="C4" s="1207"/>
      <c r="D4" s="1207"/>
      <c r="E4" s="1207"/>
      <c r="F4" s="1207"/>
      <c r="G4" s="1207"/>
      <c r="H4" s="1207"/>
      <c r="I4" s="1207"/>
      <c r="J4" s="1207"/>
      <c r="K4" s="1207"/>
      <c r="L4" s="1207"/>
      <c r="M4" s="1208"/>
    </row>
    <row r="5" spans="2:13" ht="14.25" customHeight="1" thickBot="1">
      <c r="B5" s="1209"/>
      <c r="C5" s="1209"/>
      <c r="D5" s="1209"/>
      <c r="E5" s="1209"/>
      <c r="F5" s="1209"/>
      <c r="G5" s="1209"/>
      <c r="H5" s="1209"/>
      <c r="I5" s="1209"/>
      <c r="J5" s="1209"/>
      <c r="K5" s="1209"/>
      <c r="L5" s="1209"/>
      <c r="M5" s="1210"/>
    </row>
    <row r="6" spans="2:13">
      <c r="B6" s="876"/>
      <c r="C6" s="46"/>
      <c r="D6" s="877"/>
      <c r="E6" s="46"/>
      <c r="F6" s="46"/>
      <c r="G6" s="46"/>
      <c r="H6" s="46"/>
      <c r="I6" s="46"/>
      <c r="J6" s="46"/>
      <c r="K6" s="46"/>
      <c r="L6" s="46"/>
      <c r="M6" s="47"/>
    </row>
    <row r="7" spans="2:13">
      <c r="B7" s="43"/>
      <c r="C7" s="1211" t="s">
        <v>849</v>
      </c>
      <c r="D7" s="1211"/>
      <c r="E7" s="1211"/>
      <c r="F7" s="1211"/>
      <c r="G7" s="1211"/>
      <c r="H7" s="1211"/>
      <c r="I7" s="1211"/>
      <c r="J7" s="1211"/>
      <c r="K7" s="1211"/>
      <c r="L7" s="1211"/>
      <c r="M7" s="48"/>
    </row>
    <row r="8" spans="2:13">
      <c r="B8" s="43"/>
      <c r="C8" s="1213" t="s">
        <v>3871</v>
      </c>
      <c r="D8" s="1213"/>
      <c r="E8" s="1213"/>
      <c r="F8" s="1213"/>
      <c r="G8" s="1213"/>
      <c r="H8" s="1213"/>
      <c r="I8" s="1213"/>
      <c r="J8" s="1213"/>
      <c r="K8" s="1213"/>
      <c r="L8" s="1213"/>
      <c r="M8" s="48"/>
    </row>
    <row r="9" spans="2:13" ht="15.75" thickBot="1">
      <c r="B9" s="43"/>
      <c r="C9" s="55"/>
      <c r="D9" s="51"/>
      <c r="E9" s="878"/>
      <c r="F9" s="878"/>
      <c r="G9" s="878"/>
      <c r="H9" s="878"/>
      <c r="I9" s="39"/>
      <c r="J9" s="39"/>
      <c r="K9" s="39"/>
      <c r="L9" s="39"/>
      <c r="M9" s="48"/>
    </row>
    <row r="10" spans="2:13">
      <c r="B10" s="43"/>
      <c r="C10" s="55"/>
      <c r="D10" s="51"/>
      <c r="E10" s="879" t="s">
        <v>1596</v>
      </c>
      <c r="F10" s="880" t="s">
        <v>1597</v>
      </c>
      <c r="G10" s="880" t="s">
        <v>1598</v>
      </c>
      <c r="H10" s="881" t="s">
        <v>1599</v>
      </c>
      <c r="I10" s="879" t="s">
        <v>1596</v>
      </c>
      <c r="J10" s="880" t="s">
        <v>1597</v>
      </c>
      <c r="K10" s="880" t="s">
        <v>1598</v>
      </c>
      <c r="L10" s="881" t="s">
        <v>1599</v>
      </c>
      <c r="M10" s="48"/>
    </row>
    <row r="11" spans="2:13" ht="15.75" thickBot="1">
      <c r="B11" s="706"/>
      <c r="C11" s="39" t="s">
        <v>1575</v>
      </c>
      <c r="D11" s="39" t="s">
        <v>1574</v>
      </c>
      <c r="E11" s="882" t="s">
        <v>1562</v>
      </c>
      <c r="F11" s="883" t="s">
        <v>1562</v>
      </c>
      <c r="G11" s="883" t="s">
        <v>1562</v>
      </c>
      <c r="H11" s="884" t="s">
        <v>1562</v>
      </c>
      <c r="I11" s="882" t="s">
        <v>16</v>
      </c>
      <c r="J11" s="883" t="s">
        <v>16</v>
      </c>
      <c r="K11" s="883" t="s">
        <v>16</v>
      </c>
      <c r="L11" s="884" t="s">
        <v>16</v>
      </c>
      <c r="M11" s="44"/>
    </row>
    <row r="12" spans="2:13" ht="15.75" thickBot="1">
      <c r="B12" s="706"/>
      <c r="C12" s="125" t="s">
        <v>3838</v>
      </c>
      <c r="M12" s="44"/>
    </row>
    <row r="13" spans="2:13">
      <c r="B13" s="706"/>
      <c r="D13" s="51" t="str">
        <f>HIDDEN!B15</f>
        <v>Full Depth Reconstruction</v>
      </c>
      <c r="E13" s="885">
        <f>IF(Roadway!G10=AREA!$D13,Roadway!G7*Roadway!G9,0)</f>
        <v>0</v>
      </c>
      <c r="F13" s="886">
        <f>IF(Roadway!H10=AREA!$D13,Roadway!H7*Roadway!H9,0)</f>
        <v>0</v>
      </c>
      <c r="G13" s="886">
        <f>IF(Roadway!I10=AREA!$D13,Roadway!I7*Roadway!I9,0)</f>
        <v>0</v>
      </c>
      <c r="H13" s="887">
        <f>IF(Roadway!J10=AREA!$D13,Roadway!J7*Roadway!J9,0)</f>
        <v>0</v>
      </c>
      <c r="I13" s="888">
        <f>E13/9</f>
        <v>0</v>
      </c>
      <c r="J13" s="889">
        <f>F13/9</f>
        <v>0</v>
      </c>
      <c r="K13" s="889">
        <f>G13/9</f>
        <v>0</v>
      </c>
      <c r="L13" s="890">
        <f>H13/9</f>
        <v>0</v>
      </c>
      <c r="M13" s="44"/>
    </row>
    <row r="14" spans="2:13">
      <c r="B14" s="706"/>
      <c r="C14" s="718" t="s">
        <v>3837</v>
      </c>
      <c r="D14" s="51" t="str">
        <f>HIDDEN!B17</f>
        <v>Mixed Treatment</v>
      </c>
      <c r="E14" s="891">
        <f>IF(Roadway!G10=HIDDEN!$B$17,IF(Roadway!G11&gt;0,Roadway!G11*Roadway!G7*Roadway!G9,0),0)</f>
        <v>0</v>
      </c>
      <c r="F14" s="892">
        <f>IF(Roadway!H10=HIDDEN!$B$17,IF(Roadway!H11&gt;0,Roadway!H11*Roadway!H7*Roadway!H9,0),0)</f>
        <v>0</v>
      </c>
      <c r="G14" s="892">
        <f>IF(Roadway!I10=HIDDEN!$B$17,IF(Roadway!I11&gt;0,Roadway!I11*Roadway!I7*Roadway!I9,0),0)</f>
        <v>0</v>
      </c>
      <c r="H14" s="893">
        <f>IF(Roadway!J10=HIDDEN!$B$17,IF(Roadway!J11&gt;0,Roadway!J11*Roadway!J7*Roadway!J9,0),0)</f>
        <v>0</v>
      </c>
      <c r="I14" s="894">
        <f t="shared" ref="I14:L15" si="0">E14/9</f>
        <v>0</v>
      </c>
      <c r="J14" s="895">
        <f t="shared" si="0"/>
        <v>0</v>
      </c>
      <c r="K14" s="895">
        <f t="shared" si="0"/>
        <v>0</v>
      </c>
      <c r="L14" s="896">
        <f t="shared" si="0"/>
        <v>0</v>
      </c>
      <c r="M14" s="44"/>
    </row>
    <row r="15" spans="2:13" ht="15.75" thickBot="1">
      <c r="B15" s="706"/>
      <c r="C15" s="897"/>
      <c r="D15" s="898" t="s">
        <v>3835</v>
      </c>
      <c r="E15" s="899">
        <f>MAX(0,(Roadway!G9-Roadway!G8)*Roadway!G7)</f>
        <v>0</v>
      </c>
      <c r="F15" s="900">
        <f>MAX(0,(Roadway!H9-Roadway!H8)*Roadway!H7)</f>
        <v>0</v>
      </c>
      <c r="G15" s="900">
        <f>MAX(0,(Roadway!I9-Roadway!I8)*Roadway!I7)</f>
        <v>0</v>
      </c>
      <c r="H15" s="901">
        <f>MAX(0,(Roadway!J9-Roadway!J8)*Roadway!J7)</f>
        <v>0</v>
      </c>
      <c r="I15" s="902">
        <f t="shared" si="0"/>
        <v>0</v>
      </c>
      <c r="J15" s="903">
        <f t="shared" si="0"/>
        <v>0</v>
      </c>
      <c r="K15" s="903">
        <f t="shared" si="0"/>
        <v>0</v>
      </c>
      <c r="L15" s="904">
        <f t="shared" si="0"/>
        <v>0</v>
      </c>
      <c r="M15" s="44"/>
    </row>
    <row r="16" spans="2:13" ht="15.75" thickBot="1">
      <c r="B16" s="706"/>
      <c r="C16" s="905" t="s">
        <v>3836</v>
      </c>
      <c r="D16" s="898"/>
      <c r="E16" s="906"/>
      <c r="F16" s="906"/>
      <c r="G16" s="906"/>
      <c r="H16" s="906"/>
      <c r="I16" s="38"/>
      <c r="J16" s="38"/>
      <c r="K16" s="38"/>
      <c r="L16" s="38"/>
      <c r="M16" s="44"/>
    </row>
    <row r="17" spans="2:16" ht="15.75" thickBot="1">
      <c r="B17" s="706"/>
      <c r="C17" s="125" t="s">
        <v>1566</v>
      </c>
      <c r="D17" s="51" t="s">
        <v>1580</v>
      </c>
      <c r="E17" s="907">
        <f>Roadway!G34*20</f>
        <v>0</v>
      </c>
      <c r="F17" s="908">
        <f>Roadway!H34*20</f>
        <v>0</v>
      </c>
      <c r="G17" s="908">
        <f>Roadway!I34*20</f>
        <v>0</v>
      </c>
      <c r="H17" s="909">
        <f>Roadway!J34*20</f>
        <v>0</v>
      </c>
      <c r="I17" s="910">
        <f>E17/9</f>
        <v>0</v>
      </c>
      <c r="J17" s="911">
        <f>F17/9</f>
        <v>0</v>
      </c>
      <c r="K17" s="911">
        <f>G17/9</f>
        <v>0</v>
      </c>
      <c r="L17" s="912">
        <f>H17/9</f>
        <v>0</v>
      </c>
      <c r="M17" s="44"/>
    </row>
    <row r="18" spans="2:16">
      <c r="B18" s="706"/>
      <c r="C18" s="102" t="s">
        <v>1868</v>
      </c>
      <c r="D18" s="51"/>
      <c r="E18" s="906"/>
      <c r="F18" s="906"/>
      <c r="G18" s="906"/>
      <c r="H18" s="906"/>
      <c r="I18" s="38"/>
      <c r="J18" s="38"/>
      <c r="K18" s="38"/>
      <c r="L18" s="38"/>
      <c r="M18" s="44"/>
      <c r="N18" s="103"/>
      <c r="O18" s="103"/>
      <c r="P18" s="103"/>
    </row>
    <row r="19" spans="2:16" ht="15.75" thickBot="1">
      <c r="B19" s="706"/>
      <c r="C19" s="905"/>
      <c r="D19" s="898"/>
      <c r="E19" s="906"/>
      <c r="F19" s="906"/>
      <c r="G19" s="906"/>
      <c r="H19" s="906"/>
      <c r="I19" s="38"/>
      <c r="J19" s="38"/>
      <c r="K19" s="38"/>
      <c r="L19" s="38"/>
      <c r="M19" s="44"/>
    </row>
    <row r="20" spans="2:16" ht="15.75" thickBot="1">
      <c r="B20" s="706"/>
      <c r="C20" s="125" t="s">
        <v>1579</v>
      </c>
      <c r="D20" s="51" t="s">
        <v>3657</v>
      </c>
      <c r="E20" s="907">
        <f>IF(Roadway!G10=HIDDEN!$B$15,0,SUM(E62:E63,E66:E67)*1.5)</f>
        <v>0</v>
      </c>
      <c r="F20" s="908">
        <f>IF(Roadway!H10=HIDDEN!$B$15,0,SUM(F62:F63,F66:F67)*1.5)</f>
        <v>0</v>
      </c>
      <c r="G20" s="908">
        <f>IF(Roadway!I10=HIDDEN!$B$15,0,SUM(G62:G63,G66:G67)*1.5)</f>
        <v>0</v>
      </c>
      <c r="H20" s="909">
        <f>IF(Roadway!J10=HIDDEN!$B$15,0,SUM(H62:H63,H66:H67)*1.5)</f>
        <v>0</v>
      </c>
      <c r="I20" s="910">
        <f>E20/9</f>
        <v>0</v>
      </c>
      <c r="J20" s="911">
        <f>F20/9</f>
        <v>0</v>
      </c>
      <c r="K20" s="911">
        <f>G20/9</f>
        <v>0</v>
      </c>
      <c r="L20" s="912">
        <f>H20/9</f>
        <v>0</v>
      </c>
      <c r="M20" s="44"/>
    </row>
    <row r="21" spans="2:16" ht="15.75" thickBot="1">
      <c r="B21" s="706"/>
      <c r="C21" s="102" t="s">
        <v>3658</v>
      </c>
      <c r="D21" s="51"/>
      <c r="E21" s="906"/>
      <c r="F21" s="906"/>
      <c r="G21" s="906"/>
      <c r="H21" s="906"/>
      <c r="I21" s="38"/>
      <c r="J21" s="38"/>
      <c r="K21" s="38"/>
      <c r="L21" s="38"/>
      <c r="M21" s="44"/>
      <c r="N21" s="103"/>
    </row>
    <row r="22" spans="2:16">
      <c r="B22" s="706"/>
      <c r="C22" s="125" t="s">
        <v>1581</v>
      </c>
      <c r="D22" s="840" t="str">
        <f>HIDDEN!C28</f>
        <v>Concrete</v>
      </c>
      <c r="E22" s="885">
        <f>IF(Roadway!G$22=AREA!$D22,Roadway!G$20*Roadway!G$21,0)</f>
        <v>0</v>
      </c>
      <c r="F22" s="886">
        <f>IF(Roadway!H$22=AREA!$D22,Roadway!H$20*Roadway!H$21,0)</f>
        <v>0</v>
      </c>
      <c r="G22" s="886">
        <f>IF(Roadway!I$22=AREA!$D22,Roadway!I$20*Roadway!I$21,0)</f>
        <v>0</v>
      </c>
      <c r="H22" s="887">
        <f>IF(Roadway!J$22=AREA!$D22,Roadway!J$20*Roadway!J$21,0)</f>
        <v>0</v>
      </c>
      <c r="I22" s="888">
        <f t="shared" ref="I22:L25" si="1">E22/9</f>
        <v>0</v>
      </c>
      <c r="J22" s="889">
        <f t="shared" si="1"/>
        <v>0</v>
      </c>
      <c r="K22" s="889">
        <f t="shared" si="1"/>
        <v>0</v>
      </c>
      <c r="L22" s="890">
        <f t="shared" si="1"/>
        <v>0</v>
      </c>
      <c r="M22" s="44"/>
      <c r="N22" s="103"/>
    </row>
    <row r="23" spans="2:16">
      <c r="B23" s="706"/>
      <c r="C23" s="38"/>
      <c r="D23" s="840" t="str">
        <f>HIDDEN!C29</f>
        <v>Asphalt</v>
      </c>
      <c r="E23" s="891">
        <f>IF(Roadway!G$22=AREA!$D23,Roadway!G$20*Roadway!G$21,0)</f>
        <v>0</v>
      </c>
      <c r="F23" s="892">
        <f>IF(Roadway!H$22=AREA!$D23,Roadway!H$20*Roadway!H$21,0)</f>
        <v>0</v>
      </c>
      <c r="G23" s="892">
        <f>IF(Roadway!I$22=AREA!$D23,Roadway!I$20*Roadway!I$21,0)</f>
        <v>0</v>
      </c>
      <c r="H23" s="893">
        <f>IF(Roadway!J$22=AREA!$D23,Roadway!J$20*Roadway!J$21,0)</f>
        <v>0</v>
      </c>
      <c r="I23" s="894">
        <f t="shared" si="1"/>
        <v>0</v>
      </c>
      <c r="J23" s="895">
        <f t="shared" si="1"/>
        <v>0</v>
      </c>
      <c r="K23" s="895">
        <f t="shared" si="1"/>
        <v>0</v>
      </c>
      <c r="L23" s="896">
        <f t="shared" si="1"/>
        <v>0</v>
      </c>
      <c r="M23" s="44"/>
    </row>
    <row r="24" spans="2:16">
      <c r="B24" s="706"/>
      <c r="C24" s="38"/>
      <c r="D24" s="840" t="str">
        <f>HIDDEN!C30</f>
        <v>Hardscape</v>
      </c>
      <c r="E24" s="891">
        <f>IF(Roadway!G$22=AREA!$D24,Roadway!G$20*Roadway!G$21,0)</f>
        <v>0</v>
      </c>
      <c r="F24" s="892">
        <f>IF(Roadway!H$22=AREA!$D24,Roadway!H$20*Roadway!H$21,0)</f>
        <v>0</v>
      </c>
      <c r="G24" s="892">
        <f>IF(Roadway!I$22=AREA!$D24,Roadway!I$20*Roadway!I$21,0)</f>
        <v>0</v>
      </c>
      <c r="H24" s="893">
        <f>IF(Roadway!J$22=AREA!$D24,Roadway!J$20*Roadway!J$21,0)</f>
        <v>0</v>
      </c>
      <c r="I24" s="894">
        <f t="shared" si="1"/>
        <v>0</v>
      </c>
      <c r="J24" s="895">
        <f t="shared" si="1"/>
        <v>0</v>
      </c>
      <c r="K24" s="895">
        <f t="shared" si="1"/>
        <v>0</v>
      </c>
      <c r="L24" s="896">
        <f t="shared" si="1"/>
        <v>0</v>
      </c>
      <c r="M24" s="44"/>
    </row>
    <row r="25" spans="2:16" ht="15.75" thickBot="1">
      <c r="B25" s="706"/>
      <c r="C25" s="38"/>
      <c r="D25" s="840" t="str">
        <f>HIDDEN!C31</f>
        <v>Landscaping</v>
      </c>
      <c r="E25" s="899">
        <f>IF(Roadway!G$22=AREA!$D25,Roadway!G$20*Roadway!G$21,0)</f>
        <v>0</v>
      </c>
      <c r="F25" s="900">
        <f>IF(Roadway!H$22=AREA!$D25,Roadway!H$20*Roadway!H$21,0)</f>
        <v>0</v>
      </c>
      <c r="G25" s="900">
        <f>IF(Roadway!I$22=AREA!$D25,Roadway!I$20*Roadway!I$21,0)</f>
        <v>0</v>
      </c>
      <c r="H25" s="901">
        <f>IF(Roadway!J$22=AREA!$D25,Roadway!J$20*Roadway!J$21,0)</f>
        <v>0</v>
      </c>
      <c r="I25" s="902">
        <f t="shared" si="1"/>
        <v>0</v>
      </c>
      <c r="J25" s="903">
        <f t="shared" si="1"/>
        <v>0</v>
      </c>
      <c r="K25" s="903">
        <f t="shared" si="1"/>
        <v>0</v>
      </c>
      <c r="L25" s="904">
        <f t="shared" si="1"/>
        <v>0</v>
      </c>
      <c r="M25" s="44"/>
    </row>
    <row r="26" spans="2:16" ht="15.75" thickBot="1">
      <c r="B26" s="706"/>
      <c r="C26" s="38"/>
      <c r="D26" s="840"/>
      <c r="E26" s="906"/>
      <c r="F26" s="906"/>
      <c r="G26" s="906"/>
      <c r="H26" s="906"/>
      <c r="I26" s="38"/>
      <c r="J26" s="38"/>
      <c r="K26" s="38"/>
      <c r="L26" s="38"/>
      <c r="M26" s="44"/>
    </row>
    <row r="27" spans="2:16" ht="15.75" thickBot="1">
      <c r="B27" s="706"/>
      <c r="C27" s="125" t="s">
        <v>3704</v>
      </c>
      <c r="D27" s="51" t="s">
        <v>434</v>
      </c>
      <c r="E27" s="907">
        <f>Roadway!G17*40*6</f>
        <v>0</v>
      </c>
      <c r="F27" s="908">
        <f>Roadway!H17*40*6</f>
        <v>0</v>
      </c>
      <c r="G27" s="908">
        <f>Roadway!I17*40*6</f>
        <v>0</v>
      </c>
      <c r="H27" s="909">
        <f>Roadway!J17*40*6</f>
        <v>0</v>
      </c>
      <c r="I27" s="913">
        <f t="shared" ref="I27:L29" si="2">E27/9</f>
        <v>0</v>
      </c>
      <c r="J27" s="911">
        <f t="shared" si="2"/>
        <v>0</v>
      </c>
      <c r="K27" s="911">
        <f t="shared" si="2"/>
        <v>0</v>
      </c>
      <c r="L27" s="912">
        <f t="shared" si="2"/>
        <v>0</v>
      </c>
      <c r="M27" s="44"/>
    </row>
    <row r="28" spans="2:16" ht="15.75" thickBot="1">
      <c r="B28" s="706"/>
      <c r="C28" s="102" t="s">
        <v>3705</v>
      </c>
      <c r="D28" s="51"/>
      <c r="E28" s="898"/>
      <c r="F28" s="898"/>
      <c r="G28" s="898"/>
      <c r="H28" s="898"/>
      <c r="I28" s="51"/>
      <c r="J28" s="51"/>
      <c r="K28" s="51"/>
      <c r="L28" s="51"/>
      <c r="M28" s="44"/>
      <c r="N28" s="77"/>
    </row>
    <row r="29" spans="2:16" ht="15.75" thickBot="1">
      <c r="B29" s="706"/>
      <c r="C29" s="125" t="s">
        <v>3802</v>
      </c>
      <c r="D29" s="51" t="s">
        <v>434</v>
      </c>
      <c r="E29" s="907">
        <f>Roadway!G18*20*6</f>
        <v>0</v>
      </c>
      <c r="F29" s="908">
        <f>Roadway!H18*20*6</f>
        <v>0</v>
      </c>
      <c r="G29" s="908">
        <f>Roadway!I18*20*6</f>
        <v>0</v>
      </c>
      <c r="H29" s="909">
        <f>Roadway!J18*20*6</f>
        <v>0</v>
      </c>
      <c r="I29" s="913">
        <f t="shared" si="2"/>
        <v>0</v>
      </c>
      <c r="J29" s="911">
        <f t="shared" si="2"/>
        <v>0</v>
      </c>
      <c r="K29" s="911">
        <f t="shared" si="2"/>
        <v>0</v>
      </c>
      <c r="L29" s="912">
        <f t="shared" si="2"/>
        <v>0</v>
      </c>
      <c r="M29" s="44"/>
      <c r="N29" s="77"/>
    </row>
    <row r="30" spans="2:16">
      <c r="B30" s="706"/>
      <c r="C30" s="102" t="s">
        <v>3706</v>
      </c>
      <c r="D30" s="840"/>
      <c r="E30" s="906"/>
      <c r="F30" s="906"/>
      <c r="G30" s="906"/>
      <c r="H30" s="906"/>
      <c r="I30" s="38"/>
      <c r="J30" s="38"/>
      <c r="K30" s="38"/>
      <c r="L30" s="38"/>
      <c r="M30" s="44"/>
      <c r="N30" s="77"/>
    </row>
    <row r="31" spans="2:16" ht="15.75" thickBot="1">
      <c r="B31" s="706"/>
      <c r="C31" s="76"/>
      <c r="D31" s="51"/>
      <c r="E31" s="906"/>
      <c r="F31" s="906"/>
      <c r="G31" s="906"/>
      <c r="H31" s="906"/>
      <c r="I31" s="38"/>
      <c r="J31" s="38"/>
      <c r="K31" s="38"/>
      <c r="L31" s="38"/>
      <c r="M31" s="44"/>
      <c r="N31" s="103"/>
      <c r="O31" s="103"/>
      <c r="P31" s="103"/>
    </row>
    <row r="32" spans="2:16">
      <c r="B32" s="706"/>
      <c r="C32" s="914" t="s">
        <v>1577</v>
      </c>
      <c r="D32" s="898" t="str">
        <f>HIDDEN!C20</f>
        <v>Landscaping</v>
      </c>
      <c r="E32" s="885">
        <f>IF(Multimodal!G$13=AREA!$D32,BasicProjectData!G$22*Multimodal!G$12,0)+IF(Multimodal!G$19=AREA!$D32,BasicProjectData!G$22*Multimodal!G$18,0)+IF(Multimodal!G$25=AREA!$D32,BasicProjectData!G$22*Multimodal!G$24,0)+IF(Multimodal!G$31=AREA!$D32,BasicProjectData!G$22*Multimodal!G$30,0)</f>
        <v>0</v>
      </c>
      <c r="F32" s="886">
        <f>IF(Multimodal!H$13=AREA!$D32,BasicProjectData!H$22*Multimodal!H$12,0)+IF(Multimodal!H$19=AREA!$D32,BasicProjectData!H$22*Multimodal!H$18,0)+IF(Multimodal!H$25=AREA!$D32,BasicProjectData!H$22*Multimodal!H$24,0)+IF(Multimodal!H$31=AREA!$D32,BasicProjectData!H$22*Multimodal!H$30,0)</f>
        <v>0</v>
      </c>
      <c r="G32" s="886">
        <f>IF(Multimodal!I$13=AREA!$D32,BasicProjectData!I$22*Multimodal!I$12,0)+IF(Multimodal!I$19=AREA!$D32,BasicProjectData!I$22*Multimodal!I$18,0)+IF(Multimodal!I$25=AREA!$D32,BasicProjectData!I$22*Multimodal!I$24,0)+IF(Multimodal!I$31=AREA!$D32,BasicProjectData!I$22*Multimodal!I$30,0)</f>
        <v>0</v>
      </c>
      <c r="H32" s="887">
        <f>IF(Multimodal!J$13=AREA!$D32,BasicProjectData!J$22*Multimodal!J$12,0)+IF(Multimodal!J$19=AREA!$D32,BasicProjectData!J$22*Multimodal!J$18,0)+IF(Multimodal!J$25=AREA!$D32,BasicProjectData!J$22*Multimodal!J$24,0)+IF(Multimodal!J$31=AREA!$D32,BasicProjectData!J$22*Multimodal!J$30,0)</f>
        <v>0</v>
      </c>
      <c r="I32" s="888">
        <f t="shared" ref="I32:L35" si="3">E32/9</f>
        <v>0</v>
      </c>
      <c r="J32" s="889">
        <f t="shared" si="3"/>
        <v>0</v>
      </c>
      <c r="K32" s="889">
        <f t="shared" si="3"/>
        <v>0</v>
      </c>
      <c r="L32" s="890">
        <f t="shared" si="3"/>
        <v>0</v>
      </c>
      <c r="M32" s="44"/>
    </row>
    <row r="33" spans="2:14">
      <c r="B33" s="706"/>
      <c r="C33" s="915" t="s">
        <v>1619</v>
      </c>
      <c r="D33" s="898" t="str">
        <f>HIDDEN!C21</f>
        <v>Hardscape</v>
      </c>
      <c r="E33" s="891">
        <f>IF(Multimodal!G$13=AREA!$D33,BasicProjectData!G$22*Multimodal!G$12,0)+IF(Multimodal!G$19=AREA!$D33,BasicProjectData!G$22*Multimodal!G$18,0)+IF(Multimodal!G$25=AREA!$D33,BasicProjectData!G$22*Multimodal!G$24,0)+IF(Multimodal!G$31=AREA!$D33,BasicProjectData!G$22*Multimodal!G$30,0)</f>
        <v>0</v>
      </c>
      <c r="F33" s="892">
        <f>IF(Multimodal!H$13=AREA!$D33,BasicProjectData!H$22*Multimodal!H$12,0)+IF(Multimodal!H$19=AREA!$D33,BasicProjectData!H$22*Multimodal!H$18,0)+IF(Multimodal!H$25=AREA!$D33,BasicProjectData!H$22*Multimodal!H$24,0)+IF(Multimodal!H$31=AREA!$D33,BasicProjectData!H$22*Multimodal!H$30,0)</f>
        <v>0</v>
      </c>
      <c r="G33" s="892">
        <f>IF(Multimodal!I$13=AREA!$D33,BasicProjectData!I$22*Multimodal!I$12,0)+IF(Multimodal!I$19=AREA!$D33,BasicProjectData!I$22*Multimodal!I$18,0)+IF(Multimodal!I$25=AREA!$D33,BasicProjectData!I$22*Multimodal!I$24,0)+IF(Multimodal!I$31=AREA!$D33,BasicProjectData!I$22*Multimodal!I$30,0)</f>
        <v>0</v>
      </c>
      <c r="H33" s="893">
        <f>IF(Multimodal!J$13=AREA!$D33,BasicProjectData!J$22*Multimodal!J$12,0)+IF(Multimodal!J$19=AREA!$D33,BasicProjectData!J$22*Multimodal!J$18,0)+IF(Multimodal!J$25=AREA!$D33,BasicProjectData!J$22*Multimodal!J$24,0)+IF(Multimodal!J$31=AREA!$D33,BasicProjectData!J$22*Multimodal!J$30,0)</f>
        <v>0</v>
      </c>
      <c r="I33" s="894">
        <f t="shared" si="3"/>
        <v>0</v>
      </c>
      <c r="J33" s="895">
        <f t="shared" si="3"/>
        <v>0</v>
      </c>
      <c r="K33" s="895">
        <f t="shared" si="3"/>
        <v>0</v>
      </c>
      <c r="L33" s="896">
        <f t="shared" si="3"/>
        <v>0</v>
      </c>
      <c r="M33" s="44"/>
    </row>
    <row r="34" spans="2:14">
      <c r="B34" s="706"/>
      <c r="C34" s="915" t="s">
        <v>1619</v>
      </c>
      <c r="D34" s="898" t="str">
        <f>HIDDEN!C22</f>
        <v>Concrete</v>
      </c>
      <c r="E34" s="891">
        <f>IF(Multimodal!G$13=AREA!$D34,BasicProjectData!G$22*Multimodal!G$12,0)+IF(Multimodal!G$19=AREA!$D34,BasicProjectData!G$22*Multimodal!G$18,0)+IF(Multimodal!G$25=AREA!$D34,BasicProjectData!G$22*Multimodal!G$24,0)+IF(Multimodal!G$31=AREA!$D34,BasicProjectData!G$22*Multimodal!G$30,0)</f>
        <v>0</v>
      </c>
      <c r="F34" s="892">
        <f>IF(Multimodal!H$13=AREA!$D34,BasicProjectData!H$22*Multimodal!H$12,0)+IF(Multimodal!H$19=AREA!$D34,BasicProjectData!H$22*Multimodal!H$18,0)+IF(Multimodal!H$25=AREA!$D34,BasicProjectData!H$22*Multimodal!H$24,0)+IF(Multimodal!H$31=AREA!$D34,BasicProjectData!H$22*Multimodal!H$30,0)</f>
        <v>0</v>
      </c>
      <c r="G34" s="892">
        <f>IF(Multimodal!I$13=AREA!$D34,BasicProjectData!I$22*Multimodal!I$12,0)+IF(Multimodal!I$19=AREA!$D34,BasicProjectData!I$22*Multimodal!I$18,0)+IF(Multimodal!I$25=AREA!$D34,BasicProjectData!I$22*Multimodal!I$24,0)+IF(Multimodal!I$31=AREA!$D34,BasicProjectData!I$22*Multimodal!I$30,0)</f>
        <v>0</v>
      </c>
      <c r="H34" s="893">
        <f>IF(Multimodal!J$13=AREA!$D34,BasicProjectData!J$22*Multimodal!J$12,0)+IF(Multimodal!J$19=AREA!$D34,BasicProjectData!J$22*Multimodal!J$18,0)+IF(Multimodal!J$25=AREA!$D34,BasicProjectData!J$22*Multimodal!J$24,0)+IF(Multimodal!J$31=AREA!$D34,BasicProjectData!J$22*Multimodal!J$30,0)</f>
        <v>0</v>
      </c>
      <c r="I34" s="894">
        <f t="shared" si="3"/>
        <v>0</v>
      </c>
      <c r="J34" s="895">
        <f t="shared" si="3"/>
        <v>0</v>
      </c>
      <c r="K34" s="895">
        <f t="shared" si="3"/>
        <v>0</v>
      </c>
      <c r="L34" s="896">
        <f t="shared" si="3"/>
        <v>0</v>
      </c>
      <c r="M34" s="44"/>
    </row>
    <row r="35" spans="2:14">
      <c r="B35" s="706"/>
      <c r="C35" s="915" t="s">
        <v>1709</v>
      </c>
      <c r="D35" s="898" t="str">
        <f>HIDDEN!C23</f>
        <v>Asphalt</v>
      </c>
      <c r="E35" s="891">
        <f>IF(Multimodal!G$13=AREA!$D35,BasicProjectData!G$22*Multimodal!G$12,0)+IF(Multimodal!G$19=AREA!$D35,BasicProjectData!G$22*Multimodal!G$18,0)+IF(Multimodal!G$25=AREA!$D35,BasicProjectData!G$22*Multimodal!G$24,0)+IF(Multimodal!G$31=AREA!$D35,BasicProjectData!G$22*Multimodal!G$30,0)</f>
        <v>0</v>
      </c>
      <c r="F35" s="892">
        <f>IF(Multimodal!H$13=AREA!$D35,BasicProjectData!H$22*Multimodal!H$12,0)+IF(Multimodal!H$19=AREA!$D35,BasicProjectData!H$22*Multimodal!H$18,0)+IF(Multimodal!H$25=AREA!$D35,BasicProjectData!H$22*Multimodal!H$24,0)+IF(Multimodal!H$31=AREA!$D35,BasicProjectData!H$22*Multimodal!H$30,0)</f>
        <v>0</v>
      </c>
      <c r="G35" s="892">
        <f>IF(Multimodal!I$13=AREA!$D35,BasicProjectData!I$22*Multimodal!I$12,0)+IF(Multimodal!I$19=AREA!$D35,BasicProjectData!I$22*Multimodal!I$18,0)+IF(Multimodal!I$25=AREA!$D35,BasicProjectData!I$22*Multimodal!I$24,0)+IF(Multimodal!I$31=AREA!$D35,BasicProjectData!I$22*Multimodal!I$30,0)</f>
        <v>0</v>
      </c>
      <c r="H35" s="893">
        <f>IF(Multimodal!J$13=AREA!$D35,BasicProjectData!J$22*Multimodal!J$12,0)+IF(Multimodal!J$19=AREA!$D35,BasicProjectData!J$22*Multimodal!J$18,0)+IF(Multimodal!J$25=AREA!$D35,BasicProjectData!J$22*Multimodal!J$24,0)+IF(Multimodal!J$31=AREA!$D35,BasicProjectData!J$22*Multimodal!J$30,0)</f>
        <v>0</v>
      </c>
      <c r="I35" s="894">
        <f t="shared" si="3"/>
        <v>0</v>
      </c>
      <c r="J35" s="895">
        <f t="shared" si="3"/>
        <v>0</v>
      </c>
      <c r="K35" s="895">
        <f t="shared" si="3"/>
        <v>0</v>
      </c>
      <c r="L35" s="896">
        <f t="shared" si="3"/>
        <v>0</v>
      </c>
      <c r="M35" s="44"/>
    </row>
    <row r="36" spans="2:14">
      <c r="B36" s="706"/>
      <c r="C36" s="915" t="s">
        <v>3839</v>
      </c>
      <c r="D36" s="898" t="str">
        <f>HIDDEN!D23</f>
        <v>Flex Posts</v>
      </c>
      <c r="E36" s="891">
        <f>IF(Multimodal!G$13=AREA!$D36,BasicProjectData!G$22*Multimodal!G$12,0)+IF(Multimodal!G$19=AREA!$D36,BasicProjectData!G$22*Multimodal!G$18,0)+IF(Multimodal!G$25=AREA!$D36,BasicProjectData!G$22*Multimodal!G$24,0)+IF(Multimodal!G$31=AREA!$D36,BasicProjectData!G$22*Multimodal!G$30,0)</f>
        <v>0</v>
      </c>
      <c r="F36" s="892">
        <f>IF(Multimodal!H$13=AREA!$D36,BasicProjectData!H$22*Multimodal!H$12,0)+IF(Multimodal!H$19=AREA!$D36,BasicProjectData!H$22*Multimodal!H$18,0)+IF(Multimodal!H$25=AREA!$D36,BasicProjectData!H$22*Multimodal!H$24,0)+IF(Multimodal!H$31=AREA!$D36,BasicProjectData!H$22*Multimodal!H$30,0)</f>
        <v>0</v>
      </c>
      <c r="G36" s="892">
        <f>IF(Multimodal!I$13=AREA!$D36,BasicProjectData!I$22*Multimodal!I$12,0)+IF(Multimodal!I$19=AREA!$D36,BasicProjectData!I$22*Multimodal!I$18,0)+IF(Multimodal!I$25=AREA!$D36,BasicProjectData!I$22*Multimodal!I$24,0)+IF(Multimodal!I$31=AREA!$D36,BasicProjectData!I$22*Multimodal!I$30,0)</f>
        <v>0</v>
      </c>
      <c r="H36" s="893">
        <f>IF(Multimodal!J$13=AREA!$D36,BasicProjectData!J$22*Multimodal!J$12,0)+IF(Multimodal!J$19=AREA!$D36,BasicProjectData!J$22*Multimodal!J$18,0)+IF(Multimodal!J$25=AREA!$D36,BasicProjectData!J$22*Multimodal!J$24,0)+IF(Multimodal!J$31=AREA!$D36,BasicProjectData!J$22*Multimodal!J$30,0)</f>
        <v>0</v>
      </c>
      <c r="I36" s="894">
        <f t="shared" ref="I36:L38" si="4">E36/9</f>
        <v>0</v>
      </c>
      <c r="J36" s="895">
        <f t="shared" si="4"/>
        <v>0</v>
      </c>
      <c r="K36" s="895">
        <f t="shared" si="4"/>
        <v>0</v>
      </c>
      <c r="L36" s="896">
        <f t="shared" si="4"/>
        <v>0</v>
      </c>
      <c r="M36" s="44"/>
      <c r="N36" s="77"/>
    </row>
    <row r="37" spans="2:14">
      <c r="B37" s="706"/>
      <c r="C37" s="915" t="s">
        <v>3839</v>
      </c>
      <c r="D37" s="898" t="str">
        <f>HIDDEN!D24</f>
        <v>Paint</v>
      </c>
      <c r="E37" s="891">
        <f>IF(Multimodal!G$13=AREA!$D37,BasicProjectData!G$22*Multimodal!G$12,0)+IF(Multimodal!G$19=AREA!$D37,BasicProjectData!G$22*Multimodal!G$18,0)+IF(Multimodal!G$25=AREA!$D37,BasicProjectData!G$22*Multimodal!G$24,0)+IF(Multimodal!G$31=AREA!$D37,BasicProjectData!G$22*Multimodal!G$30,0)</f>
        <v>0</v>
      </c>
      <c r="F37" s="892">
        <f>IF(Multimodal!H$13=AREA!$D37,BasicProjectData!H$22*Multimodal!H$12,0)+IF(Multimodal!H$19=AREA!$D37,BasicProjectData!H$22*Multimodal!H$18,0)+IF(Multimodal!H$25=AREA!$D37,BasicProjectData!H$22*Multimodal!H$24,0)+IF(Multimodal!H$31=AREA!$D37,BasicProjectData!H$22*Multimodal!H$30,0)</f>
        <v>0</v>
      </c>
      <c r="G37" s="892">
        <f>IF(Multimodal!I$13=AREA!$D37,BasicProjectData!I$22*Multimodal!I$12,0)+IF(Multimodal!I$19=AREA!$D37,BasicProjectData!I$22*Multimodal!I$18,0)+IF(Multimodal!I$25=AREA!$D37,BasicProjectData!I$22*Multimodal!I$24,0)+IF(Multimodal!I$31=AREA!$D37,BasicProjectData!I$22*Multimodal!I$30,0)</f>
        <v>0</v>
      </c>
      <c r="H37" s="893">
        <f>IF(Multimodal!J$13=AREA!$D37,BasicProjectData!J$22*Multimodal!J$12,0)+IF(Multimodal!J$19=AREA!$D37,BasicProjectData!J$22*Multimodal!J$18,0)+IF(Multimodal!J$25=AREA!$D37,BasicProjectData!J$22*Multimodal!J$24,0)+IF(Multimodal!J$31=AREA!$D37,BasicProjectData!J$22*Multimodal!J$30,0)</f>
        <v>0</v>
      </c>
      <c r="I37" s="894">
        <f t="shared" si="4"/>
        <v>0</v>
      </c>
      <c r="J37" s="895">
        <f t="shared" si="4"/>
        <v>0</v>
      </c>
      <c r="K37" s="895">
        <f t="shared" si="4"/>
        <v>0</v>
      </c>
      <c r="L37" s="896">
        <f t="shared" si="4"/>
        <v>0</v>
      </c>
      <c r="M37" s="44"/>
      <c r="N37" s="77"/>
    </row>
    <row r="38" spans="2:14" ht="15.75" thickBot="1">
      <c r="B38" s="706"/>
      <c r="C38" s="915" t="s">
        <v>3839</v>
      </c>
      <c r="D38" s="898" t="str">
        <f>HIDDEN!D25</f>
        <v>Modular Curbing</v>
      </c>
      <c r="E38" s="899">
        <f>IF(Multimodal!G$13=AREA!$D38,BasicProjectData!G$22*Multimodal!G$12,0)+IF(Multimodal!G$19=AREA!$D38,BasicProjectData!G$22*Multimodal!G$18,0)+IF(Multimodal!G$25=AREA!$D38,BasicProjectData!G$22*Multimodal!G$24,0)+IF(Multimodal!G$31=AREA!$D38,BasicProjectData!G$22*Multimodal!G$30,0)</f>
        <v>0</v>
      </c>
      <c r="F38" s="900">
        <f>IF(Multimodal!H$13=AREA!$D38,BasicProjectData!H$22*Multimodal!H$12,0)+IF(Multimodal!H$19=AREA!$D38,BasicProjectData!H$22*Multimodal!H$18,0)+IF(Multimodal!H$25=AREA!$D38,BasicProjectData!H$22*Multimodal!H$24,0)+IF(Multimodal!H$31=AREA!$D38,BasicProjectData!H$22*Multimodal!H$30,0)</f>
        <v>0</v>
      </c>
      <c r="G38" s="900">
        <f>IF(Multimodal!I$13=AREA!$D38,BasicProjectData!I$22*Multimodal!I$12,0)+IF(Multimodal!I$19=AREA!$D38,BasicProjectData!I$22*Multimodal!I$18,0)+IF(Multimodal!I$25=AREA!$D38,BasicProjectData!I$22*Multimodal!I$24,0)+IF(Multimodal!I$31=AREA!$D38,BasicProjectData!I$22*Multimodal!I$30,0)</f>
        <v>0</v>
      </c>
      <c r="H38" s="901">
        <f>IF(Multimodal!J$13=AREA!$D38,BasicProjectData!J$22*Multimodal!J$12,0)+IF(Multimodal!J$19=AREA!$D38,BasicProjectData!J$22*Multimodal!J$18,0)+IF(Multimodal!J$25=AREA!$D38,BasicProjectData!J$22*Multimodal!J$24,0)+IF(Multimodal!J$31=AREA!$D38,BasicProjectData!J$22*Multimodal!J$30,0)</f>
        <v>0</v>
      </c>
      <c r="I38" s="902">
        <f t="shared" si="4"/>
        <v>0</v>
      </c>
      <c r="J38" s="903">
        <f t="shared" si="4"/>
        <v>0</v>
      </c>
      <c r="K38" s="903">
        <f t="shared" si="4"/>
        <v>0</v>
      </c>
      <c r="L38" s="904">
        <f t="shared" si="4"/>
        <v>0</v>
      </c>
      <c r="M38" s="44"/>
    </row>
    <row r="39" spans="2:14">
      <c r="B39" s="706"/>
      <c r="C39" s="76" t="s">
        <v>3840</v>
      </c>
      <c r="D39" s="898"/>
      <c r="E39" s="906"/>
      <c r="F39" s="906"/>
      <c r="G39" s="906"/>
      <c r="H39" s="906"/>
      <c r="I39" s="38"/>
      <c r="J39" s="38"/>
      <c r="K39" s="38"/>
      <c r="L39" s="38"/>
      <c r="M39" s="44"/>
    </row>
    <row r="40" spans="2:14" ht="15.75" thickBot="1">
      <c r="B40" s="706"/>
      <c r="C40" s="76"/>
      <c r="D40" s="898"/>
      <c r="E40" s="906"/>
      <c r="F40" s="906"/>
      <c r="G40" s="906"/>
      <c r="H40" s="906"/>
      <c r="I40" s="38"/>
      <c r="J40" s="38"/>
      <c r="K40" s="38"/>
      <c r="L40" s="38"/>
      <c r="M40" s="44"/>
    </row>
    <row r="41" spans="2:14" ht="15" customHeight="1">
      <c r="B41" s="706"/>
      <c r="C41" s="125" t="s">
        <v>1578</v>
      </c>
      <c r="D41" s="51" t="str">
        <f>HIDDEN!$E$14</f>
        <v>Asphalt</v>
      </c>
      <c r="E41" s="885">
        <f>IF(Multimodal!G$9=HIDDEN!$C$15,IF(Multimodal!G$10=AREA!$D41,BasicProjectData!G$22*Multimodal!G$11,0))+IF(Multimodal!G$21=HIDDEN!$C$15,IF(Multimodal!G$22=AREA!$D41,BasicProjectData!G$22*Multimodal!G$23,0))</f>
        <v>0</v>
      </c>
      <c r="F41" s="886">
        <f>IF(Multimodal!H$9=HIDDEN!$C$15,IF(Multimodal!H$10=AREA!$D41,BasicProjectData!H$22*Multimodal!H$11,0))+IF(Multimodal!H$21=HIDDEN!$C$15,IF(Multimodal!H$22=AREA!$D41,BasicProjectData!H$22*Multimodal!H$23,0))</f>
        <v>0</v>
      </c>
      <c r="G41" s="886">
        <f>IF(Multimodal!I$9=HIDDEN!$C$15,IF(Multimodal!I$10=AREA!$D41,BasicProjectData!I$22*Multimodal!I$11,0))+IF(Multimodal!I$21=HIDDEN!$C$15,IF(Multimodal!I$22=AREA!$D41,BasicProjectData!I$22*Multimodal!I$23,0))</f>
        <v>0</v>
      </c>
      <c r="H41" s="887">
        <f>IF(Multimodal!J$9=HIDDEN!$C$15,IF(Multimodal!J$10=AREA!$D41,BasicProjectData!J$22*Multimodal!J$11,0))+IF(Multimodal!J$21=HIDDEN!$C$15,IF(Multimodal!J$22=AREA!$D41,BasicProjectData!J$22*Multimodal!J$23,0))</f>
        <v>0</v>
      </c>
      <c r="I41" s="888">
        <f t="shared" ref="I41:L44" si="5">E41/9</f>
        <v>0</v>
      </c>
      <c r="J41" s="889">
        <f t="shared" si="5"/>
        <v>0</v>
      </c>
      <c r="K41" s="889">
        <f t="shared" si="5"/>
        <v>0</v>
      </c>
      <c r="L41" s="890">
        <f t="shared" si="5"/>
        <v>0</v>
      </c>
      <c r="M41" s="44"/>
    </row>
    <row r="42" spans="2:14" ht="15" customHeight="1">
      <c r="B42" s="706"/>
      <c r="C42" s="916"/>
      <c r="D42" s="51" t="str">
        <f>HIDDEN!$E$15</f>
        <v>Concrete</v>
      </c>
      <c r="E42" s="891">
        <f>IF(Multimodal!G$9=HIDDEN!$C$15,IF(Multimodal!G$10=AREA!$D42,BasicProjectData!G$22*Multimodal!G$11,0))+IF(Multimodal!G$21=HIDDEN!$C$15,IF(Multimodal!G$22=AREA!$D42,BasicProjectData!G$22*Multimodal!G$23,0))</f>
        <v>0</v>
      </c>
      <c r="F42" s="892">
        <f>IF(Multimodal!H$9=HIDDEN!$C$15,IF(Multimodal!H$10=AREA!$D42,BasicProjectData!H$22*Multimodal!H$11,0))+IF(Multimodal!H$21=HIDDEN!$C$15,IF(Multimodal!H$22=AREA!$D42,BasicProjectData!H$22*Multimodal!H$23,0))</f>
        <v>0</v>
      </c>
      <c r="G42" s="892">
        <f>IF(Multimodal!I$9=HIDDEN!$C$15,IF(Multimodal!I$10=AREA!$D42,BasicProjectData!I$22*Multimodal!I$11,0))+IF(Multimodal!I$21=HIDDEN!$C$15,IF(Multimodal!I$22=AREA!$D42,BasicProjectData!I$22*Multimodal!I$23,0))</f>
        <v>0</v>
      </c>
      <c r="H42" s="893">
        <f>IF(Multimodal!J$9=HIDDEN!$C$15,IF(Multimodal!J$10=AREA!$D42,BasicProjectData!J$22*Multimodal!J$11,0))+IF(Multimodal!J$21=HIDDEN!$C$15,IF(Multimodal!J$22=AREA!$D42,BasicProjectData!J$22*Multimodal!J$23,0))</f>
        <v>0</v>
      </c>
      <c r="I42" s="894">
        <f t="shared" si="5"/>
        <v>0</v>
      </c>
      <c r="J42" s="895">
        <f t="shared" si="5"/>
        <v>0</v>
      </c>
      <c r="K42" s="895">
        <f t="shared" si="5"/>
        <v>0</v>
      </c>
      <c r="L42" s="896">
        <f t="shared" si="5"/>
        <v>0</v>
      </c>
      <c r="M42" s="44"/>
      <c r="N42" s="103"/>
    </row>
    <row r="43" spans="2:14" ht="15" customHeight="1">
      <c r="B43" s="706"/>
      <c r="C43" s="38"/>
      <c r="D43" s="51" t="str">
        <f>HIDDEN!$E$16</f>
        <v>Stabilized Aggregate</v>
      </c>
      <c r="E43" s="891">
        <f>IF(Multimodal!G$9=HIDDEN!$C$15,IF(Multimodal!G$10=AREA!$D43,BasicProjectData!G$22*Multimodal!G$11,0))+IF(Multimodal!G$21=HIDDEN!$C$15,IF(Multimodal!G$22=AREA!$D43,BasicProjectData!G$22*Multimodal!G$23,0))</f>
        <v>0</v>
      </c>
      <c r="F43" s="892">
        <f>IF(Multimodal!H$9=HIDDEN!$C$15,IF(Multimodal!H$10=AREA!$D43,BasicProjectData!H$22*Multimodal!H$11,0))+IF(Multimodal!H$21=HIDDEN!$C$15,IF(Multimodal!H$22=AREA!$D43,BasicProjectData!H$22*Multimodal!H$23,0))</f>
        <v>0</v>
      </c>
      <c r="G43" s="892">
        <f>IF(Multimodal!I$9=HIDDEN!$C$15,IF(Multimodal!I$10=AREA!$D43,BasicProjectData!I$22*Multimodal!I$11,0))+IF(Multimodal!I$21=HIDDEN!$C$15,IF(Multimodal!I$22=AREA!$D43,BasicProjectData!I$22*Multimodal!I$23,0))</f>
        <v>0</v>
      </c>
      <c r="H43" s="893">
        <f>IF(Multimodal!J$9=HIDDEN!$C$15,IF(Multimodal!J$10=AREA!$D43,BasicProjectData!J$22*Multimodal!J$11,0))+IF(Multimodal!J$21=HIDDEN!$C$15,IF(Multimodal!J$22=AREA!$D43,BasicProjectData!J$22*Multimodal!J$23,0))</f>
        <v>0</v>
      </c>
      <c r="I43" s="894">
        <f t="shared" si="5"/>
        <v>0</v>
      </c>
      <c r="J43" s="895">
        <f t="shared" si="5"/>
        <v>0</v>
      </c>
      <c r="K43" s="895">
        <f t="shared" si="5"/>
        <v>0</v>
      </c>
      <c r="L43" s="896">
        <f t="shared" si="5"/>
        <v>0</v>
      </c>
      <c r="M43" s="44"/>
    </row>
    <row r="44" spans="2:14" ht="15" customHeight="1" thickBot="1">
      <c r="B44" s="706"/>
      <c r="C44" s="38"/>
      <c r="D44" s="51" t="str">
        <f>HIDDEN!$E$17</f>
        <v>Porous Pavement</v>
      </c>
      <c r="E44" s="899">
        <f>IF(Multimodal!G$9=HIDDEN!$C$15,IF(Multimodal!G$10=AREA!$D44,BasicProjectData!G$22*Multimodal!G$11,0))+IF(Multimodal!G$21=HIDDEN!$C$15,IF(Multimodal!G$22=AREA!$D44,BasicProjectData!G$22*Multimodal!G$23,0))</f>
        <v>0</v>
      </c>
      <c r="F44" s="900">
        <f>IF(Multimodal!H$9=HIDDEN!$C$15,IF(Multimodal!H$10=AREA!$D44,BasicProjectData!H$22*Multimodal!H$11,0))+IF(Multimodal!H$21=HIDDEN!$C$15,IF(Multimodal!H$22=AREA!$D44,BasicProjectData!H$22*Multimodal!H$23,0))</f>
        <v>0</v>
      </c>
      <c r="G44" s="900">
        <f>IF(Multimodal!I$9=HIDDEN!$C$15,IF(Multimodal!I$10=AREA!$D44,BasicProjectData!I$22*Multimodal!I$11,0))+IF(Multimodal!I$21=HIDDEN!$C$15,IF(Multimodal!I$22=AREA!$D44,BasicProjectData!I$22*Multimodal!I$23,0))</f>
        <v>0</v>
      </c>
      <c r="H44" s="901">
        <f>IF(Multimodal!J$9=HIDDEN!$C$15,IF(Multimodal!J$10=AREA!$D44,BasicProjectData!J$22*Multimodal!J$11,0))+IF(Multimodal!J$21=HIDDEN!$C$15,IF(Multimodal!J$22=AREA!$D44,BasicProjectData!J$22*Multimodal!J$23,0))</f>
        <v>0</v>
      </c>
      <c r="I44" s="902">
        <f t="shared" si="5"/>
        <v>0</v>
      </c>
      <c r="J44" s="903">
        <f t="shared" si="5"/>
        <v>0</v>
      </c>
      <c r="K44" s="903">
        <f t="shared" si="5"/>
        <v>0</v>
      </c>
      <c r="L44" s="904">
        <f t="shared" si="5"/>
        <v>0</v>
      </c>
      <c r="M44" s="44"/>
    </row>
    <row r="45" spans="2:14" ht="15.75" thickBot="1">
      <c r="B45" s="706"/>
      <c r="C45" s="38"/>
      <c r="D45" s="51"/>
      <c r="E45" s="906"/>
      <c r="F45" s="906"/>
      <c r="G45" s="906"/>
      <c r="H45" s="906"/>
      <c r="I45" s="38"/>
      <c r="J45" s="38"/>
      <c r="K45" s="38"/>
      <c r="L45" s="38"/>
      <c r="M45" s="44"/>
    </row>
    <row r="46" spans="2:14">
      <c r="B46" s="706"/>
      <c r="C46" s="125" t="s">
        <v>1576</v>
      </c>
      <c r="D46" s="51" t="str">
        <f>HIDDEN!$E$14</f>
        <v>Asphalt</v>
      </c>
      <c r="E46" s="885">
        <f>IF(Multimodal!G$9=HIDDEN!$C$14,IF(Multimodal!G$10=AREA!$D46,BasicProjectData!G$22*Multimodal!G$11,0))+IF(Multimodal!G$21=HIDDEN!$C$14,IF(Multimodal!G$22=AREA!$D46,BasicProjectData!G$22*Multimodal!G$23,0))+IF(AND(Multimodal!G$21&lt;&gt;HIDDEN!$C$14,Multimodal!G$27=HIDDEN!$C$14),IF(Multimodal!G$28=AREA!$D46,BasicProjectData!G$22*Multimodal!G$29,0))+IF(AND(Multimodal!G$9&lt;&gt;HIDDEN!$C$14,Multimodal!G$15=HIDDEN!$C$14),IF(Multimodal!G$16=AREA!$D46,BasicProjectData!G$22*Multimodal!G$17,0))</f>
        <v>0</v>
      </c>
      <c r="F46" s="886">
        <f>IF(Multimodal!H$9=HIDDEN!$C$14,IF(Multimodal!H$10=AREA!$D46,BasicProjectData!H$22*Multimodal!H$11,0))+IF(Multimodal!H$21=HIDDEN!$C$14,IF(Multimodal!H$22=AREA!$D46,BasicProjectData!H$22*Multimodal!H$23,0))+IF(AND(Multimodal!H$21&lt;&gt;HIDDEN!$C$14,Multimodal!H$27=HIDDEN!$C$14),IF(Multimodal!H$28=AREA!$D46,BasicProjectData!H$22*Multimodal!H$29,0))+IF(AND(Multimodal!H$9&lt;&gt;HIDDEN!$C$14,Multimodal!H$15=HIDDEN!$C$14),IF(Multimodal!H$16=AREA!$D46,BasicProjectData!H$22*Multimodal!H$17,0))</f>
        <v>0</v>
      </c>
      <c r="G46" s="886">
        <f>IF(Multimodal!I$9=HIDDEN!$C$14,IF(Multimodal!I$10=AREA!$D46,BasicProjectData!I$22*Multimodal!I$11,0))+IF(Multimodal!I$21=HIDDEN!$C$14,IF(Multimodal!I$22=AREA!$D46,BasicProjectData!I$22*Multimodal!I$23,0))+IF(AND(Multimodal!I$21&lt;&gt;HIDDEN!$C$14,Multimodal!I$27=HIDDEN!$C$14),IF(Multimodal!I$28=AREA!$D46,BasicProjectData!I$22*Multimodal!I$29,0))+IF(AND(Multimodal!I$9&lt;&gt;HIDDEN!$C$14,Multimodal!I$15=HIDDEN!$C$14),IF(Multimodal!I$16=AREA!$D46,BasicProjectData!I$22*Multimodal!I$17,0))</f>
        <v>0</v>
      </c>
      <c r="H46" s="887">
        <f>IF(Multimodal!J$9=HIDDEN!$C$14,IF(Multimodal!J$10=AREA!$D46,BasicProjectData!J$22*Multimodal!J$11,0))+IF(Multimodal!J$21=HIDDEN!$C$14,IF(Multimodal!J$22=AREA!$D46,BasicProjectData!J$22*Multimodal!J$23,0))+IF(AND(Multimodal!J$21&lt;&gt;HIDDEN!$C$14,Multimodal!J$27=HIDDEN!$C$14),IF(Multimodal!J$28=AREA!$D46,BasicProjectData!J$22*Multimodal!J$29,0))+IF(AND(Multimodal!J$9&lt;&gt;HIDDEN!$C$14,Multimodal!J$15=HIDDEN!$C$14),IF(Multimodal!J$16=AREA!$D46,BasicProjectData!J$22*Multimodal!J$17,0))</f>
        <v>0</v>
      </c>
      <c r="I46" s="888">
        <f t="shared" ref="I46:L49" si="6">E46/9</f>
        <v>0</v>
      </c>
      <c r="J46" s="889">
        <f t="shared" si="6"/>
        <v>0</v>
      </c>
      <c r="K46" s="889">
        <f t="shared" si="6"/>
        <v>0</v>
      </c>
      <c r="L46" s="890">
        <f t="shared" si="6"/>
        <v>0</v>
      </c>
      <c r="M46" s="44"/>
    </row>
    <row r="47" spans="2:14">
      <c r="B47" s="706"/>
      <c r="C47" s="916"/>
      <c r="D47" s="51" t="str">
        <f>HIDDEN!$E$15</f>
        <v>Concrete</v>
      </c>
      <c r="E47" s="891">
        <f>IF(Multimodal!G$9=HIDDEN!$C$14,IF(Multimodal!G$10=AREA!$D47,BasicProjectData!G$22*Multimodal!G$11,0))+IF(Multimodal!G$21=HIDDEN!$C$14,IF(Multimodal!G$22=AREA!$D47,BasicProjectData!G$22*Multimodal!G$23,0))+IF(AND(Multimodal!G$21&lt;&gt;HIDDEN!$C$14,Multimodal!G$27=HIDDEN!$C$14),IF(Multimodal!G$28=AREA!$D47,BasicProjectData!G$22*Multimodal!G$29,0))+IF(AND(Multimodal!G$9&lt;&gt;HIDDEN!$C$14,Multimodal!G$15=HIDDEN!$C$14),IF(Multimodal!G$16=AREA!$D47,BasicProjectData!G$22*Multimodal!G$17,0))</f>
        <v>0</v>
      </c>
      <c r="F47" s="892">
        <f>IF(Multimodal!H$9=HIDDEN!$C$14,IF(Multimodal!H$10=AREA!$D47,BasicProjectData!H$22*Multimodal!H$11,0))+IF(Multimodal!H$21=HIDDEN!$C$14,IF(Multimodal!H$22=AREA!$D47,BasicProjectData!H$22*Multimodal!H$23,0))+IF(AND(Multimodal!H$21&lt;&gt;HIDDEN!$C$14,Multimodal!H$27=HIDDEN!$C$14),IF(Multimodal!H$28=AREA!$D47,BasicProjectData!H$22*Multimodal!H$29,0))+IF(AND(Multimodal!H$9&lt;&gt;HIDDEN!$C$14,Multimodal!H$15=HIDDEN!$C$14),IF(Multimodal!H$16=AREA!$D47,BasicProjectData!H$22*Multimodal!H$17,0))</f>
        <v>0</v>
      </c>
      <c r="G47" s="892">
        <f>IF(Multimodal!I$9=HIDDEN!$C$14,IF(Multimodal!I$10=AREA!$D47,BasicProjectData!I$22*Multimodal!I$11,0))+IF(Multimodal!I$21=HIDDEN!$C$14,IF(Multimodal!I$22=AREA!$D47,BasicProjectData!I$22*Multimodal!I$23,0))+IF(AND(Multimodal!I$21&lt;&gt;HIDDEN!$C$14,Multimodal!I$27=HIDDEN!$C$14),IF(Multimodal!I$28=AREA!$D47,BasicProjectData!I$22*Multimodal!I$29,0))+IF(AND(Multimodal!I$9&lt;&gt;HIDDEN!$C$14,Multimodal!I$15=HIDDEN!$C$14),IF(Multimodal!I$16=AREA!$D47,BasicProjectData!I$22*Multimodal!I$17,0))</f>
        <v>0</v>
      </c>
      <c r="H47" s="893">
        <f>IF(Multimodal!J$9=HIDDEN!$C$14,IF(Multimodal!J$10=AREA!$D47,BasicProjectData!J$22*Multimodal!J$11,0))+IF(Multimodal!J$21=HIDDEN!$C$14,IF(Multimodal!J$22=AREA!$D47,BasicProjectData!J$22*Multimodal!J$23,0))+IF(AND(Multimodal!J$21&lt;&gt;HIDDEN!$C$14,Multimodal!J$27=HIDDEN!$C$14),IF(Multimodal!J$28=AREA!$D47,BasicProjectData!J$22*Multimodal!J$29,0))+IF(AND(Multimodal!J$9&lt;&gt;HIDDEN!$C$14,Multimodal!J$15=HIDDEN!$C$14),IF(Multimodal!J$16=AREA!$D47,BasicProjectData!J$22*Multimodal!J$17,0))</f>
        <v>0</v>
      </c>
      <c r="I47" s="894">
        <f t="shared" si="6"/>
        <v>0</v>
      </c>
      <c r="J47" s="895">
        <f t="shared" si="6"/>
        <v>0</v>
      </c>
      <c r="K47" s="895">
        <f t="shared" si="6"/>
        <v>0</v>
      </c>
      <c r="L47" s="896">
        <f t="shared" si="6"/>
        <v>0</v>
      </c>
      <c r="M47" s="44"/>
    </row>
    <row r="48" spans="2:14">
      <c r="B48" s="706"/>
      <c r="C48" s="38"/>
      <c r="D48" s="51" t="str">
        <f>HIDDEN!$E$16</f>
        <v>Stabilized Aggregate</v>
      </c>
      <c r="E48" s="891">
        <f>IF(Multimodal!G$9=HIDDEN!$C$14,IF(Multimodal!G$10=AREA!$D48,BasicProjectData!G$22*Multimodal!G$11,0))+IF(Multimodal!G$21=HIDDEN!$C$14,IF(Multimodal!G$22=AREA!$D48,BasicProjectData!G$22*Multimodal!G$23,0))+IF(AND(Multimodal!G$21&lt;&gt;HIDDEN!$C$14,Multimodal!G$27=HIDDEN!$C$14),IF(Multimodal!G$28=AREA!$D48,BasicProjectData!G$22*Multimodal!G$29,0))+IF(AND(Multimodal!G$9&lt;&gt;HIDDEN!$C$14,Multimodal!G$15=HIDDEN!$C$14),IF(Multimodal!G$16=AREA!$D48,BasicProjectData!G$22*Multimodal!G$17,0))</f>
        <v>0</v>
      </c>
      <c r="F48" s="892">
        <f>IF(Multimodal!H$9=HIDDEN!$C$14,IF(Multimodal!H$10=AREA!$D48,BasicProjectData!H$22*Multimodal!H$11,0))+IF(Multimodal!H$21=HIDDEN!$C$14,IF(Multimodal!H$22=AREA!$D48,BasicProjectData!H$22*Multimodal!H$23,0))+IF(AND(Multimodal!H$21&lt;&gt;HIDDEN!$C$14,Multimodal!H$27=HIDDEN!$C$14),IF(Multimodal!H$28=AREA!$D48,BasicProjectData!H$22*Multimodal!H$29,0))+IF(AND(Multimodal!H$9&lt;&gt;HIDDEN!$C$14,Multimodal!H$15=HIDDEN!$C$14),IF(Multimodal!H$16=AREA!$D48,BasicProjectData!H$22*Multimodal!H$17,0))</f>
        <v>0</v>
      </c>
      <c r="G48" s="892">
        <f>IF(Multimodal!I$9=HIDDEN!$C$14,IF(Multimodal!I$10=AREA!$D48,BasicProjectData!I$22*Multimodal!I$11,0))+IF(Multimodal!I$21=HIDDEN!$C$14,IF(Multimodal!I$22=AREA!$D48,BasicProjectData!I$22*Multimodal!I$23,0))+IF(AND(Multimodal!I$21&lt;&gt;HIDDEN!$C$14,Multimodal!I$27=HIDDEN!$C$14),IF(Multimodal!I$28=AREA!$D48,BasicProjectData!I$22*Multimodal!I$29,0))+IF(AND(Multimodal!I$9&lt;&gt;HIDDEN!$C$14,Multimodal!I$15=HIDDEN!$C$14),IF(Multimodal!I$16=AREA!$D48,BasicProjectData!I$22*Multimodal!I$17,0))</f>
        <v>0</v>
      </c>
      <c r="H48" s="893">
        <f>IF(Multimodal!J$9=HIDDEN!$C$14,IF(Multimodal!J$10=AREA!$D48,BasicProjectData!J$22*Multimodal!J$11,0))+IF(Multimodal!J$21=HIDDEN!$C$14,IF(Multimodal!J$22=AREA!$D48,BasicProjectData!J$22*Multimodal!J$23,0))+IF(AND(Multimodal!J$21&lt;&gt;HIDDEN!$C$14,Multimodal!J$27=HIDDEN!$C$14),IF(Multimodal!J$28=AREA!$D48,BasicProjectData!J$22*Multimodal!J$29,0))+IF(AND(Multimodal!J$9&lt;&gt;HIDDEN!$C$14,Multimodal!J$15=HIDDEN!$C$14),IF(Multimodal!J$16=AREA!$D48,BasicProjectData!J$22*Multimodal!J$17,0))</f>
        <v>0</v>
      </c>
      <c r="I48" s="894">
        <f t="shared" si="6"/>
        <v>0</v>
      </c>
      <c r="J48" s="895">
        <f t="shared" si="6"/>
        <v>0</v>
      </c>
      <c r="K48" s="895">
        <f t="shared" si="6"/>
        <v>0</v>
      </c>
      <c r="L48" s="896">
        <f t="shared" si="6"/>
        <v>0</v>
      </c>
      <c r="M48" s="44"/>
    </row>
    <row r="49" spans="2:15" ht="15.75" thickBot="1">
      <c r="B49" s="706"/>
      <c r="C49" s="38"/>
      <c r="D49" s="51" t="str">
        <f>HIDDEN!$E$17</f>
        <v>Porous Pavement</v>
      </c>
      <c r="E49" s="899">
        <f>IF(Multimodal!G$9=HIDDEN!$C$14,IF(Multimodal!G$10=AREA!$D49,BasicProjectData!G$22*Multimodal!G$11,0))+IF(Multimodal!G$21=HIDDEN!$C$14,IF(Multimodal!G$22=AREA!$D49,BasicProjectData!G$22*Multimodal!G$23,0))+IF(AND(Multimodal!G$21&lt;&gt;HIDDEN!$C$14,Multimodal!G$27=HIDDEN!$C$14),IF(Multimodal!G$28=AREA!$D49,BasicProjectData!G$22*Multimodal!G$29,0))+IF(AND(Multimodal!G$9&lt;&gt;HIDDEN!$C$14,Multimodal!G$15=HIDDEN!$C$14),IF(Multimodal!G$16=AREA!$D49,BasicProjectData!G$22*Multimodal!G$17,0))</f>
        <v>0</v>
      </c>
      <c r="F49" s="900">
        <f>IF(Multimodal!H$9=HIDDEN!$C$14,IF(Multimodal!H$10=AREA!$D49,BasicProjectData!H$22*Multimodal!H$11,0))+IF(Multimodal!H$21=HIDDEN!$C$14,IF(Multimodal!H$22=AREA!$D49,BasicProjectData!H$22*Multimodal!H$23,0))+IF(AND(Multimodal!H$21&lt;&gt;HIDDEN!$C$14,Multimodal!H$27=HIDDEN!$C$14),IF(Multimodal!H$28=AREA!$D49,BasicProjectData!H$22*Multimodal!H$29,0))+IF(AND(Multimodal!H$9&lt;&gt;HIDDEN!$C$14,Multimodal!H$15=HIDDEN!$C$14),IF(Multimodal!H$16=AREA!$D49,BasicProjectData!H$22*Multimodal!H$17,0))</f>
        <v>0</v>
      </c>
      <c r="G49" s="900">
        <f>IF(Multimodal!I$9=HIDDEN!$C$14,IF(Multimodal!I$10=AREA!$D49,BasicProjectData!I$22*Multimodal!I$11,0))+IF(Multimodal!I$21=HIDDEN!$C$14,IF(Multimodal!I$22=AREA!$D49,BasicProjectData!I$22*Multimodal!I$23,0))+IF(AND(Multimodal!I$21&lt;&gt;HIDDEN!$C$14,Multimodal!I$27=HIDDEN!$C$14),IF(Multimodal!I$28=AREA!$D49,BasicProjectData!I$22*Multimodal!I$29,0))+IF(AND(Multimodal!I$9&lt;&gt;HIDDEN!$C$14,Multimodal!I$15=HIDDEN!$C$14),IF(Multimodal!I$16=AREA!$D49,BasicProjectData!I$22*Multimodal!I$17,0))</f>
        <v>0</v>
      </c>
      <c r="H49" s="901">
        <f>IF(Multimodal!J$9=HIDDEN!$C$14,IF(Multimodal!J$10=AREA!$D49,BasicProjectData!J$22*Multimodal!J$11,0))+IF(Multimodal!J$21=HIDDEN!$C$14,IF(Multimodal!J$22=AREA!$D49,BasicProjectData!J$22*Multimodal!J$23,0))+IF(AND(Multimodal!J$21&lt;&gt;HIDDEN!$C$14,Multimodal!J$27=HIDDEN!$C$14),IF(Multimodal!J$28=AREA!$D49,BasicProjectData!J$22*Multimodal!J$29,0))+IF(AND(Multimodal!J$9&lt;&gt;HIDDEN!$C$14,Multimodal!J$15=HIDDEN!$C$14),IF(Multimodal!J$16=AREA!$D49,BasicProjectData!J$22*Multimodal!J$17,0))</f>
        <v>0</v>
      </c>
      <c r="I49" s="902">
        <f t="shared" si="6"/>
        <v>0</v>
      </c>
      <c r="J49" s="903">
        <f t="shared" si="6"/>
        <v>0</v>
      </c>
      <c r="K49" s="903">
        <f t="shared" si="6"/>
        <v>0</v>
      </c>
      <c r="L49" s="904">
        <f t="shared" si="6"/>
        <v>0</v>
      </c>
      <c r="M49" s="44"/>
    </row>
    <row r="50" spans="2:15" ht="15.75" thickBot="1">
      <c r="B50" s="706"/>
      <c r="C50" s="38"/>
      <c r="D50" s="51"/>
      <c r="E50" s="906"/>
      <c r="F50" s="906"/>
      <c r="G50" s="906"/>
      <c r="H50" s="906"/>
      <c r="I50" s="38"/>
      <c r="J50" s="38"/>
      <c r="K50" s="38"/>
      <c r="L50" s="38"/>
      <c r="M50" s="44"/>
      <c r="O50" s="58"/>
    </row>
    <row r="51" spans="2:15">
      <c r="B51" s="706"/>
      <c r="C51" s="1212" t="s">
        <v>1584</v>
      </c>
      <c r="D51" s="51" t="str">
        <f>HIDDEN!E21</f>
        <v>Asphalt</v>
      </c>
      <c r="E51" s="885">
        <f>IF(Multimodal!G$15=HIDDEN!$D$16,IF(Multimodal!G$16=AREA!$D51,BasicProjectData!G$22*Multimodal!G$17,0),0)+IF(Multimodal!G$27=HIDDEN!$D$16,IF(Multimodal!G$28=AREA!$D51,BasicProjectData!G$22*Multimodal!G$29,0),0)</f>
        <v>0</v>
      </c>
      <c r="F51" s="886">
        <f>IF(Multimodal!H$15=HIDDEN!$D$16,IF(Multimodal!H$16=AREA!$D51,BasicProjectData!H$22*Multimodal!H$17,0),0)+IF(Multimodal!H$27=HIDDEN!$D$16,IF(Multimodal!H$28=AREA!$D51,BasicProjectData!H$22*Multimodal!H$29,0),0)</f>
        <v>0</v>
      </c>
      <c r="G51" s="886">
        <f>IF(Multimodal!I$15=HIDDEN!$D$16,IF(Multimodal!I$16=AREA!$D51,BasicProjectData!I$22*Multimodal!I$17,0),0)+IF(Multimodal!I$27=HIDDEN!$D$16,IF(Multimodal!I$28=AREA!$D51,BasicProjectData!I$22*Multimodal!I$29,0),0)</f>
        <v>0</v>
      </c>
      <c r="H51" s="887">
        <f>IF(Multimodal!J$15=HIDDEN!$D$16,IF(Multimodal!J$16=AREA!$D51,BasicProjectData!J$22*Multimodal!J$17,0),0)+IF(Multimodal!J$27=HIDDEN!$D$16,IF(Multimodal!J$28=AREA!$D51,BasicProjectData!J$22*Multimodal!J$29,0),0)</f>
        <v>0</v>
      </c>
      <c r="I51" s="888">
        <f t="shared" ref="I51:L54" si="7">E51/9</f>
        <v>0</v>
      </c>
      <c r="J51" s="889">
        <f t="shared" si="7"/>
        <v>0</v>
      </c>
      <c r="K51" s="889">
        <f t="shared" si="7"/>
        <v>0</v>
      </c>
      <c r="L51" s="890">
        <f t="shared" si="7"/>
        <v>0</v>
      </c>
      <c r="M51" s="44"/>
    </row>
    <row r="52" spans="2:15">
      <c r="B52" s="706"/>
      <c r="C52" s="1212"/>
      <c r="D52" s="51" t="str">
        <f>HIDDEN!E22</f>
        <v>Concrete</v>
      </c>
      <c r="E52" s="891">
        <f>IF(Multimodal!G$15=HIDDEN!$D$16,IF(Multimodal!G$16=AREA!$D52,BasicProjectData!G$22*Multimodal!G$17,0),0)+IF(Multimodal!G$27=HIDDEN!$D$16,IF(Multimodal!G$28=AREA!$D52,BasicProjectData!G$22*Multimodal!G$29,0),0)</f>
        <v>0</v>
      </c>
      <c r="F52" s="892">
        <f>IF(Multimodal!H$15=HIDDEN!$D$16,IF(Multimodal!H$16=AREA!$D52,BasicProjectData!H$22*Multimodal!H$17,0),0)+IF(Multimodal!H$27=HIDDEN!$D$16,IF(Multimodal!H$28=AREA!$D52,BasicProjectData!H$22*Multimodal!H$29,0),0)</f>
        <v>0</v>
      </c>
      <c r="G52" s="892">
        <f>IF(Multimodal!I$15=HIDDEN!$D$16,IF(Multimodal!I$16=AREA!$D52,BasicProjectData!I$22*Multimodal!I$17,0),0)+IF(Multimodal!I$27=HIDDEN!$D$16,IF(Multimodal!I$28=AREA!$D52,BasicProjectData!I$22*Multimodal!I$29,0),0)</f>
        <v>0</v>
      </c>
      <c r="H52" s="893">
        <f>IF(Multimodal!J$15=HIDDEN!$D$16,IF(Multimodal!J$16=AREA!$D52,BasicProjectData!J$22*Multimodal!J$17,0),0)+IF(Multimodal!J$27=HIDDEN!$D$16,IF(Multimodal!J$28=AREA!$D52,BasicProjectData!J$22*Multimodal!J$29,0),0)</f>
        <v>0</v>
      </c>
      <c r="I52" s="894">
        <f t="shared" si="7"/>
        <v>0</v>
      </c>
      <c r="J52" s="895">
        <f t="shared" si="7"/>
        <v>0</v>
      </c>
      <c r="K52" s="895">
        <f t="shared" si="7"/>
        <v>0</v>
      </c>
      <c r="L52" s="896">
        <f t="shared" si="7"/>
        <v>0</v>
      </c>
      <c r="M52" s="44"/>
    </row>
    <row r="53" spans="2:15">
      <c r="B53" s="706"/>
      <c r="C53" s="38"/>
      <c r="D53" s="51" t="str">
        <f>HIDDEN!E23</f>
        <v>Stabilized Aggregate</v>
      </c>
      <c r="E53" s="891">
        <f>IF(Multimodal!G$15=HIDDEN!$D$16,IF(Multimodal!G$16=AREA!$D53,BasicProjectData!G$22*Multimodal!G$17,0),0)+IF(Multimodal!G$27=HIDDEN!$D$16,IF(Multimodal!G$28=AREA!$D53,BasicProjectData!G$22*Multimodal!G$29,0),0)</f>
        <v>0</v>
      </c>
      <c r="F53" s="892">
        <f>IF(Multimodal!H$15=HIDDEN!$D$16,IF(Multimodal!H$16=AREA!$D53,BasicProjectData!H$22*Multimodal!H$17,0),0)+IF(Multimodal!H$27=HIDDEN!$D$16,IF(Multimodal!H$28=AREA!$D53,BasicProjectData!H$22*Multimodal!H$29,0),0)</f>
        <v>0</v>
      </c>
      <c r="G53" s="892">
        <f>IF(Multimodal!I$15=HIDDEN!$D$16,IF(Multimodal!I$16=AREA!$D53,BasicProjectData!I$22*Multimodal!I$17,0),0)+IF(Multimodal!I$27=HIDDEN!$D$16,IF(Multimodal!I$28=AREA!$D53,BasicProjectData!I$22*Multimodal!I$29,0),0)</f>
        <v>0</v>
      </c>
      <c r="H53" s="893">
        <f>IF(Multimodal!J$15=HIDDEN!$D$16,IF(Multimodal!J$16=AREA!$D53,BasicProjectData!J$22*Multimodal!J$17,0),0)+IF(Multimodal!J$27=HIDDEN!$D$16,IF(Multimodal!J$28=AREA!$D53,BasicProjectData!J$22*Multimodal!J$29,0),0)</f>
        <v>0</v>
      </c>
      <c r="I53" s="894">
        <f t="shared" si="7"/>
        <v>0</v>
      </c>
      <c r="J53" s="895">
        <f t="shared" si="7"/>
        <v>0</v>
      </c>
      <c r="K53" s="895">
        <f t="shared" si="7"/>
        <v>0</v>
      </c>
      <c r="L53" s="896">
        <f t="shared" si="7"/>
        <v>0</v>
      </c>
      <c r="M53" s="44"/>
    </row>
    <row r="54" spans="2:15" ht="15.75" thickBot="1">
      <c r="B54" s="706"/>
      <c r="C54" s="38"/>
      <c r="D54" s="51" t="str">
        <f>HIDDEN!E24</f>
        <v>Porous Pavement</v>
      </c>
      <c r="E54" s="899">
        <f>IF(Multimodal!G$15=HIDDEN!$D$16,IF(Multimodal!G$16=AREA!$D54,BasicProjectData!G$22*Multimodal!G$17,0),0)+IF(Multimodal!G$27=HIDDEN!$D$16,IF(Multimodal!G$28=AREA!$D54,BasicProjectData!G$22*Multimodal!G$29,0),0)</f>
        <v>0</v>
      </c>
      <c r="F54" s="900">
        <f>IF(Multimodal!H$15=HIDDEN!$D$16,IF(Multimodal!H$16=AREA!$D54,BasicProjectData!H$22*Multimodal!H$17,0),0)+IF(Multimodal!H$27=HIDDEN!$D$16,IF(Multimodal!H$28=AREA!$D54,BasicProjectData!H$22*Multimodal!H$29,0),0)</f>
        <v>0</v>
      </c>
      <c r="G54" s="900">
        <f>IF(Multimodal!I$15=HIDDEN!$D$16,IF(Multimodal!I$16=AREA!$D54,BasicProjectData!I$22*Multimodal!I$17,0),0)+IF(Multimodal!I$27=HIDDEN!$D$16,IF(Multimodal!I$28=AREA!$D54,BasicProjectData!I$22*Multimodal!I$29,0),0)</f>
        <v>0</v>
      </c>
      <c r="H54" s="901">
        <f>IF(Multimodal!J$15=HIDDEN!$D$16,IF(Multimodal!J$16=AREA!$D54,BasicProjectData!J$22*Multimodal!J$17,0),0)+IF(Multimodal!J$27=HIDDEN!$D$16,IF(Multimodal!J$28=AREA!$D54,BasicProjectData!J$22*Multimodal!J$29,0),0)</f>
        <v>0</v>
      </c>
      <c r="I54" s="902">
        <f t="shared" si="7"/>
        <v>0</v>
      </c>
      <c r="J54" s="903">
        <f t="shared" si="7"/>
        <v>0</v>
      </c>
      <c r="K54" s="903">
        <f t="shared" si="7"/>
        <v>0</v>
      </c>
      <c r="L54" s="904">
        <f t="shared" si="7"/>
        <v>0</v>
      </c>
      <c r="M54" s="44"/>
    </row>
    <row r="55" spans="2:15">
      <c r="B55" s="706"/>
      <c r="C55" s="38"/>
      <c r="D55" s="51"/>
      <c r="E55" s="906"/>
      <c r="F55" s="906"/>
      <c r="G55" s="906"/>
      <c r="H55" s="906"/>
      <c r="I55" s="38"/>
      <c r="J55" s="38"/>
      <c r="K55" s="38"/>
      <c r="L55" s="38"/>
      <c r="M55" s="44"/>
    </row>
    <row r="56" spans="2:15">
      <c r="B56" s="706"/>
      <c r="C56" s="125" t="s">
        <v>1567</v>
      </c>
      <c r="D56" s="51" t="s">
        <v>434</v>
      </c>
      <c r="E56" s="892">
        <f>Roadway!G16*135</f>
        <v>0</v>
      </c>
      <c r="F56" s="892">
        <f>Roadway!H16*135</f>
        <v>0</v>
      </c>
      <c r="G56" s="892">
        <f>Roadway!I16*135</f>
        <v>0</v>
      </c>
      <c r="H56" s="892">
        <f>Roadway!J16*135</f>
        <v>0</v>
      </c>
      <c r="I56" s="895">
        <f>E56/9</f>
        <v>0</v>
      </c>
      <c r="J56" s="895">
        <f>F56/9</f>
        <v>0</v>
      </c>
      <c r="K56" s="895">
        <f>G56/9</f>
        <v>0</v>
      </c>
      <c r="L56" s="895">
        <f>H56/9</f>
        <v>0</v>
      </c>
      <c r="M56" s="44"/>
    </row>
    <row r="57" spans="2:15">
      <c r="B57" s="706"/>
      <c r="C57" s="917" t="s">
        <v>1604</v>
      </c>
      <c r="D57" s="51"/>
      <c r="E57" s="906"/>
      <c r="F57" s="906"/>
      <c r="G57" s="906"/>
      <c r="H57" s="906"/>
      <c r="I57" s="38"/>
      <c r="J57" s="38"/>
      <c r="K57" s="38"/>
      <c r="L57" s="38"/>
      <c r="M57" s="44"/>
    </row>
    <row r="58" spans="2:15">
      <c r="B58" s="706"/>
      <c r="C58" s="125" t="s">
        <v>1618</v>
      </c>
      <c r="D58" s="51" t="s">
        <v>848</v>
      </c>
      <c r="E58" s="892">
        <f>IF(AND(OR(ISBLANK(Multimodal!G9),Multimodal!G9=HIDDEN!$C$16),Multimodal!G15&lt;&gt;HIDDEN!$D$14),0,BasicProjectData!G22*$G$59)+IF(AND(OR(ISBLANK(Multimodal!G21),Multimodal!G21=HIDDEN!$C$16),Multimodal!G27&lt;&gt;HIDDEN!$D$14),0,BasicProjectData!G22*$G$59)</f>
        <v>0</v>
      </c>
      <c r="F58" s="892">
        <f>IF(AND(OR(ISBLANK(Multimodal!H9),Multimodal!H9=HIDDEN!$C$16),Multimodal!H15&lt;&gt;HIDDEN!$D$14),0,BasicProjectData!H22*$G$59)+IF(AND(OR(ISBLANK(Multimodal!H21),Multimodal!H21=HIDDEN!$C$16),Multimodal!H27&lt;&gt;HIDDEN!$D$14),0,BasicProjectData!H22*$G$59)</f>
        <v>0</v>
      </c>
      <c r="G58" s="892">
        <f>IF(AND(OR(ISBLANK(Multimodal!I9),Multimodal!I9=HIDDEN!$C$16),Multimodal!I15&lt;&gt;HIDDEN!$D$14),0,BasicProjectData!I22*$G$59)+IF(AND(OR(ISBLANK(Multimodal!I21),Multimodal!I21=HIDDEN!$C$16),Multimodal!I27&lt;&gt;HIDDEN!$D$14),0,BasicProjectData!I22*$G$59)</f>
        <v>0</v>
      </c>
      <c r="H58" s="892">
        <f>IF(AND(OR(ISBLANK(Multimodal!J9),Multimodal!J9=HIDDEN!$C$16),Multimodal!J15&lt;&gt;HIDDEN!$D$14),0,BasicProjectData!J22*$G$59)+IF(AND(OR(ISBLANK(Multimodal!J21),Multimodal!J21=HIDDEN!$C$16),Multimodal!J27&lt;&gt;HIDDEN!$D$14),0,BasicProjectData!J22*$G$59)</f>
        <v>0</v>
      </c>
      <c r="I58" s="895">
        <f>E58/9</f>
        <v>0</v>
      </c>
      <c r="J58" s="895">
        <f>F58/9</f>
        <v>0</v>
      </c>
      <c r="K58" s="895">
        <f>G58/9</f>
        <v>0</v>
      </c>
      <c r="L58" s="895">
        <f>H58/9</f>
        <v>0</v>
      </c>
      <c r="M58" s="44"/>
    </row>
    <row r="59" spans="2:15" ht="15" customHeight="1">
      <c r="B59" s="706"/>
      <c r="C59" s="917" t="s">
        <v>3841</v>
      </c>
      <c r="D59" s="51"/>
      <c r="E59" s="918"/>
      <c r="F59" s="918"/>
      <c r="G59" s="924">
        <v>5</v>
      </c>
      <c r="H59" s="918"/>
      <c r="I59" s="38"/>
      <c r="J59" s="38"/>
      <c r="K59" s="38"/>
      <c r="L59" s="38"/>
      <c r="M59" s="44"/>
    </row>
    <row r="60" spans="2:15">
      <c r="B60" s="706"/>
      <c r="E60" s="54"/>
      <c r="F60" s="54"/>
      <c r="G60" s="54"/>
      <c r="H60" s="54"/>
      <c r="I60" s="54"/>
      <c r="J60" s="54"/>
      <c r="K60" s="54"/>
      <c r="L60" s="54"/>
      <c r="M60" s="44"/>
    </row>
    <row r="61" spans="2:15">
      <c r="B61" s="43"/>
      <c r="C61" s="39" t="s">
        <v>1575</v>
      </c>
      <c r="D61" s="123" t="s">
        <v>1574</v>
      </c>
      <c r="E61" s="39" t="s">
        <v>1605</v>
      </c>
      <c r="F61" s="39"/>
      <c r="G61" s="39"/>
      <c r="H61" s="39"/>
      <c r="M61" s="48"/>
    </row>
    <row r="62" spans="2:15">
      <c r="B62" s="706"/>
      <c r="C62" s="125" t="s">
        <v>749</v>
      </c>
      <c r="D62" s="840" t="str">
        <f>HIDDEN!B23</f>
        <v>Vertical Granite</v>
      </c>
      <c r="E62" s="919">
        <f>IF(Roadway!G$13=AREA!$D62,BasicProjectData!G$22,0)+IF(Roadway!G$14=AREA!$D62,BasicProjectData!G$22,0)</f>
        <v>0</v>
      </c>
      <c r="F62" s="919">
        <f>IF(Roadway!H$13=AREA!$D62,BasicProjectData!H$22,0)+IF(Roadway!H$14=AREA!$D62,BasicProjectData!H$22,0)</f>
        <v>0</v>
      </c>
      <c r="G62" s="919">
        <f>IF(Roadway!I$13=AREA!$D62,BasicProjectData!I$22,0)+IF(Roadway!I$14=AREA!$D62,BasicProjectData!I$22,0)</f>
        <v>0</v>
      </c>
      <c r="H62" s="919">
        <f>IF(Roadway!J$13=AREA!$D62,BasicProjectData!J$22,0)+IF(Roadway!J$14=AREA!$D62,BasicProjectData!J$22,0)</f>
        <v>0</v>
      </c>
      <c r="I62" s="91"/>
      <c r="J62" s="91"/>
      <c r="K62" s="91"/>
      <c r="L62" s="91"/>
      <c r="M62" s="44"/>
    </row>
    <row r="63" spans="2:15">
      <c r="B63" s="706"/>
      <c r="C63" s="38"/>
      <c r="D63" s="840" t="str">
        <f>HIDDEN!B24</f>
        <v>Concrete</v>
      </c>
      <c r="E63" s="919">
        <f>IF(Roadway!G$13=AREA!$D63,BasicProjectData!G$22,0)+IF(Roadway!G$14=AREA!$D63,BasicProjectData!G$22,0)</f>
        <v>0</v>
      </c>
      <c r="F63" s="919">
        <f>IF(Roadway!H$13=AREA!$D63,BasicProjectData!H$22,0)+IF(Roadway!H$14=AREA!$D63,BasicProjectData!H$22,0)</f>
        <v>0</v>
      </c>
      <c r="G63" s="919">
        <f>IF(Roadway!I$13=AREA!$D63,BasicProjectData!I$22,0)+IF(Roadway!I$14=AREA!$D63,BasicProjectData!I$22,0)</f>
        <v>0</v>
      </c>
      <c r="H63" s="919">
        <f>IF(Roadway!J$13=AREA!$D63,BasicProjectData!J$22,0)+IF(Roadway!J$14=AREA!$D63,BasicProjectData!J$22,0)</f>
        <v>0</v>
      </c>
      <c r="I63" s="91"/>
      <c r="J63" s="91"/>
      <c r="K63" s="91"/>
      <c r="L63" s="91"/>
      <c r="M63" s="44"/>
    </row>
    <row r="64" spans="2:15">
      <c r="B64" s="706"/>
      <c r="C64" s="38"/>
      <c r="D64" s="840" t="str">
        <f>HIDDEN!B25</f>
        <v>HMA Curb</v>
      </c>
      <c r="E64" s="919">
        <f>IF(Roadway!G$13=AREA!$D64,BasicProjectData!G$22,0)+IF(Roadway!G$14=AREA!$D64,BasicProjectData!G$22,0)</f>
        <v>0</v>
      </c>
      <c r="F64" s="919">
        <f>IF(Roadway!H$13=AREA!$D64,BasicProjectData!H$22,0)+IF(Roadway!H$14=AREA!$D64,BasicProjectData!H$22,0)</f>
        <v>0</v>
      </c>
      <c r="G64" s="919">
        <f>IF(Roadway!I$13=AREA!$D64,BasicProjectData!I$22,0)+IF(Roadway!I$14=AREA!$D64,BasicProjectData!I$22,0)</f>
        <v>0</v>
      </c>
      <c r="H64" s="919">
        <f>IF(Roadway!J$13=AREA!$D64,BasicProjectData!J$22,0)+IF(Roadway!J$14=AREA!$D64,BasicProjectData!J$22,0)</f>
        <v>0</v>
      </c>
      <c r="I64" s="91"/>
      <c r="J64" s="91"/>
      <c r="K64" s="91"/>
      <c r="L64" s="91"/>
      <c r="M64" s="44"/>
    </row>
    <row r="65" spans="2:13">
      <c r="B65" s="706"/>
      <c r="C65" s="38"/>
      <c r="D65" s="840" t="str">
        <f>HIDDEN!B26</f>
        <v>HMA Berm</v>
      </c>
      <c r="E65" s="919">
        <f>IF(Roadway!G$13=AREA!$D65,BasicProjectData!G$22,0)+IF(Roadway!G$14=AREA!$D65,BasicProjectData!G$22,0)</f>
        <v>0</v>
      </c>
      <c r="F65" s="919">
        <f>IF(Roadway!H$13=AREA!$D65,BasicProjectData!H$22,0)+IF(Roadway!H$14=AREA!$D65,BasicProjectData!H$22,0)</f>
        <v>0</v>
      </c>
      <c r="G65" s="919">
        <f>IF(Roadway!I$13=AREA!$D65,BasicProjectData!I$22,0)+IF(Roadway!I$14=AREA!$D65,BasicProjectData!I$22,0)</f>
        <v>0</v>
      </c>
      <c r="H65" s="919">
        <f>IF(Roadway!J$13=AREA!$D65,BasicProjectData!J$22,0)+IF(Roadway!J$14=AREA!$D65,BasicProjectData!J$22,0)</f>
        <v>0</v>
      </c>
      <c r="I65" s="91"/>
      <c r="J65" s="91"/>
      <c r="K65" s="91"/>
      <c r="L65" s="91"/>
      <c r="M65" s="44"/>
    </row>
    <row r="66" spans="2:13">
      <c r="B66" s="706"/>
      <c r="C66" s="38"/>
      <c r="D66" s="840" t="str">
        <f>HIDDEN!B27</f>
        <v>Granite Edging</v>
      </c>
      <c r="E66" s="919">
        <f>IF(Roadway!G$13=AREA!$D66,BasicProjectData!G$22,0)+IF(Roadway!G$14=AREA!$D66,BasicProjectData!G$22,0)</f>
        <v>0</v>
      </c>
      <c r="F66" s="919">
        <f>IF(Roadway!H$13=AREA!$D66,BasicProjectData!H$22,0)+IF(Roadway!H$14=AREA!$D66,BasicProjectData!H$22,0)</f>
        <v>0</v>
      </c>
      <c r="G66" s="919">
        <f>IF(Roadway!I$13=AREA!$D66,BasicProjectData!I$22,0)+IF(Roadway!I$14=AREA!$D66,BasicProjectData!I$22,0)</f>
        <v>0</v>
      </c>
      <c r="H66" s="919">
        <f>IF(Roadway!J$13=AREA!$D66,BasicProjectData!J$22,0)+IF(Roadway!J$14=AREA!$D66,BasicProjectData!J$22,0)</f>
        <v>0</v>
      </c>
      <c r="I66" s="91"/>
      <c r="J66" s="91"/>
      <c r="K66" s="91"/>
      <c r="L66" s="91"/>
      <c r="M66" s="44"/>
    </row>
    <row r="67" spans="2:13" ht="15.75" thickBot="1">
      <c r="B67" s="920"/>
      <c r="C67" s="88"/>
      <c r="D67" s="921" t="str">
        <f>HIDDEN!B28</f>
        <v>R&amp;R Exist</v>
      </c>
      <c r="E67" s="922">
        <f>IF(Roadway!G$13=AREA!$D67,BasicProjectData!G$22,0)+IF(Roadway!G$14=AREA!$D67,BasicProjectData!G$22,0)</f>
        <v>0</v>
      </c>
      <c r="F67" s="922">
        <f>IF(Roadway!H$13=AREA!$D67,BasicProjectData!H$22,0)+IF(Roadway!H$14=AREA!$D67,BasicProjectData!H$22,0)</f>
        <v>0</v>
      </c>
      <c r="G67" s="922">
        <f>IF(Roadway!I$13=AREA!$D67,BasicProjectData!I$22,0)+IF(Roadway!I$14=AREA!$D67,BasicProjectData!I$22,0)</f>
        <v>0</v>
      </c>
      <c r="H67" s="922">
        <f>IF(Roadway!J$13=AREA!$D67,BasicProjectData!J$22,0)+IF(Roadway!J$14=AREA!$D67,BasicProjectData!J$22,0)</f>
        <v>0</v>
      </c>
      <c r="I67" s="923"/>
      <c r="J67" s="923"/>
      <c r="K67" s="923"/>
      <c r="L67" s="923"/>
      <c r="M67" s="72"/>
    </row>
  </sheetData>
  <sheetProtection algorithmName="SHA-512" hashValue="481eG0hJ/uK7kqOaaQ2joLMKP5Aipglftbgmy8M94k8A5e944tn3hrnv810pzMwjQm70ICqdAXDXPWxS1F/Z/g==" saltValue="keF1MWF4e4H0umoDWxj1ng==" spinCount="100000" sheet="1" objects="1" scenarios="1"/>
  <mergeCells count="5">
    <mergeCell ref="B2:M3"/>
    <mergeCell ref="B4:M5"/>
    <mergeCell ref="C7:L7"/>
    <mergeCell ref="C51:C52"/>
    <mergeCell ref="C8:L8"/>
  </mergeCells>
  <phoneticPr fontId="7" type="noConversion"/>
  <pageMargins left="0.75" right="0.75" top="1" bottom="1" header="0.5" footer="0.5"/>
  <pageSetup scale="70" fitToHeight="0" orientation="portrait" r:id="rId1"/>
  <headerFooter alignWithMargins="0">
    <oddHeader>&amp;C&amp;"Arial,Bold Italic"&amp;20DRAFT - TOOL STILL IN PRODUCTION</oddHeader>
    <oddFooter>&amp;C&amp;"Futura Bk BT,Book"Page &amp;P</oddFooter>
  </headerFooter>
  <colBreaks count="1" manualBreakCount="1">
    <brk id="8" min="1" max="71"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656E5-FAEF-4CED-B2E6-D605A5FD90EB}">
  <sheetPr codeName="Sheet12">
    <tabColor theme="0" tint="-0.249977111117893"/>
    <pageSetUpPr fitToPage="1"/>
  </sheetPr>
  <dimension ref="A1:AO44"/>
  <sheetViews>
    <sheetView topLeftCell="A6" zoomScale="115" zoomScaleNormal="115" workbookViewId="0">
      <selection activeCell="K25" sqref="K25"/>
    </sheetView>
  </sheetViews>
  <sheetFormatPr defaultColWidth="9.140625" defaultRowHeight="12.75"/>
  <cols>
    <col min="1" max="1" width="15.140625" style="38" bestFit="1" customWidth="1"/>
    <col min="2" max="2" width="22.7109375" style="67" customWidth="1"/>
    <col min="3" max="3" width="12.7109375" style="38" customWidth="1"/>
    <col min="4" max="7" width="8.85546875" style="38" hidden="1" customWidth="1"/>
    <col min="8" max="8" width="12.28515625" style="38" hidden="1" customWidth="1"/>
    <col min="9" max="9" width="9.28515625" style="38" customWidth="1"/>
    <col min="10" max="10" width="16.140625" style="38" customWidth="1"/>
    <col min="11" max="11" width="11.28515625" style="38" customWidth="1"/>
    <col min="12" max="12" width="15" style="38" customWidth="1"/>
    <col min="13" max="13" width="12.7109375" style="38" bestFit="1" customWidth="1"/>
    <col min="14" max="14" width="10" style="38" customWidth="1"/>
    <col min="15" max="15" width="7.28515625" style="38" customWidth="1"/>
    <col min="16" max="31" width="10.42578125" style="38" customWidth="1"/>
    <col min="32" max="32" width="9.140625" style="38"/>
    <col min="33" max="33" width="14.42578125" style="38" bestFit="1" customWidth="1"/>
    <col min="34" max="34" width="9.140625" style="38" bestFit="1" customWidth="1"/>
    <col min="35" max="35" width="15.85546875" style="38" bestFit="1" customWidth="1"/>
    <col min="36" max="36" width="11.28515625" style="38" bestFit="1" customWidth="1"/>
    <col min="37" max="38" width="9.140625" style="38"/>
    <col min="39" max="39" width="73.42578125" style="38" bestFit="1" customWidth="1"/>
    <col min="40" max="16384" width="9.140625" style="38"/>
  </cols>
  <sheetData>
    <row r="1" spans="1:41">
      <c r="A1" s="1218" t="s">
        <v>3954</v>
      </c>
      <c r="B1" s="620" t="s">
        <v>8</v>
      </c>
      <c r="C1" s="926"/>
      <c r="D1" s="166" t="s">
        <v>9</v>
      </c>
      <c r="E1" s="927"/>
      <c r="G1" s="150" t="s">
        <v>1613</v>
      </c>
      <c r="H1" s="1216">
        <f>BasicProjectData!$G$17</f>
        <v>0</v>
      </c>
      <c r="I1" s="1216"/>
    </row>
    <row r="2" spans="1:41">
      <c r="A2" s="1218"/>
      <c r="B2" s="620" t="s">
        <v>10</v>
      </c>
      <c r="C2" s="926"/>
      <c r="D2" s="166" t="s">
        <v>9</v>
      </c>
      <c r="E2" s="927"/>
      <c r="G2" s="150" t="s">
        <v>11</v>
      </c>
      <c r="H2" s="1217">
        <f>BasicProjectData!E7</f>
        <v>0</v>
      </c>
      <c r="I2" s="1217"/>
    </row>
    <row r="3" spans="1:41">
      <c r="A3" s="1218"/>
    </row>
    <row r="4" spans="1:41">
      <c r="A4" s="1218"/>
      <c r="F4" s="123"/>
      <c r="G4" s="124"/>
      <c r="H4" s="124"/>
      <c r="I4" s="124"/>
      <c r="J4" s="124"/>
      <c r="K4" s="124"/>
      <c r="N4" s="124"/>
      <c r="O4" s="124"/>
      <c r="P4" s="124"/>
      <c r="Q4" s="124"/>
      <c r="R4" s="124"/>
      <c r="S4" s="124"/>
      <c r="T4" s="124"/>
      <c r="U4" s="124"/>
      <c r="V4" s="124"/>
      <c r="W4" s="124"/>
      <c r="X4" s="124"/>
      <c r="Y4" s="124"/>
      <c r="Z4" s="124"/>
      <c r="AA4" s="124"/>
      <c r="AB4" s="124"/>
      <c r="AC4" s="124"/>
      <c r="AD4" s="124"/>
      <c r="AE4" s="124"/>
    </row>
    <row r="5" spans="1:41" ht="24" customHeight="1">
      <c r="A5" s="1218"/>
      <c r="B5" s="111"/>
      <c r="C5" s="621"/>
      <c r="D5" s="1214" t="s">
        <v>1762</v>
      </c>
      <c r="E5" s="1214"/>
      <c r="F5" s="1214"/>
      <c r="G5" s="1214"/>
      <c r="H5" s="230"/>
      <c r="I5" s="230"/>
      <c r="J5" s="1075"/>
      <c r="K5" s="230"/>
      <c r="L5" s="230" t="s">
        <v>3897</v>
      </c>
      <c r="M5" s="872">
        <v>150</v>
      </c>
      <c r="N5" s="1214" t="s">
        <v>3676</v>
      </c>
      <c r="O5" s="1214"/>
      <c r="P5" s="1214"/>
      <c r="Q5" s="1214"/>
      <c r="R5" s="1214"/>
      <c r="S5" s="1214"/>
      <c r="T5" s="39"/>
      <c r="U5" s="39"/>
      <c r="V5" s="39"/>
      <c r="W5" s="39"/>
      <c r="X5" s="39"/>
      <c r="Y5" s="39"/>
      <c r="Z5" s="39"/>
      <c r="AA5" s="39"/>
      <c r="AB5" s="39"/>
      <c r="AC5" s="39"/>
      <c r="AD5" s="39"/>
      <c r="AE5" s="39"/>
    </row>
    <row r="6" spans="1:41" ht="60.75">
      <c r="A6" s="598"/>
      <c r="B6" s="602" t="s">
        <v>1536</v>
      </c>
      <c r="C6" s="621" t="s">
        <v>3894</v>
      </c>
      <c r="D6" s="621" t="str">
        <f>Pavement!G13</f>
        <v>Major Roadway</v>
      </c>
      <c r="E6" s="621" t="str">
        <f>Pavement!H13</f>
        <v>Roadway 2 Name</v>
      </c>
      <c r="F6" s="621" t="str">
        <f>Pavement!I13</f>
        <v>Roadway 3 Name</v>
      </c>
      <c r="G6" s="621" t="str">
        <f>Pavement!J13</f>
        <v>Roadway 4 Name</v>
      </c>
      <c r="H6" s="230" t="s">
        <v>3692</v>
      </c>
      <c r="I6" s="621" t="s">
        <v>1590</v>
      </c>
      <c r="J6" s="1075" t="s">
        <v>3922</v>
      </c>
      <c r="K6" s="230" t="s">
        <v>1738</v>
      </c>
      <c r="L6" s="230" t="s">
        <v>1591</v>
      </c>
      <c r="M6" s="230" t="s">
        <v>1592</v>
      </c>
      <c r="N6" s="230" t="s">
        <v>3673</v>
      </c>
      <c r="O6" s="621" t="s">
        <v>3675</v>
      </c>
      <c r="P6" s="621" t="s">
        <v>3677</v>
      </c>
      <c r="Q6" s="621" t="s">
        <v>3678</v>
      </c>
      <c r="R6" s="621" t="s">
        <v>3921</v>
      </c>
      <c r="S6" s="621" t="s">
        <v>3920</v>
      </c>
      <c r="T6" s="126"/>
      <c r="U6" s="126"/>
      <c r="V6" s="126"/>
      <c r="W6" s="126"/>
      <c r="X6" s="126"/>
      <c r="Y6" s="126"/>
      <c r="Z6" s="126"/>
      <c r="AA6" s="126"/>
      <c r="AB6" s="126"/>
      <c r="AC6" s="126"/>
      <c r="AD6" s="126"/>
      <c r="AE6" s="126"/>
    </row>
    <row r="7" spans="1:41">
      <c r="A7" s="925" t="str">
        <f ca="1">IFERROR(HYPERLINK("#"&amp;"ProjectEstimate!A"&amp;(8+MATCH($C7,ProjectEstimate!$A$9:$A$145,0)),CONCATENATE("Go To ",$C7))," ")</f>
        <v xml:space="preserve"> </v>
      </c>
      <c r="B7" s="111" t="s">
        <v>1763</v>
      </c>
      <c r="C7" s="604" t="s">
        <v>1768</v>
      </c>
      <c r="D7" s="605" t="str">
        <f>IF(Pavement!G34="Crack Seal should not be utilized with this treatment",0,IF(AND($B7="Crack Seal",Pavement!$D$11="Yes"),((Pavement!G$22*Pavement!G$23)+Pavement!G$26)/9,IF($B7=Pavement!G$28,((Pavement!G$22*Pavement!G$23)+Pavement!G$26)/9," ")))</f>
        <v xml:space="preserve"> </v>
      </c>
      <c r="E7" s="605" t="str">
        <f>IF(Pavement!H34="Crack Seal should not be utilized with this treatment",0,IF(AND($B7="Crack Seal",Pavement!$D$11="Yes"),((Pavement!H$22*Pavement!H$23)+Pavement!H$26)/9,IF($B7=Pavement!H$28,((Pavement!H$22*Pavement!H$23)+Pavement!H$26)/9," ")))</f>
        <v xml:space="preserve"> </v>
      </c>
      <c r="F7" s="605" t="str">
        <f>IF(Pavement!I34="Crack Seal should not be utilized with this treatment",0,IF(AND($B7="Crack Seal",Pavement!$D$11="Yes"),((Pavement!I$22*Pavement!I$23)+Pavement!I$26)/9,IF($B7=Pavement!I$28,((Pavement!I$22*Pavement!I$23)+Pavement!I$26)/9," ")))</f>
        <v xml:space="preserve"> </v>
      </c>
      <c r="G7" s="605" t="str">
        <f>IF(Pavement!J34="Crack Seal should not be utilized with this treatment",0,IF(AND($B7="Crack Seal",Pavement!$D$11="Yes"),((Pavement!J$22*Pavement!J$23)+Pavement!J$26)/9,IF($B7=Pavement!J$28,((Pavement!J$22*Pavement!J$23)+Pavement!J$26)/9," ")))</f>
        <v xml:space="preserve"> </v>
      </c>
      <c r="H7" s="605">
        <f>SUM(D7:G7)</f>
        <v>0</v>
      </c>
      <c r="I7" s="928">
        <v>0.6</v>
      </c>
      <c r="J7" s="604">
        <f>IF(AND(Pavement!$J$11&gt;=3,L7&gt;0),2+(PVMTPRES!I7*$S7),PVMTPRES!I7*$S7)</f>
        <v>0.6</v>
      </c>
      <c r="K7" s="606">
        <f>SUM(D7:G7)*J7</f>
        <v>0</v>
      </c>
      <c r="L7" s="607">
        <v>0</v>
      </c>
      <c r="M7" s="608" t="s">
        <v>1582</v>
      </c>
      <c r="N7" s="609" t="s">
        <v>74</v>
      </c>
      <c r="O7" s="609" t="s">
        <v>74</v>
      </c>
      <c r="P7" s="609" t="s">
        <v>1582</v>
      </c>
      <c r="Q7" s="609" t="s">
        <v>73</v>
      </c>
      <c r="R7" s="609" t="s">
        <v>74</v>
      </c>
      <c r="S7" s="609">
        <f>IF(AND(R7="No",Pavement!$D$8/100&lt;1),1,Pavement!$D$8/100)</f>
        <v>1</v>
      </c>
      <c r="T7" s="131"/>
      <c r="U7" s="131"/>
      <c r="V7" s="131"/>
      <c r="W7" s="131"/>
      <c r="X7" s="131"/>
      <c r="Y7" s="131"/>
      <c r="Z7" s="131"/>
      <c r="AA7" s="131"/>
      <c r="AB7" s="131"/>
      <c r="AC7" s="131"/>
      <c r="AD7" s="131"/>
      <c r="AE7" s="131"/>
      <c r="AG7" s="132"/>
      <c r="AH7" s="133"/>
      <c r="AI7" s="132"/>
      <c r="AJ7" s="134"/>
    </row>
    <row r="8" spans="1:41">
      <c r="A8" s="925" t="str">
        <f ca="1">IFERROR(HYPERLINK("#"&amp;"ProjectEstimate!A"&amp;(8+MATCH($C8,ProjectEstimate!$A$9:$A$145,0)),CONCATENATE("Go To ",$C8))," ")</f>
        <v xml:space="preserve"> </v>
      </c>
      <c r="B8" s="111" t="s">
        <v>1739</v>
      </c>
      <c r="C8" s="604" t="s">
        <v>1769</v>
      </c>
      <c r="D8" s="605" t="str">
        <f>IF(AND(Roadway!G$10="Mixed Treatment",Pavement!G$21&gt;0,Pavement!G$28=PVMTPRES!$B8),(Pavement!G$21+Pavement!G$26)/9,IF($B8=Pavement!G$28,((Pavement!G$22*Pavement!G$23)+Pavement!G$26)/9," "))</f>
        <v xml:space="preserve"> </v>
      </c>
      <c r="E8" s="605" t="str">
        <f>IF(AND(Roadway!H$10="Mixed Treatment",Pavement!H$21&gt;0,Pavement!H$28=PVMTPRES!$B8),(Pavement!H$21+Pavement!H$26)/9,IF($B8=Pavement!H$28,((Pavement!H$22*Pavement!H$23)+Pavement!H$26)/9," "))</f>
        <v xml:space="preserve"> </v>
      </c>
      <c r="F8" s="605" t="str">
        <f>IF(AND(Roadway!I$10="Mixed Treatment",Pavement!I$21&gt;0,Pavement!I$28=PVMTPRES!$B8),(Pavement!I$21+Pavement!I$26)/9,IF($B8=Pavement!I$28,((Pavement!I$22*Pavement!I$23)+Pavement!I$26)/9," "))</f>
        <v xml:space="preserve"> </v>
      </c>
      <c r="G8" s="605" t="str">
        <f>IF(AND(Roadway!J$10="Mixed Treatment",Pavement!J$21&gt;0,Pavement!J$28=PVMTPRES!$B8),(Pavement!J$21+Pavement!J$26)/9,IF($B8=Pavement!J$28,((Pavement!J$22*Pavement!J$23)+Pavement!J$26)/9," "))</f>
        <v xml:space="preserve"> </v>
      </c>
      <c r="H8" s="605">
        <f t="shared" ref="H8:H26" si="0">SUM(D8:G8)</f>
        <v>0</v>
      </c>
      <c r="I8" s="928">
        <v>1.25</v>
      </c>
      <c r="J8" s="604">
        <f>IF(AND(Pavement!$J$11&gt;=3,L8&gt;0),2+(PVMTPRES!I8*$S8),PVMTPRES!I8*$S8)</f>
        <v>1.25</v>
      </c>
      <c r="K8" s="606">
        <f t="shared" ref="K8:K26" si="1">SUM(D8:G8)*J8</f>
        <v>0</v>
      </c>
      <c r="L8" s="607">
        <v>0</v>
      </c>
      <c r="M8" s="608" t="s">
        <v>1582</v>
      </c>
      <c r="N8" s="609" t="s">
        <v>74</v>
      </c>
      <c r="O8" s="609" t="s">
        <v>74</v>
      </c>
      <c r="P8" s="609" t="s">
        <v>73</v>
      </c>
      <c r="Q8" s="609" t="s">
        <v>73</v>
      </c>
      <c r="R8" s="609" t="s">
        <v>74</v>
      </c>
      <c r="S8" s="609">
        <f>IF(AND(R8="No",Pavement!$D$8/100&lt;1),1,Pavement!$D$8/100)</f>
        <v>1</v>
      </c>
      <c r="T8" s="131"/>
      <c r="U8" s="131"/>
      <c r="V8" s="131"/>
      <c r="W8" s="131"/>
      <c r="X8" s="131"/>
      <c r="Z8" s="131"/>
      <c r="AA8" s="131"/>
      <c r="AB8" s="131"/>
      <c r="AC8" s="131"/>
      <c r="AD8" s="131"/>
      <c r="AE8" s="131"/>
      <c r="AG8" s="132"/>
      <c r="AH8" s="133"/>
      <c r="AI8" s="132"/>
      <c r="AJ8" s="134"/>
      <c r="AL8" s="125"/>
      <c r="AM8" s="125"/>
      <c r="AN8" s="125"/>
      <c r="AO8" s="125"/>
    </row>
    <row r="9" spans="1:41">
      <c r="A9" s="925" t="str">
        <f ca="1">IFERROR(HYPERLINK("#"&amp;"ProjectEstimate!A"&amp;(8+MATCH($C9,ProjectEstimate!$A$9:$A$145,0)),CONCATENATE("Go To ",$C9))," ")</f>
        <v xml:space="preserve"> </v>
      </c>
      <c r="B9" s="111" t="s">
        <v>1740</v>
      </c>
      <c r="C9" s="604" t="s">
        <v>1771</v>
      </c>
      <c r="D9" s="605" t="str">
        <f>IF(AND(Roadway!G$10="Mixed Treatment",Pavement!G$21&gt;0,Pavement!G$28=PVMTPRES!$B9),(Pavement!G$21+Pavement!G$26)/9,IF($B9=Pavement!G$28,((Pavement!G$22*Pavement!G$23)+Pavement!G$26)/9," "))</f>
        <v xml:space="preserve"> </v>
      </c>
      <c r="E9" s="605" t="str">
        <f>IF(AND(Roadway!H$10="Mixed Treatment",Pavement!H$21&gt;0,Pavement!H$28=PVMTPRES!$B9),(Pavement!H$21+Pavement!H$26)/9,IF($B9=Pavement!H$28,((Pavement!H$22*Pavement!H$23)+Pavement!H$26)/9," "))</f>
        <v xml:space="preserve"> </v>
      </c>
      <c r="F9" s="605" t="str">
        <f>IF(AND(Roadway!I$10="Mixed Treatment",Pavement!I$21&gt;0,Pavement!I$28=PVMTPRES!$B9),(Pavement!I$21+Pavement!I$26)/9,IF($B9=Pavement!I$28,((Pavement!I$22*Pavement!I$23)+Pavement!I$26)/9," "))</f>
        <v xml:space="preserve"> </v>
      </c>
      <c r="G9" s="605" t="str">
        <f>IF(AND(Roadway!J$10="Mixed Treatment",Pavement!J$21&gt;0,Pavement!J$28=PVMTPRES!$B9),(Pavement!J$21+Pavement!J$26)/9,IF($B9=Pavement!J$28,((Pavement!J$22*Pavement!J$23)+Pavement!J$26)/9," "))</f>
        <v xml:space="preserve"> </v>
      </c>
      <c r="H9" s="605">
        <f t="shared" si="0"/>
        <v>0</v>
      </c>
      <c r="I9" s="928">
        <v>1.5</v>
      </c>
      <c r="J9" s="604">
        <f>IF(AND(Pavement!$J$11&gt;=3,L9&gt;0),2+(PVMTPRES!I9*$S9),PVMTPRES!I9*$S9)</f>
        <v>1.5</v>
      </c>
      <c r="K9" s="606">
        <f t="shared" si="1"/>
        <v>0</v>
      </c>
      <c r="L9" s="607">
        <v>0</v>
      </c>
      <c r="M9" s="608" t="s">
        <v>1582</v>
      </c>
      <c r="N9" s="609" t="s">
        <v>74</v>
      </c>
      <c r="O9" s="609" t="s">
        <v>74</v>
      </c>
      <c r="P9" s="609" t="s">
        <v>73</v>
      </c>
      <c r="Q9" s="609" t="s">
        <v>73</v>
      </c>
      <c r="R9" s="609" t="s">
        <v>74</v>
      </c>
      <c r="S9" s="609">
        <f>IF(AND(R9="No",Pavement!$D$8/100&lt;1),1,Pavement!$D$8/100)</f>
        <v>1</v>
      </c>
      <c r="T9" s="131"/>
      <c r="U9" s="131"/>
      <c r="V9" s="131"/>
      <c r="W9" s="131"/>
      <c r="X9" s="131"/>
      <c r="Y9" s="131"/>
      <c r="Z9" s="131"/>
      <c r="AB9" s="131"/>
      <c r="AD9" s="131"/>
      <c r="AE9" s="131"/>
      <c r="AG9" s="132"/>
      <c r="AH9" s="133"/>
      <c r="AI9" s="132"/>
      <c r="AJ9" s="134"/>
      <c r="AL9" s="97"/>
      <c r="AO9" s="133"/>
    </row>
    <row r="10" spans="1:41">
      <c r="A10" s="925" t="str">
        <f ca="1">IFERROR(HYPERLINK("#"&amp;"ProjectEstimate!A"&amp;(8+MATCH($C10,ProjectEstimate!$A$9:$A$145,0)),CONCATENATE("Go To ",$C10))," ")</f>
        <v xml:space="preserve"> </v>
      </c>
      <c r="B10" s="111" t="s">
        <v>1741</v>
      </c>
      <c r="C10" s="604" t="s">
        <v>1772</v>
      </c>
      <c r="D10" s="605" t="str">
        <f>IF(AND(Roadway!G$10="Mixed Treatment",Pavement!G$21&gt;0,Pavement!G$28=PVMTPRES!$B10),(Pavement!G$21+Pavement!G$26)/9,IF($B10=Pavement!G$28,((Pavement!G$22*Pavement!G$23)+Pavement!G$26)/9," "))</f>
        <v xml:space="preserve"> </v>
      </c>
      <c r="E10" s="605" t="str">
        <f>IF(AND(Roadway!H$10="Mixed Treatment",Pavement!H$21&gt;0,Pavement!H$28=PVMTPRES!$B10),(Pavement!H$21+Pavement!H$26)/9,IF($B10=Pavement!H$28,((Pavement!H$22*Pavement!H$23)+Pavement!H$26)/9," "))</f>
        <v xml:space="preserve"> </v>
      </c>
      <c r="F10" s="605" t="str">
        <f>IF(AND(Roadway!I$10="Mixed Treatment",Pavement!I$21&gt;0,Pavement!I$28=PVMTPRES!$B10),(Pavement!I$21+Pavement!I$26)/9,IF($B10=Pavement!I$28,((Pavement!I$22*Pavement!I$23)+Pavement!I$26)/9," "))</f>
        <v xml:space="preserve"> </v>
      </c>
      <c r="G10" s="605" t="str">
        <f>IF(AND(Roadway!J$10="Mixed Treatment",Pavement!J$21&gt;0,Pavement!J$28=PVMTPRES!$B10),(Pavement!J$21+Pavement!J$26)/9,IF($B10=Pavement!J$28,((Pavement!J$22*Pavement!J$23)+Pavement!J$26)/9," "))</f>
        <v xml:space="preserve"> </v>
      </c>
      <c r="H10" s="605">
        <f t="shared" si="0"/>
        <v>0</v>
      </c>
      <c r="I10" s="928">
        <v>2.5</v>
      </c>
      <c r="J10" s="604">
        <f>IF(AND(Pavement!$J$11&gt;=3,L10&gt;0),2+(PVMTPRES!I10*$S10),PVMTPRES!I10*$S10)</f>
        <v>2.5</v>
      </c>
      <c r="K10" s="606">
        <f t="shared" si="1"/>
        <v>0</v>
      </c>
      <c r="L10" s="607">
        <v>0</v>
      </c>
      <c r="M10" s="608" t="s">
        <v>1582</v>
      </c>
      <c r="N10" s="609" t="s">
        <v>74</v>
      </c>
      <c r="O10" s="609" t="s">
        <v>74</v>
      </c>
      <c r="P10" s="609" t="s">
        <v>73</v>
      </c>
      <c r="Q10" s="609" t="s">
        <v>73</v>
      </c>
      <c r="R10" s="609" t="s">
        <v>74</v>
      </c>
      <c r="S10" s="609">
        <f>IF(AND(R10="No",Pavement!$D$8/100&lt;1),1,Pavement!$D$8/100)</f>
        <v>1</v>
      </c>
      <c r="T10" s="131"/>
      <c r="U10" s="131"/>
      <c r="V10" s="131"/>
      <c r="W10" s="131"/>
      <c r="X10" s="131"/>
      <c r="Y10" s="131"/>
      <c r="AA10" s="131"/>
      <c r="AB10" s="131"/>
      <c r="AD10" s="131"/>
      <c r="AE10" s="131"/>
      <c r="AG10" s="132"/>
      <c r="AH10" s="133"/>
      <c r="AI10" s="132"/>
      <c r="AJ10" s="134"/>
      <c r="AL10" s="97"/>
      <c r="AO10" s="133"/>
    </row>
    <row r="11" spans="1:41">
      <c r="A11" s="925" t="str">
        <f ca="1">IFERROR(HYPERLINK("#"&amp;"ProjectEstimate!A"&amp;(8+MATCH($C11,ProjectEstimate!$A$9:$A$145,0)),CONCATENATE("Go To ",$C11))," ")</f>
        <v xml:space="preserve"> </v>
      </c>
      <c r="B11" s="111" t="s">
        <v>1742</v>
      </c>
      <c r="C11" s="604" t="s">
        <v>1773</v>
      </c>
      <c r="D11" s="605" t="str">
        <f>IF(AND(Roadway!G$10="Mixed Treatment",Pavement!G$21&gt;0,Pavement!G$28=PVMTPRES!$B11),(Pavement!G$21+Pavement!G$26)/9,IF($B11=Pavement!G$28,((Pavement!G$22*Pavement!G$23)+Pavement!G$26)/9," "))</f>
        <v xml:space="preserve"> </v>
      </c>
      <c r="E11" s="605" t="str">
        <f>IF(AND(Roadway!H$10="Mixed Treatment",Pavement!H$21&gt;0,Pavement!H$28=PVMTPRES!$B11),(Pavement!H$21+Pavement!H$26)/9,IF($B11=Pavement!H$28,((Pavement!H$22*Pavement!H$23)+Pavement!H$26)/9," "))</f>
        <v xml:space="preserve"> </v>
      </c>
      <c r="F11" s="605" t="str">
        <f>IF(AND(Roadway!I$10="Mixed Treatment",Pavement!I$21&gt;0,Pavement!I$28=PVMTPRES!$B11),(Pavement!I$21+Pavement!I$26)/9,IF($B11=Pavement!I$28,((Pavement!I$22*Pavement!I$23)+Pavement!I$26)/9," "))</f>
        <v xml:space="preserve"> </v>
      </c>
      <c r="G11" s="605" t="str">
        <f>IF(AND(Roadway!J$10="Mixed Treatment",Pavement!J$21&gt;0,Pavement!J$28=PVMTPRES!$B11),(Pavement!J$21+Pavement!J$26)/9,IF($B11=Pavement!J$28,((Pavement!J$22*Pavement!J$23)+Pavement!J$26)/9," "))</f>
        <v xml:space="preserve"> </v>
      </c>
      <c r="H11" s="605">
        <f t="shared" si="0"/>
        <v>0</v>
      </c>
      <c r="I11" s="928">
        <v>3</v>
      </c>
      <c r="J11" s="604">
        <f>IF(AND(Pavement!$J$11&gt;=3,L11&gt;0),2+(PVMTPRES!I11*$S11),PVMTPRES!I11*$S11)</f>
        <v>3</v>
      </c>
      <c r="K11" s="606">
        <f t="shared" si="1"/>
        <v>0</v>
      </c>
      <c r="L11" s="607">
        <v>0</v>
      </c>
      <c r="M11" s="608" t="s">
        <v>1582</v>
      </c>
      <c r="N11" s="609" t="s">
        <v>74</v>
      </c>
      <c r="O11" s="609" t="s">
        <v>74</v>
      </c>
      <c r="P11" s="609" t="s">
        <v>73</v>
      </c>
      <c r="Q11" s="609" t="s">
        <v>73</v>
      </c>
      <c r="R11" s="609" t="s">
        <v>74</v>
      </c>
      <c r="S11" s="609">
        <f>IF(AND(R11="No",Pavement!$D$8/100&lt;1),1,Pavement!$D$8/100)</f>
        <v>1</v>
      </c>
      <c r="T11" s="131"/>
      <c r="U11" s="131"/>
      <c r="V11" s="131"/>
      <c r="W11" s="131"/>
      <c r="X11" s="131"/>
      <c r="Y11" s="131"/>
      <c r="AB11" s="131"/>
      <c r="AD11" s="131"/>
      <c r="AE11" s="131"/>
      <c r="AG11" s="132"/>
      <c r="AH11" s="133"/>
      <c r="AI11" s="132"/>
      <c r="AJ11" s="134"/>
      <c r="AL11" s="97"/>
      <c r="AO11" s="133"/>
    </row>
    <row r="12" spans="1:41">
      <c r="A12" s="925" t="str">
        <f ca="1">IFERROR(HYPERLINK("#"&amp;"ProjectEstimate!A"&amp;(8+MATCH($C12,ProjectEstimate!$A$9:$A$145,0)),CONCATENATE("Go To ",$C12))," ")</f>
        <v xml:space="preserve"> </v>
      </c>
      <c r="B12" s="111" t="s">
        <v>1743</v>
      </c>
      <c r="C12" s="604" t="s">
        <v>1770</v>
      </c>
      <c r="D12" s="605" t="str">
        <f>IF(AND(Roadway!G$10="Mixed Treatment",Pavement!G$21&gt;0,Pavement!G$28=PVMTPRES!$B12),(Pavement!G$21+Pavement!G$26)/9,IF($B12=Pavement!G$28,((Pavement!G$22*Pavement!G$23)+Pavement!G$26)/9," "))</f>
        <v xml:space="preserve"> </v>
      </c>
      <c r="E12" s="605" t="str">
        <f>IF(AND(Roadway!H$10="Mixed Treatment",Pavement!H$21&gt;0,Pavement!H$28=PVMTPRES!$B12),(Pavement!H$21+Pavement!H$26)/9,IF($B12=Pavement!H$28,((Pavement!H$22*Pavement!H$23)+Pavement!H$26)/9," "))</f>
        <v xml:space="preserve"> </v>
      </c>
      <c r="F12" s="605" t="str">
        <f>IF(AND(Roadway!I$10="Mixed Treatment",Pavement!I$21&gt;0,Pavement!I$28=PVMTPRES!$B12),(Pavement!I$21+Pavement!I$26)/9,IF($B12=Pavement!I$28,((Pavement!I$22*Pavement!I$23)+Pavement!I$26)/9," "))</f>
        <v xml:space="preserve"> </v>
      </c>
      <c r="G12" s="605" t="str">
        <f>IF(AND(Roadway!J$10="Mixed Treatment",Pavement!J$21&gt;0,Pavement!J$28=PVMTPRES!$B12),(Pavement!J$21+Pavement!J$26)/9,IF($B12=Pavement!J$28,((Pavement!J$22*Pavement!J$23)+Pavement!J$26)/9," "))</f>
        <v xml:space="preserve"> </v>
      </c>
      <c r="H12" s="605">
        <f t="shared" si="0"/>
        <v>0</v>
      </c>
      <c r="I12" s="928">
        <v>5.25</v>
      </c>
      <c r="J12" s="604">
        <f>IF(AND(Pavement!$J$11&gt;=3,L12&gt;0),2+(PVMTPRES!I12*$S12),PVMTPRES!I12*$S12)</f>
        <v>5.25</v>
      </c>
      <c r="K12" s="606">
        <f t="shared" si="1"/>
        <v>0</v>
      </c>
      <c r="L12" s="607">
        <v>0</v>
      </c>
      <c r="M12" s="608" t="s">
        <v>1582</v>
      </c>
      <c r="N12" s="609" t="s">
        <v>74</v>
      </c>
      <c r="O12" s="609" t="s">
        <v>74</v>
      </c>
      <c r="P12" s="609" t="s">
        <v>74</v>
      </c>
      <c r="Q12" s="609" t="s">
        <v>73</v>
      </c>
      <c r="R12" s="609" t="s">
        <v>74</v>
      </c>
      <c r="S12" s="609">
        <f>IF(AND(R12="No",Pavement!$D$8/100&lt;1),1,Pavement!$D$8/100)</f>
        <v>1</v>
      </c>
      <c r="T12" s="131"/>
      <c r="U12" s="131"/>
      <c r="V12" s="131"/>
      <c r="W12" s="131"/>
      <c r="Y12" s="131"/>
      <c r="Z12" s="131"/>
      <c r="AA12" s="131"/>
      <c r="AB12" s="131"/>
      <c r="AC12" s="131"/>
      <c r="AD12" s="131"/>
      <c r="AE12" s="131"/>
      <c r="AG12" s="132"/>
      <c r="AH12" s="133"/>
      <c r="AI12" s="132"/>
      <c r="AJ12" s="134"/>
      <c r="AL12" s="97"/>
      <c r="AO12" s="133"/>
    </row>
    <row r="13" spans="1:41" ht="25.5">
      <c r="A13" s="925" t="str">
        <f ca="1">IFERROR(HYPERLINK("#"&amp;"ProjectEstimate!A"&amp;(8+MATCH($C13,ProjectEstimate!$A$9:$A$145,0)),CONCATENATE("Go To ",$C13))," ")</f>
        <v xml:space="preserve"> </v>
      </c>
      <c r="B13" s="111" t="s">
        <v>1744</v>
      </c>
      <c r="C13" s="604" t="s">
        <v>1774</v>
      </c>
      <c r="D13" s="605" t="str">
        <f>IF(AND(Roadway!G$10="Mixed Treatment",Pavement!G$21&gt;0,Pavement!G$28=PVMTPRES!$B13),(Pavement!G$21+Pavement!G$26)/9,IF($B13=Pavement!G$28,((Pavement!G$22*Pavement!G$23)+Pavement!G$26)/9," "))</f>
        <v xml:space="preserve"> </v>
      </c>
      <c r="E13" s="605" t="str">
        <f>IF(AND(Roadway!H$10="Mixed Treatment",Pavement!H$21&gt;0,Pavement!H$28=PVMTPRES!$B13),(Pavement!H$21+Pavement!H$26)/9,IF($B13=Pavement!H$28,((Pavement!H$22*Pavement!H$23)+Pavement!H$26)/9," "))</f>
        <v xml:space="preserve"> </v>
      </c>
      <c r="F13" s="605" t="str">
        <f>IF(AND(Roadway!I$10="Mixed Treatment",Pavement!I$21&gt;0,Pavement!I$28=PVMTPRES!$B13),(Pavement!I$21+Pavement!I$26)/9,IF($B13=Pavement!I$28,((Pavement!I$22*Pavement!I$23)+Pavement!I$26)/9," "))</f>
        <v xml:space="preserve"> </v>
      </c>
      <c r="G13" s="605" t="str">
        <f>IF(AND(Roadway!J$10="Mixed Treatment",Pavement!J$21&gt;0,Pavement!J$28=PVMTPRES!$B13),(Pavement!J$21+Pavement!J$26)/9,IF($B13=Pavement!J$28,((Pavement!J$22*Pavement!J$23)+Pavement!J$26)/9," "))</f>
        <v xml:space="preserve"> </v>
      </c>
      <c r="H13" s="605">
        <f t="shared" si="0"/>
        <v>0</v>
      </c>
      <c r="I13" s="928">
        <v>5.5</v>
      </c>
      <c r="J13" s="604">
        <f>IF(AND(Pavement!$J$11&gt;=3,L13&gt;0),2+(PVMTPRES!I13*$S13),PVMTPRES!I13*$S13)</f>
        <v>5.5</v>
      </c>
      <c r="K13" s="606">
        <f t="shared" si="1"/>
        <v>0</v>
      </c>
      <c r="L13" s="607">
        <v>0</v>
      </c>
      <c r="M13" s="608" t="s">
        <v>1582</v>
      </c>
      <c r="N13" s="609" t="s">
        <v>74</v>
      </c>
      <c r="O13" s="609" t="s">
        <v>74</v>
      </c>
      <c r="P13" s="609" t="s">
        <v>73</v>
      </c>
      <c r="Q13" s="609" t="s">
        <v>73</v>
      </c>
      <c r="R13" s="609" t="s">
        <v>74</v>
      </c>
      <c r="S13" s="609">
        <f>IF(AND(R13="No",Pavement!$D$8/100&lt;1),1,Pavement!$D$8/100)</f>
        <v>1</v>
      </c>
      <c r="T13" s="131"/>
      <c r="U13" s="131"/>
      <c r="V13" s="131"/>
      <c r="W13" s="135"/>
      <c r="Y13" s="131"/>
      <c r="Z13" s="131"/>
      <c r="AA13" s="131"/>
      <c r="AB13" s="131"/>
      <c r="AC13" s="131"/>
      <c r="AD13" s="131"/>
      <c r="AE13" s="131"/>
      <c r="AG13" s="132"/>
      <c r="AH13" s="133"/>
      <c r="AI13" s="132"/>
      <c r="AJ13" s="134"/>
      <c r="AL13" s="97"/>
      <c r="AO13" s="133"/>
    </row>
    <row r="14" spans="1:41" ht="25.5">
      <c r="A14" s="925" t="str">
        <f ca="1">IFERROR(HYPERLINK("#"&amp;"ProjectEstimate!A"&amp;(8+MATCH($C14,ProjectEstimate!$A$9:$A$145,0)),CONCATENATE("Go To ",$C14))," ")</f>
        <v xml:space="preserve"> </v>
      </c>
      <c r="B14" s="111" t="s">
        <v>1747</v>
      </c>
      <c r="C14" s="604" t="s">
        <v>1775</v>
      </c>
      <c r="D14" s="605" t="str">
        <f>IF(AND(Roadway!G$10="Mixed Treatment",Pavement!G$21&gt;0,Pavement!G$28=PVMTPRES!$B14),(Pavement!G$21+Pavement!G$26)/9,IF($B14=Pavement!G$28,((Pavement!G$22*Pavement!G$23)+Pavement!G$26)/9," "))</f>
        <v xml:space="preserve"> </v>
      </c>
      <c r="E14" s="605" t="str">
        <f>IF(AND(Roadway!H$10="Mixed Treatment",Pavement!H$21&gt;0,Pavement!H$28=PVMTPRES!$B14),(Pavement!H$21+Pavement!H$26)/9,IF($B14=Pavement!H$28,((Pavement!H$22*Pavement!H$23)+Pavement!H$26)/9," "))</f>
        <v xml:space="preserve"> </v>
      </c>
      <c r="F14" s="605" t="str">
        <f>IF(AND(Roadway!I$10="Mixed Treatment",Pavement!I$21&gt;0,Pavement!I$28=PVMTPRES!$B14),(Pavement!I$21+Pavement!I$26)/9,IF($B14=Pavement!I$28,((Pavement!I$22*Pavement!I$23)+Pavement!I$26)/9," "))</f>
        <v xml:space="preserve"> </v>
      </c>
      <c r="G14" s="605" t="str">
        <f>IF(AND(Roadway!J$10="Mixed Treatment",Pavement!J$21&gt;0,Pavement!J$28=PVMTPRES!$B14),(Pavement!J$21+Pavement!J$26)/9,IF($B14=Pavement!J$28,((Pavement!J$22*Pavement!J$23)+Pavement!J$26)/9," "))</f>
        <v xml:space="preserve"> </v>
      </c>
      <c r="H14" s="605">
        <f t="shared" si="0"/>
        <v>0</v>
      </c>
      <c r="I14" s="928">
        <v>6</v>
      </c>
      <c r="J14" s="604">
        <f>IF(AND(Pavement!$J$11&gt;=3,L14&gt;0),2+(PVMTPRES!I14*$S14),PVMTPRES!I14*$S14)</f>
        <v>6</v>
      </c>
      <c r="K14" s="606">
        <f t="shared" si="1"/>
        <v>0</v>
      </c>
      <c r="L14" s="610">
        <v>1</v>
      </c>
      <c r="M14" s="608">
        <f>(L14/12)*9*$M$5/2000</f>
        <v>5.6250000000000001E-2</v>
      </c>
      <c r="N14" s="609" t="s">
        <v>74</v>
      </c>
      <c r="O14" s="609" t="s">
        <v>73</v>
      </c>
      <c r="P14" s="611" t="s">
        <v>73</v>
      </c>
      <c r="Q14" s="609" t="s">
        <v>73</v>
      </c>
      <c r="R14" s="609" t="s">
        <v>73</v>
      </c>
      <c r="S14" s="609">
        <f>IF(AND(R14="No",Pavement!$D$8/100&lt;1),1,Pavement!$D$8/100)</f>
        <v>1</v>
      </c>
      <c r="T14" s="131"/>
      <c r="U14" s="131"/>
      <c r="V14" s="131"/>
      <c r="W14" s="131"/>
      <c r="Y14" s="131"/>
      <c r="Z14" s="131"/>
      <c r="AA14" s="131"/>
      <c r="AB14" s="131"/>
      <c r="AC14" s="131"/>
      <c r="AD14" s="131"/>
      <c r="AE14" s="131"/>
      <c r="AG14" s="132"/>
      <c r="AH14" s="133"/>
      <c r="AI14" s="132"/>
      <c r="AJ14" s="134"/>
      <c r="AL14" s="97"/>
      <c r="AO14" s="133"/>
    </row>
    <row r="15" spans="1:41" ht="25.5">
      <c r="A15" s="925" t="str">
        <f ca="1">IFERROR(HYPERLINK("#"&amp;"ProjectEstimate!A"&amp;(8+MATCH($C15,ProjectEstimate!$A$9:$A$145,0)),CONCATENATE("Go To ",$C15))," ")</f>
        <v xml:space="preserve"> </v>
      </c>
      <c r="B15" s="111" t="s">
        <v>1745</v>
      </c>
      <c r="C15" s="604" t="s">
        <v>1776</v>
      </c>
      <c r="D15" s="605" t="str">
        <f>IF(AND(Roadway!G$10="Mixed Treatment",Pavement!G$21&gt;0,Pavement!G$28=PVMTPRES!$B15),(Pavement!G$21+Pavement!G$26)/9,IF($B15=Pavement!G$28,((Pavement!G$22*Pavement!G$23)+Pavement!G$26)/9," "))</f>
        <v xml:space="preserve"> </v>
      </c>
      <c r="E15" s="605" t="str">
        <f>IF(AND(Roadway!H$10="Mixed Treatment",Pavement!H$21&gt;0,Pavement!H$28=PVMTPRES!$B15),(Pavement!H$21+Pavement!H$26)/9,IF($B15=Pavement!H$28,((Pavement!H$22*Pavement!H$23)+Pavement!H$26)/9," "))</f>
        <v xml:space="preserve"> </v>
      </c>
      <c r="F15" s="605" t="str">
        <f>IF(AND(Roadway!I$10="Mixed Treatment",Pavement!I$21&gt;0,Pavement!I$28=PVMTPRES!$B15),(Pavement!I$21+Pavement!I$26)/9,IF($B15=Pavement!I$28,((Pavement!I$22*Pavement!I$23)+Pavement!I$26)/9," "))</f>
        <v xml:space="preserve"> </v>
      </c>
      <c r="G15" s="605" t="str">
        <f>IF(AND(Roadway!J$10="Mixed Treatment",Pavement!J$21&gt;0,Pavement!J$28=PVMTPRES!$B15),(Pavement!J$21+Pavement!J$26)/9,IF($B15=Pavement!J$28,((Pavement!J$22*Pavement!J$23)+Pavement!J$26)/9," "))</f>
        <v xml:space="preserve"> </v>
      </c>
      <c r="H15" s="605">
        <f t="shared" si="0"/>
        <v>0</v>
      </c>
      <c r="I15" s="928">
        <v>6.5</v>
      </c>
      <c r="J15" s="604">
        <f>IF(AND(Pavement!$J$11&gt;=3,L15&gt;0),2+(PVMTPRES!I15*$S15),PVMTPRES!I15*$S15)</f>
        <v>6.5</v>
      </c>
      <c r="K15" s="606">
        <f t="shared" si="1"/>
        <v>0</v>
      </c>
      <c r="L15" s="607">
        <v>0</v>
      </c>
      <c r="M15" s="608" t="s">
        <v>1582</v>
      </c>
      <c r="N15" s="609" t="s">
        <v>74</v>
      </c>
      <c r="O15" s="609" t="s">
        <v>73</v>
      </c>
      <c r="P15" s="609" t="s">
        <v>74</v>
      </c>
      <c r="Q15" s="609" t="s">
        <v>73</v>
      </c>
      <c r="R15" s="609" t="s">
        <v>74</v>
      </c>
      <c r="S15" s="609">
        <f>IF(AND(R15="No",Pavement!$D$8/100&lt;1),1,Pavement!$D$8/100)</f>
        <v>1</v>
      </c>
      <c r="T15" s="135"/>
      <c r="U15" s="131"/>
      <c r="V15" s="131"/>
      <c r="W15" s="131"/>
      <c r="X15" s="131"/>
      <c r="Y15" s="131"/>
      <c r="Z15" s="131"/>
      <c r="AA15" s="131"/>
      <c r="AB15" s="131"/>
      <c r="AC15" s="131"/>
      <c r="AD15" s="131"/>
      <c r="AE15" s="131"/>
      <c r="AG15" s="132"/>
      <c r="AH15" s="133"/>
      <c r="AI15" s="132"/>
      <c r="AJ15" s="134"/>
      <c r="AL15" s="97"/>
      <c r="AO15" s="133"/>
    </row>
    <row r="16" spans="1:41">
      <c r="A16" s="925" t="str">
        <f ca="1">IFERROR(HYPERLINK("#"&amp;"ProjectEstimate!A"&amp;(8+MATCH($C16,ProjectEstimate!$A$9:$A$145,0)),CONCATENATE("Go To ",$C16))," ")</f>
        <v xml:space="preserve"> </v>
      </c>
      <c r="B16" s="111" t="s">
        <v>1746</v>
      </c>
      <c r="C16" s="604" t="s">
        <v>1777</v>
      </c>
      <c r="D16" s="605" t="str">
        <f>IF(AND(Roadway!G$10="Mixed Treatment",Pavement!G$21&gt;0,Pavement!G$28=PVMTPRES!$B16),(Pavement!G$21+Pavement!G$26)/9,IF($B16=Pavement!G$28,((Pavement!G$22*Pavement!G$23)+Pavement!G$26)/9," "))</f>
        <v xml:space="preserve"> </v>
      </c>
      <c r="E16" s="605" t="str">
        <f>IF(AND(Roadway!H$10="Mixed Treatment",Pavement!H$21&gt;0,Pavement!H$28=PVMTPRES!$B16),(Pavement!H$21+Pavement!H$26)/9,IF($B16=Pavement!H$28,((Pavement!H$22*Pavement!H$23)+Pavement!H$26)/9," "))</f>
        <v xml:space="preserve"> </v>
      </c>
      <c r="F16" s="605" t="str">
        <f>IF(AND(Roadway!I$10="Mixed Treatment",Pavement!I$21&gt;0,Pavement!I$28=PVMTPRES!$B16),(Pavement!I$21+Pavement!I$26)/9,IF($B16=Pavement!I$28,((Pavement!I$22*Pavement!I$23)+Pavement!I$26)/9," "))</f>
        <v xml:space="preserve"> </v>
      </c>
      <c r="G16" s="605" t="str">
        <f>IF(AND(Roadway!J$10="Mixed Treatment",Pavement!J$21&gt;0,Pavement!J$28=PVMTPRES!$B16),(Pavement!J$21+Pavement!J$26)/9,IF($B16=Pavement!J$28,((Pavement!J$22*Pavement!J$23)+Pavement!J$26)/9," "))</f>
        <v xml:space="preserve"> </v>
      </c>
      <c r="H16" s="605">
        <f t="shared" si="0"/>
        <v>0</v>
      </c>
      <c r="I16" s="928">
        <v>8</v>
      </c>
      <c r="J16" s="604">
        <f>IF(AND(Pavement!$J$11&gt;=3,L16&gt;0),2+(PVMTPRES!I16*$S16),PVMTPRES!I16*$S16)</f>
        <v>8</v>
      </c>
      <c r="K16" s="606">
        <f t="shared" si="1"/>
        <v>0</v>
      </c>
      <c r="L16" s="610">
        <v>2</v>
      </c>
      <c r="M16" s="608">
        <f>(L16/12)*9*$M$5/2000</f>
        <v>0.1125</v>
      </c>
      <c r="N16" s="609" t="s">
        <v>74</v>
      </c>
      <c r="O16" s="609" t="s">
        <v>73</v>
      </c>
      <c r="P16" s="609" t="s">
        <v>73</v>
      </c>
      <c r="Q16" s="609" t="s">
        <v>73</v>
      </c>
      <c r="R16" s="609" t="s">
        <v>73</v>
      </c>
      <c r="S16" s="609">
        <f>IF(AND(R16="No",Pavement!$D$8/100&lt;1),1,Pavement!$D$8/100)</f>
        <v>1</v>
      </c>
      <c r="T16" s="135"/>
      <c r="U16" s="131"/>
      <c r="V16" s="131"/>
      <c r="W16" s="131"/>
      <c r="X16" s="131"/>
      <c r="Y16" s="131"/>
      <c r="Z16" s="131"/>
      <c r="AA16" s="131"/>
      <c r="AB16" s="131"/>
      <c r="AC16" s="131"/>
      <c r="AD16" s="131"/>
      <c r="AE16" s="131"/>
      <c r="AG16" s="132"/>
      <c r="AH16" s="133"/>
      <c r="AI16" s="132"/>
      <c r="AJ16" s="134"/>
      <c r="AL16" s="97"/>
      <c r="AO16" s="133"/>
    </row>
    <row r="17" spans="1:41">
      <c r="A17" s="925" t="str">
        <f ca="1">IFERROR(HYPERLINK("#"&amp;"ProjectEstimate!A"&amp;(8+MATCH($C17,ProjectEstimate!$A$9:$A$145,0)),CONCATENATE("Go To ",$C17))," ")</f>
        <v xml:space="preserve"> </v>
      </c>
      <c r="B17" s="111" t="s">
        <v>1589</v>
      </c>
      <c r="C17" s="604" t="s">
        <v>1778</v>
      </c>
      <c r="D17" s="605" t="str">
        <f>IF(AND(Roadway!G$10="Mixed Treatment",Pavement!G$21&gt;0,Pavement!G$28=PVMTPRES!$B17),(Pavement!G$21+Pavement!G$26)/9,IF($B17=Pavement!G$28,((Pavement!G$22*Pavement!G$23)+Pavement!G$26)/9," "))</f>
        <v xml:space="preserve"> </v>
      </c>
      <c r="E17" s="605" t="str">
        <f>IF(AND(Roadway!H$10="Mixed Treatment",Pavement!H$21&gt;0,Pavement!H$28=PVMTPRES!$B17),(Pavement!H$21+Pavement!H$26)/9,IF($B17=Pavement!H$28,((Pavement!H$22*Pavement!H$23)+Pavement!H$26)/9," "))</f>
        <v xml:space="preserve"> </v>
      </c>
      <c r="F17" s="605" t="str">
        <f>IF(AND(Roadway!I$10="Mixed Treatment",Pavement!I$21&gt;0,Pavement!I$28=PVMTPRES!$B17),(Pavement!I$21+Pavement!I$26)/9,IF($B17=Pavement!I$28,((Pavement!I$22*Pavement!I$23)+Pavement!I$26)/9," "))</f>
        <v xml:space="preserve"> </v>
      </c>
      <c r="G17" s="605" t="str">
        <f>IF(AND(Roadway!J$10="Mixed Treatment",Pavement!J$21&gt;0,Pavement!J$28=PVMTPRES!$B17),(Pavement!J$21+Pavement!J$26)/9,IF($B17=Pavement!J$28,((Pavement!J$22*Pavement!J$23)+Pavement!J$26)/9," "))</f>
        <v xml:space="preserve"> </v>
      </c>
      <c r="H17" s="605">
        <f t="shared" si="0"/>
        <v>0</v>
      </c>
      <c r="I17" s="928">
        <v>10</v>
      </c>
      <c r="J17" s="604">
        <f>IF(AND(Pavement!$J$11&gt;=3,L17&gt;0),2+(PVMTPRES!I17*$S17),PVMTPRES!I17*$S17)</f>
        <v>10</v>
      </c>
      <c r="K17" s="606">
        <f t="shared" si="1"/>
        <v>0</v>
      </c>
      <c r="L17" s="610">
        <v>2</v>
      </c>
      <c r="M17" s="608">
        <f>(L17/12)*9*$M$5/2000</f>
        <v>0.1125</v>
      </c>
      <c r="N17" s="609" t="s">
        <v>74</v>
      </c>
      <c r="O17" s="609" t="s">
        <v>73</v>
      </c>
      <c r="P17" s="609" t="s">
        <v>74</v>
      </c>
      <c r="Q17" s="609" t="s">
        <v>73</v>
      </c>
      <c r="R17" s="609" t="s">
        <v>73</v>
      </c>
      <c r="S17" s="609">
        <f>IF(AND(R17="No",Pavement!$D$8/100&lt;1),1,Pavement!$D$8/100)</f>
        <v>1</v>
      </c>
      <c r="T17" s="135"/>
      <c r="U17" s="131"/>
      <c r="V17" s="131"/>
      <c r="W17" s="131"/>
      <c r="X17" s="131"/>
      <c r="Y17" s="131"/>
      <c r="Z17" s="131"/>
      <c r="AA17" s="131"/>
      <c r="AB17" s="131"/>
      <c r="AC17" s="131"/>
      <c r="AD17" s="131"/>
      <c r="AE17" s="137"/>
      <c r="AG17" s="132"/>
      <c r="AH17" s="133"/>
      <c r="AI17" s="132"/>
      <c r="AJ17" s="134"/>
      <c r="AL17" s="97"/>
      <c r="AO17" s="133"/>
    </row>
    <row r="18" spans="1:41" ht="25.5">
      <c r="A18" s="925" t="str">
        <f ca="1">IFERROR(HYPERLINK("#"&amp;"ProjectEstimate!A"&amp;(8+MATCH($C18,ProjectEstimate!$A$9:$A$145,0)),CONCATENATE("Go To ",$C18))," ")</f>
        <v xml:space="preserve"> </v>
      </c>
      <c r="B18" s="111" t="s">
        <v>1748</v>
      </c>
      <c r="C18" s="604" t="s">
        <v>1779</v>
      </c>
      <c r="D18" s="605" t="str">
        <f>IF(AND(Roadway!G$10="Mixed Treatment",Pavement!G$21&gt;0,Pavement!G$28=PVMTPRES!$B18),(Pavement!G$21+Pavement!G$26)/9,IF($B18=Pavement!G$28,((Pavement!G$22*Pavement!G$23)+Pavement!G$26)/9," "))</f>
        <v xml:space="preserve"> </v>
      </c>
      <c r="E18" s="605" t="str">
        <f>IF(AND(Roadway!H$10="Mixed Treatment",Pavement!H$21&gt;0,Pavement!H$28=PVMTPRES!$B18),(Pavement!H$21+Pavement!H$26)/9,IF($B18=Pavement!H$28,((Pavement!H$22*Pavement!H$23)+Pavement!H$26)/9," "))</f>
        <v xml:space="preserve"> </v>
      </c>
      <c r="F18" s="605" t="str">
        <f>IF(AND(Roadway!I$10="Mixed Treatment",Pavement!I$21&gt;0,Pavement!I$28=PVMTPRES!$B18),(Pavement!I$21+Pavement!I$26)/9,IF($B18=Pavement!I$28,((Pavement!I$22*Pavement!I$23)+Pavement!I$26)/9," "))</f>
        <v xml:space="preserve"> </v>
      </c>
      <c r="G18" s="605" t="str">
        <f>IF(AND(Roadway!J$10="Mixed Treatment",Pavement!J$21&gt;0,Pavement!J$28=PVMTPRES!$B18),(Pavement!J$21+Pavement!J$26)/9,IF($B18=Pavement!J$28,((Pavement!J$22*Pavement!J$23)+Pavement!J$26)/9," "))</f>
        <v xml:space="preserve"> </v>
      </c>
      <c r="H18" s="605">
        <f t="shared" si="0"/>
        <v>0</v>
      </c>
      <c r="I18" s="928">
        <v>11</v>
      </c>
      <c r="J18" s="604">
        <f>IF(AND(Pavement!$J$11&gt;=3,L18&gt;0),2+(PVMTPRES!I18*$S18),PVMTPRES!I18*$S18)</f>
        <v>11</v>
      </c>
      <c r="K18" s="606">
        <f t="shared" si="1"/>
        <v>0</v>
      </c>
      <c r="L18" s="607">
        <v>0</v>
      </c>
      <c r="M18" s="608" t="s">
        <v>1582</v>
      </c>
      <c r="N18" s="609" t="s">
        <v>74</v>
      </c>
      <c r="O18" s="609" t="s">
        <v>73</v>
      </c>
      <c r="P18" s="609" t="s">
        <v>74</v>
      </c>
      <c r="Q18" s="609" t="s">
        <v>74</v>
      </c>
      <c r="R18" s="609" t="s">
        <v>74</v>
      </c>
      <c r="S18" s="609">
        <f>IF(AND(R18="No",Pavement!$D$8/100&lt;1),1,Pavement!$D$8/100)</f>
        <v>1</v>
      </c>
      <c r="T18" s="135"/>
      <c r="U18" s="131"/>
      <c r="V18" s="131"/>
      <c r="W18" s="131"/>
      <c r="X18" s="131"/>
      <c r="Y18" s="131"/>
      <c r="Z18" s="131"/>
      <c r="AA18" s="131"/>
      <c r="AB18" s="131"/>
      <c r="AC18" s="131"/>
      <c r="AD18" s="131"/>
      <c r="AE18" s="137"/>
      <c r="AG18" s="132"/>
      <c r="AH18" s="133"/>
      <c r="AI18" s="132"/>
      <c r="AJ18" s="134"/>
      <c r="AL18" s="97"/>
      <c r="AO18" s="133"/>
    </row>
    <row r="19" spans="1:41" ht="38.25">
      <c r="A19" s="925" t="str">
        <f ca="1">IFERROR(HYPERLINK("#"&amp;"ProjectEstimate!A"&amp;(8+MATCH($C19,ProjectEstimate!$A$9:$A$145,0)),CONCATENATE("Go To ",$C19))," ")</f>
        <v xml:space="preserve"> </v>
      </c>
      <c r="B19" s="111" t="s">
        <v>1749</v>
      </c>
      <c r="C19" s="604" t="s">
        <v>1780</v>
      </c>
      <c r="D19" s="605" t="str">
        <f>IF(AND(Roadway!G$10="Mixed Treatment",Pavement!G$21&gt;0,Pavement!G$28=PVMTPRES!$B19),(Pavement!G$21+Pavement!G$26)/9,IF($B19=Pavement!G$28,((Pavement!G$22*Pavement!G$23)+Pavement!G$26)/9," "))</f>
        <v xml:space="preserve"> </v>
      </c>
      <c r="E19" s="605" t="str">
        <f>IF(AND(Roadway!H$10="Mixed Treatment",Pavement!H$21&gt;0,Pavement!H$28=PVMTPRES!$B19),(Pavement!H$21+Pavement!H$26)/9,IF($B19=Pavement!H$28,((Pavement!H$22*Pavement!H$23)+Pavement!H$26)/9," "))</f>
        <v xml:space="preserve"> </v>
      </c>
      <c r="F19" s="605" t="str">
        <f>IF(AND(Roadway!I$10="Mixed Treatment",Pavement!I$21&gt;0,Pavement!I$28=PVMTPRES!$B19),(Pavement!I$21+Pavement!I$26)/9,IF($B19=Pavement!I$28,((Pavement!I$22*Pavement!I$23)+Pavement!I$26)/9," "))</f>
        <v xml:space="preserve"> </v>
      </c>
      <c r="G19" s="605" t="str">
        <f>IF(AND(Roadway!J$10="Mixed Treatment",Pavement!J$21&gt;0,Pavement!J$28=PVMTPRES!$B19),(Pavement!J$21+Pavement!J$26)/9,IF($B19=Pavement!J$28,((Pavement!J$22*Pavement!J$23)+Pavement!J$26)/9," "))</f>
        <v xml:space="preserve"> </v>
      </c>
      <c r="H19" s="605">
        <f t="shared" si="0"/>
        <v>0</v>
      </c>
      <c r="I19" s="928">
        <v>14</v>
      </c>
      <c r="J19" s="604">
        <f>IF(AND(Pavement!$J$11&gt;=3,L19&gt;0),2+(PVMTPRES!I19*$S19),PVMTPRES!I19*$S19)</f>
        <v>14</v>
      </c>
      <c r="K19" s="606">
        <f t="shared" si="1"/>
        <v>0</v>
      </c>
      <c r="L19" s="610">
        <v>1.5</v>
      </c>
      <c r="M19" s="608">
        <f t="shared" ref="M19:M26" si="2">(L19/12)*9*$M$5/2000</f>
        <v>8.4375000000000006E-2</v>
      </c>
      <c r="N19" s="609" t="s">
        <v>74</v>
      </c>
      <c r="O19" s="609" t="s">
        <v>73</v>
      </c>
      <c r="P19" s="609" t="s">
        <v>74</v>
      </c>
      <c r="Q19" s="609" t="s">
        <v>74</v>
      </c>
      <c r="R19" s="609" t="s">
        <v>73</v>
      </c>
      <c r="S19" s="609">
        <f>IF(AND(R19="No",Pavement!$D$8/100&lt;1),1,Pavement!$D$8/100)</f>
        <v>1</v>
      </c>
      <c r="T19" s="135"/>
      <c r="U19" s="131"/>
      <c r="V19" s="131"/>
      <c r="W19" s="131"/>
      <c r="X19" s="131"/>
      <c r="Y19" s="131"/>
      <c r="Z19" s="131"/>
      <c r="AA19" s="131"/>
      <c r="AB19" s="131"/>
      <c r="AC19" s="131"/>
      <c r="AD19" s="131"/>
      <c r="AE19" s="137"/>
      <c r="AG19" s="132"/>
      <c r="AH19" s="133"/>
      <c r="AI19" s="132"/>
      <c r="AJ19" s="134"/>
      <c r="AL19" s="97"/>
      <c r="AO19" s="133"/>
    </row>
    <row r="20" spans="1:41" ht="25.5">
      <c r="A20" s="925" t="str">
        <f ca="1">IFERROR(HYPERLINK("#"&amp;"ProjectEstimate!A"&amp;(8+MATCH($C20,ProjectEstimate!$A$9:$A$145,0)),CONCATENATE("Go To ",$C20))," ")</f>
        <v xml:space="preserve"> </v>
      </c>
      <c r="B20" s="111" t="s">
        <v>1750</v>
      </c>
      <c r="C20" s="604" t="s">
        <v>1781</v>
      </c>
      <c r="D20" s="605" t="str">
        <f>IF(AND(Roadway!G$10="Mixed Treatment",Pavement!G$21&gt;0,Pavement!G$28=PVMTPRES!$B20),(Pavement!G$21+Pavement!G$26)/9,IF($B20=Pavement!G$28,((Pavement!G$22*Pavement!G$23)+Pavement!G$26)/9," "))</f>
        <v xml:space="preserve"> </v>
      </c>
      <c r="E20" s="605" t="str">
        <f>IF(AND(Roadway!H$10="Mixed Treatment",Pavement!H$21&gt;0,Pavement!H$28=PVMTPRES!$B20),(Pavement!H$21+Pavement!H$26)/9,IF($B20=Pavement!H$28,((Pavement!H$22*Pavement!H$23)+Pavement!H$26)/9," "))</f>
        <v xml:space="preserve"> </v>
      </c>
      <c r="F20" s="605" t="str">
        <f>IF(AND(Roadway!I$10="Mixed Treatment",Pavement!I$21&gt;0,Pavement!I$28=PVMTPRES!$B20),(Pavement!I$21+Pavement!I$26)/9,IF($B20=Pavement!I$28,((Pavement!I$22*Pavement!I$23)+Pavement!I$26)/9," "))</f>
        <v xml:space="preserve"> </v>
      </c>
      <c r="G20" s="605" t="str">
        <f>IF(AND(Roadway!J$10="Mixed Treatment",Pavement!J$21&gt;0,Pavement!J$28=PVMTPRES!$B20),(Pavement!J$21+Pavement!J$26)/9,IF($B20=Pavement!J$28,((Pavement!J$22*Pavement!J$23)+Pavement!J$26)/9," "))</f>
        <v xml:space="preserve"> </v>
      </c>
      <c r="H20" s="605">
        <f t="shared" si="0"/>
        <v>0</v>
      </c>
      <c r="I20" s="928">
        <v>16</v>
      </c>
      <c r="J20" s="604">
        <f>IF(AND(Pavement!$J$11&gt;=3,L20&gt;0),2+(PVMTPRES!I20*$S20),PVMTPRES!I20*$S20)</f>
        <v>16</v>
      </c>
      <c r="K20" s="606">
        <f t="shared" si="1"/>
        <v>0</v>
      </c>
      <c r="L20" s="610">
        <v>1.5</v>
      </c>
      <c r="M20" s="608">
        <f t="shared" si="2"/>
        <v>8.4375000000000006E-2</v>
      </c>
      <c r="N20" s="609" t="s">
        <v>74</v>
      </c>
      <c r="O20" s="609" t="s">
        <v>73</v>
      </c>
      <c r="P20" s="609" t="s">
        <v>74</v>
      </c>
      <c r="Q20" s="609" t="s">
        <v>74</v>
      </c>
      <c r="R20" s="609" t="s">
        <v>73</v>
      </c>
      <c r="S20" s="609">
        <f>IF(AND(R20="No",Pavement!$D$8/100&lt;1),1,Pavement!$D$8/100)</f>
        <v>1</v>
      </c>
      <c r="T20" s="135"/>
      <c r="U20" s="131"/>
      <c r="V20" s="131"/>
      <c r="W20" s="131"/>
      <c r="X20" s="131"/>
      <c r="Y20" s="131"/>
      <c r="Z20" s="131"/>
      <c r="AA20" s="131"/>
      <c r="AB20" s="131"/>
      <c r="AC20" s="131"/>
      <c r="AD20" s="131"/>
      <c r="AE20" s="137"/>
      <c r="AG20" s="132"/>
      <c r="AH20" s="133"/>
      <c r="AI20" s="132"/>
      <c r="AJ20" s="134"/>
      <c r="AL20" s="97"/>
      <c r="AO20" s="133"/>
    </row>
    <row r="21" spans="1:41">
      <c r="A21" s="925" t="str">
        <f ca="1">IFERROR(HYPERLINK("#"&amp;"ProjectEstimate!A"&amp;(8+MATCH($C21,ProjectEstimate!$A$9:$A$145,0)),CONCATENATE("Go To ",$C21))," ")</f>
        <v xml:space="preserve"> </v>
      </c>
      <c r="B21" s="111" t="s">
        <v>1751</v>
      </c>
      <c r="C21" s="604" t="s">
        <v>1782</v>
      </c>
      <c r="D21" s="605" t="str">
        <f>IF(AND(Roadway!G$10="Mixed Treatment",Pavement!G$21&gt;0,Pavement!G$28=PVMTPRES!$B21),(Pavement!G$21+Pavement!G$26)/9,IF($B21=Pavement!G$28,((Pavement!G$22*Pavement!G$23)+Pavement!G$26)/9," "))</f>
        <v xml:space="preserve"> </v>
      </c>
      <c r="E21" s="605" t="str">
        <f>IF(AND(Roadway!H$10="Mixed Treatment",Pavement!H$21&gt;0,Pavement!H$28=PVMTPRES!$B21),(Pavement!H$21+Pavement!H$26)/9,IF($B21=Pavement!H$28,((Pavement!H$22*Pavement!H$23)+Pavement!H$26)/9," "))</f>
        <v xml:space="preserve"> </v>
      </c>
      <c r="F21" s="605" t="str">
        <f>IF(AND(Roadway!I$10="Mixed Treatment",Pavement!I$21&gt;0,Pavement!I$28=PVMTPRES!$B21),(Pavement!I$21+Pavement!I$26)/9,IF($B21=Pavement!I$28,((Pavement!I$22*Pavement!I$23)+Pavement!I$26)/9," "))</f>
        <v xml:space="preserve"> </v>
      </c>
      <c r="G21" s="605" t="str">
        <f>IF(AND(Roadway!J$10="Mixed Treatment",Pavement!J$21&gt;0,Pavement!J$28=PVMTPRES!$B21),(Pavement!J$21+Pavement!J$26)/9,IF($B21=Pavement!J$28,((Pavement!J$22*Pavement!J$23)+Pavement!J$26)/9," "))</f>
        <v xml:space="preserve"> </v>
      </c>
      <c r="H21" s="605">
        <f t="shared" si="0"/>
        <v>0</v>
      </c>
      <c r="I21" s="928">
        <v>20</v>
      </c>
      <c r="J21" s="604">
        <f>IF(AND(Pavement!$J$11&gt;=3,L21&gt;0),2+(PVMTPRES!I21*$S21),PVMTPRES!I21*$S21)</f>
        <v>20</v>
      </c>
      <c r="K21" s="606">
        <f t="shared" si="1"/>
        <v>0</v>
      </c>
      <c r="L21" s="610">
        <v>1.5</v>
      </c>
      <c r="M21" s="608">
        <f t="shared" si="2"/>
        <v>8.4375000000000006E-2</v>
      </c>
      <c r="N21" s="609" t="s">
        <v>74</v>
      </c>
      <c r="O21" s="609" t="s">
        <v>73</v>
      </c>
      <c r="P21" s="609" t="s">
        <v>74</v>
      </c>
      <c r="Q21" s="609" t="s">
        <v>73</v>
      </c>
      <c r="R21" s="609" t="s">
        <v>73</v>
      </c>
      <c r="S21" s="609">
        <f>IF(AND(R21="No",Pavement!$D$8/100&lt;1),1,Pavement!$D$8/100)</f>
        <v>1</v>
      </c>
      <c r="T21" s="135"/>
      <c r="U21" s="131"/>
      <c r="V21" s="131"/>
      <c r="W21" s="131"/>
      <c r="X21" s="131"/>
      <c r="Y21" s="131"/>
      <c r="Z21" s="131"/>
      <c r="AA21" s="131"/>
      <c r="AB21" s="131"/>
      <c r="AC21" s="131"/>
      <c r="AD21" s="131"/>
      <c r="AE21" s="137"/>
      <c r="AG21" s="132"/>
      <c r="AH21" s="133"/>
      <c r="AI21" s="132"/>
      <c r="AJ21" s="134"/>
      <c r="AL21" s="97"/>
      <c r="AO21" s="133"/>
    </row>
    <row r="22" spans="1:41">
      <c r="A22" s="925" t="str">
        <f ca="1">IFERROR(HYPERLINK("#"&amp;"ProjectEstimate!A"&amp;(8+MATCH($C22,ProjectEstimate!$A$9:$A$145,0)),CONCATENATE("Go To ",$C22))," ")</f>
        <v xml:space="preserve"> </v>
      </c>
      <c r="B22" s="111" t="s">
        <v>1588</v>
      </c>
      <c r="C22" s="604" t="s">
        <v>1783</v>
      </c>
      <c r="D22" s="605" t="str">
        <f>IF(AND(Roadway!G$10="Mixed Treatment",Pavement!G$21&gt;0,Pavement!G$28=PVMTPRES!$B22),(Pavement!G$21+Pavement!G$26)/9,IF($B22=Pavement!G$28,((Pavement!G$22*Pavement!G$23)+Pavement!G$26)/9," "))</f>
        <v xml:space="preserve"> </v>
      </c>
      <c r="E22" s="605" t="str">
        <f>IF(AND(Roadway!H$10="Mixed Treatment",Pavement!H$21&gt;0,Pavement!H$28=PVMTPRES!$B22),(Pavement!H$21+Pavement!H$26)/9,IF($B22=Pavement!H$28,((Pavement!H$22*Pavement!H$23)+Pavement!H$26)/9," "))</f>
        <v xml:space="preserve"> </v>
      </c>
      <c r="F22" s="605" t="str">
        <f>IF(AND(Roadway!I$10="Mixed Treatment",Pavement!I$21&gt;0,Pavement!I$28=PVMTPRES!$B22),(Pavement!I$21+Pavement!I$26)/9,IF($B22=Pavement!I$28,((Pavement!I$22*Pavement!I$23)+Pavement!I$26)/9," "))</f>
        <v xml:space="preserve"> </v>
      </c>
      <c r="G22" s="605" t="str">
        <f>IF(AND(Roadway!J$10="Mixed Treatment",Pavement!J$21&gt;0,Pavement!J$28=PVMTPRES!$B22),(Pavement!J$21+Pavement!J$26)/9,IF($B22=Pavement!J$28,((Pavement!J$22*Pavement!J$23)+Pavement!J$26)/9," "))</f>
        <v xml:space="preserve"> </v>
      </c>
      <c r="H22" s="605">
        <f t="shared" si="0"/>
        <v>0</v>
      </c>
      <c r="I22" s="928">
        <v>25</v>
      </c>
      <c r="J22" s="604">
        <f>IF(AND(Pavement!$J$11&gt;=3,L22&gt;0),2+(PVMTPRES!I22*$S22),PVMTPRES!I22*$S22)</f>
        <v>25</v>
      </c>
      <c r="K22" s="606">
        <f t="shared" si="1"/>
        <v>0</v>
      </c>
      <c r="L22" s="610">
        <v>4</v>
      </c>
      <c r="M22" s="608">
        <f t="shared" si="2"/>
        <v>0.22500000000000001</v>
      </c>
      <c r="N22" s="609" t="s">
        <v>74</v>
      </c>
      <c r="O22" s="609" t="s">
        <v>73</v>
      </c>
      <c r="P22" s="609" t="s">
        <v>74</v>
      </c>
      <c r="Q22" s="609" t="s">
        <v>74</v>
      </c>
      <c r="R22" s="609" t="s">
        <v>73</v>
      </c>
      <c r="S22" s="609">
        <f>IF(AND(R22="No",Pavement!$D$8/100&lt;1),1,Pavement!$D$8/100)</f>
        <v>1</v>
      </c>
      <c r="T22" s="135"/>
      <c r="U22" s="131"/>
      <c r="V22" s="131"/>
      <c r="W22" s="131"/>
      <c r="X22" s="131"/>
      <c r="Y22" s="131"/>
      <c r="Z22" s="131"/>
      <c r="AA22" s="131"/>
      <c r="AB22" s="131"/>
      <c r="AC22" s="131"/>
      <c r="AD22" s="131"/>
      <c r="AE22" s="137"/>
      <c r="AG22" s="132"/>
      <c r="AH22" s="133"/>
      <c r="AI22" s="132"/>
      <c r="AJ22" s="134"/>
      <c r="AL22" s="97"/>
      <c r="AO22" s="133"/>
    </row>
    <row r="23" spans="1:41" ht="25.5">
      <c r="A23" s="925" t="str">
        <f ca="1">IFERROR(HYPERLINK("#"&amp;"ProjectEstimate!A"&amp;(8+MATCH($C23,ProjectEstimate!$A$9:$A$145,0)),CONCATENATE("Go To ",$C23))," ")</f>
        <v xml:space="preserve"> </v>
      </c>
      <c r="B23" s="111" t="s">
        <v>1752</v>
      </c>
      <c r="C23" s="604" t="s">
        <v>1784</v>
      </c>
      <c r="D23" s="605" t="str">
        <f>IF(AND(Roadway!G$10="Mixed Treatment",Pavement!G$21&gt;0,Pavement!G$28=PVMTPRES!$B23),(Pavement!G$21+Pavement!G$26)/9,IF($B23=Pavement!G$28,((Pavement!G$22*Pavement!G$23)+Pavement!G$26)/9," "))</f>
        <v xml:space="preserve"> </v>
      </c>
      <c r="E23" s="605" t="str">
        <f>IF(AND(Roadway!H$10="Mixed Treatment",Pavement!H$21&gt;0,Pavement!H$28=PVMTPRES!$B23),(Pavement!H$21+Pavement!H$26)/9,IF($B23=Pavement!H$28,((Pavement!H$22*Pavement!H$23)+Pavement!H$26)/9," "))</f>
        <v xml:space="preserve"> </v>
      </c>
      <c r="F23" s="605" t="str">
        <f>IF(AND(Roadway!I$10="Mixed Treatment",Pavement!I$21&gt;0,Pavement!I$28=PVMTPRES!$B23),(Pavement!I$21+Pavement!I$26)/9,IF($B23=Pavement!I$28,((Pavement!I$22*Pavement!I$23)+Pavement!I$26)/9," "))</f>
        <v xml:space="preserve"> </v>
      </c>
      <c r="G23" s="605" t="str">
        <f>IF(AND(Roadway!J$10="Mixed Treatment",Pavement!J$21&gt;0,Pavement!J$28=PVMTPRES!$B23),(Pavement!J$21+Pavement!J$26)/9,IF($B23=Pavement!J$28,((Pavement!J$22*Pavement!J$23)+Pavement!J$26)/9," "))</f>
        <v xml:space="preserve"> </v>
      </c>
      <c r="H23" s="605">
        <f t="shared" si="0"/>
        <v>0</v>
      </c>
      <c r="I23" s="928">
        <v>30</v>
      </c>
      <c r="J23" s="604">
        <f>IF(AND(Pavement!$J$11&gt;=3,L23&gt;0),2+(PVMTPRES!I23*$S23),PVMTPRES!I23*$S23)</f>
        <v>30</v>
      </c>
      <c r="K23" s="606">
        <f t="shared" si="1"/>
        <v>0</v>
      </c>
      <c r="L23" s="610">
        <v>4</v>
      </c>
      <c r="M23" s="608">
        <f t="shared" si="2"/>
        <v>0.22500000000000001</v>
      </c>
      <c r="N23" s="609" t="s">
        <v>73</v>
      </c>
      <c r="O23" s="609" t="s">
        <v>73</v>
      </c>
      <c r="P23" s="609" t="s">
        <v>74</v>
      </c>
      <c r="Q23" s="609" t="s">
        <v>74</v>
      </c>
      <c r="R23" s="609" t="s">
        <v>73</v>
      </c>
      <c r="S23" s="609">
        <f>IF(AND(R23="No",Pavement!$D$8/100&lt;1),1,Pavement!$D$8/100)</f>
        <v>1</v>
      </c>
      <c r="T23" s="135"/>
      <c r="U23" s="131"/>
      <c r="V23" s="131"/>
      <c r="W23" s="131"/>
      <c r="X23" s="131"/>
      <c r="Y23" s="131"/>
      <c r="Z23" s="131"/>
      <c r="AA23" s="131"/>
      <c r="AB23" s="131"/>
      <c r="AC23" s="131"/>
      <c r="AD23" s="131"/>
      <c r="AE23" s="137"/>
      <c r="AG23" s="132"/>
      <c r="AH23" s="133"/>
      <c r="AI23" s="132"/>
      <c r="AJ23" s="134"/>
      <c r="AL23" s="97"/>
      <c r="AO23" s="133"/>
    </row>
    <row r="24" spans="1:41" ht="25.5">
      <c r="A24" s="925" t="str">
        <f ca="1">IFERROR(HYPERLINK("#"&amp;"ProjectEstimate!A"&amp;(8+MATCH($C24,ProjectEstimate!$A$9:$A$145,0)),CONCATENATE("Go To ",$C24))," ")</f>
        <v xml:space="preserve"> </v>
      </c>
      <c r="B24" s="111" t="s">
        <v>1753</v>
      </c>
      <c r="C24" s="604" t="s">
        <v>1785</v>
      </c>
      <c r="D24" s="605" t="str">
        <f>IF(AND(Roadway!G$10="Mixed Treatment",Pavement!G$21&gt;0,Pavement!G$28=PVMTPRES!$B24),(Pavement!G$21+Pavement!G$26)/9,IF($B24=Pavement!G$28,((Pavement!G$22*Pavement!G$23)+Pavement!G$26)/9," "))</f>
        <v xml:space="preserve"> </v>
      </c>
      <c r="E24" s="605" t="str">
        <f>IF(AND(Roadway!H$10="Mixed Treatment",Pavement!H$21&gt;0,Pavement!H$28=PVMTPRES!$B24),(Pavement!H$21+Pavement!H$26)/9,IF($B24=Pavement!H$28,((Pavement!H$22*Pavement!H$23)+Pavement!H$26)/9," "))</f>
        <v xml:space="preserve"> </v>
      </c>
      <c r="F24" s="605" t="str">
        <f>IF(AND(Roadway!I$10="Mixed Treatment",Pavement!I$21&gt;0,Pavement!I$28=PVMTPRES!$B24),(Pavement!I$21+Pavement!I$26)/9,IF($B24=Pavement!I$28,((Pavement!I$22*Pavement!I$23)+Pavement!I$26)/9," "))</f>
        <v xml:space="preserve"> </v>
      </c>
      <c r="G24" s="605" t="str">
        <f>IF(AND(Roadway!J$10="Mixed Treatment",Pavement!J$21&gt;0,Pavement!J$28=PVMTPRES!$B24),(Pavement!J$21+Pavement!J$26)/9,IF($B24=Pavement!J$28,((Pavement!J$22*Pavement!J$23)+Pavement!J$26)/9," "))</f>
        <v xml:space="preserve"> </v>
      </c>
      <c r="H24" s="605">
        <f t="shared" si="0"/>
        <v>0</v>
      </c>
      <c r="I24" s="928">
        <v>35</v>
      </c>
      <c r="J24" s="604">
        <f>IF(AND(Pavement!$J$11&gt;=3,L24&gt;0),2+(PVMTPRES!I24*$S24),PVMTPRES!I24*$S24)</f>
        <v>35</v>
      </c>
      <c r="K24" s="606">
        <f t="shared" si="1"/>
        <v>0</v>
      </c>
      <c r="L24" s="610">
        <v>4</v>
      </c>
      <c r="M24" s="608">
        <f t="shared" si="2"/>
        <v>0.22500000000000001</v>
      </c>
      <c r="N24" s="609" t="s">
        <v>73</v>
      </c>
      <c r="O24" s="609" t="s">
        <v>73</v>
      </c>
      <c r="P24" s="609" t="s">
        <v>74</v>
      </c>
      <c r="Q24" s="609" t="s">
        <v>74</v>
      </c>
      <c r="R24" s="609" t="s">
        <v>73</v>
      </c>
      <c r="S24" s="609">
        <f>IF(AND(R24="No",Pavement!$D$8/100&lt;1),1,Pavement!$D$8/100)</f>
        <v>1</v>
      </c>
      <c r="T24" s="135"/>
      <c r="U24" s="131"/>
      <c r="V24" s="131"/>
      <c r="W24" s="131"/>
      <c r="X24" s="131"/>
      <c r="Y24" s="131"/>
      <c r="Z24" s="131"/>
      <c r="AA24" s="131"/>
      <c r="AB24" s="131"/>
      <c r="AC24" s="131"/>
      <c r="AD24" s="131"/>
      <c r="AE24" s="137"/>
      <c r="AG24" s="132"/>
      <c r="AH24" s="133"/>
      <c r="AI24" s="132"/>
      <c r="AJ24" s="134"/>
      <c r="AL24" s="97"/>
      <c r="AO24" s="133"/>
    </row>
    <row r="25" spans="1:41" ht="25.5">
      <c r="A25" s="925" t="str">
        <f ca="1">IFERROR(HYPERLINK("#"&amp;"ProjectEstimate!A"&amp;(8+MATCH($C25,ProjectEstimate!$A$9:$A$145,0)),CONCATENATE("Go To ",$C25))," ")</f>
        <v xml:space="preserve"> </v>
      </c>
      <c r="B25" s="111" t="s">
        <v>1754</v>
      </c>
      <c r="C25" s="604" t="s">
        <v>1786</v>
      </c>
      <c r="D25" s="605" t="str">
        <f>IF(AND(Roadway!G$10="Mixed Treatment",Pavement!G$21&gt;0,Pavement!G$28=PVMTPRES!$B25),(Pavement!G$21+Pavement!G$26)/9,IF($B25=Pavement!G$28,((Pavement!G$22*Pavement!G$23)+Pavement!G$26)/9," "))</f>
        <v xml:space="preserve"> </v>
      </c>
      <c r="E25" s="605" t="str">
        <f>IF(AND(Roadway!H$10="Mixed Treatment",Pavement!H$21&gt;0,Pavement!H$28=PVMTPRES!$B25),(Pavement!H$21+Pavement!H$26)/9,IF($B25=Pavement!H$28,((Pavement!H$22*Pavement!H$23)+Pavement!H$26)/9," "))</f>
        <v xml:space="preserve"> </v>
      </c>
      <c r="F25" s="605" t="str">
        <f>IF(AND(Roadway!I$10="Mixed Treatment",Pavement!I$21&gt;0,Pavement!I$28=PVMTPRES!$B25),(Pavement!I$21+Pavement!I$26)/9,IF($B25=Pavement!I$28,((Pavement!I$22*Pavement!I$23)+Pavement!I$26)/9," "))</f>
        <v xml:space="preserve"> </v>
      </c>
      <c r="G25" s="605" t="str">
        <f>IF(AND(Roadway!J$10="Mixed Treatment",Pavement!J$21&gt;0,Pavement!J$28=PVMTPRES!$B25),(Pavement!J$21+Pavement!J$26)/9,IF($B25=Pavement!J$28,((Pavement!J$22*Pavement!J$23)+Pavement!J$26)/9," "))</f>
        <v xml:space="preserve"> </v>
      </c>
      <c r="H25" s="605">
        <f t="shared" si="0"/>
        <v>0</v>
      </c>
      <c r="I25" s="928">
        <v>50</v>
      </c>
      <c r="J25" s="604">
        <f>IF(AND(Pavement!$J$11&gt;=3,L25&gt;0),2+(PVMTPRES!I25*$S25),PVMTPRES!I25*$S25)</f>
        <v>50</v>
      </c>
      <c r="K25" s="606">
        <f t="shared" si="1"/>
        <v>0</v>
      </c>
      <c r="L25" s="610">
        <v>8</v>
      </c>
      <c r="M25" s="608">
        <f t="shared" si="2"/>
        <v>0.45</v>
      </c>
      <c r="N25" s="609" t="s">
        <v>73</v>
      </c>
      <c r="O25" s="609" t="s">
        <v>73</v>
      </c>
      <c r="P25" s="609" t="s">
        <v>74</v>
      </c>
      <c r="Q25" s="609" t="s">
        <v>74</v>
      </c>
      <c r="R25" s="609" t="s">
        <v>73</v>
      </c>
      <c r="S25" s="609">
        <f>IF(AND(R25="No",Pavement!$D$8/100&lt;1),1,Pavement!$D$8/100)</f>
        <v>1</v>
      </c>
      <c r="T25" s="135"/>
      <c r="U25" s="135"/>
      <c r="V25" s="131"/>
      <c r="W25" s="131"/>
      <c r="Y25" s="131"/>
      <c r="Z25" s="131"/>
      <c r="AA25" s="131"/>
      <c r="AC25" s="131"/>
      <c r="AD25" s="131"/>
      <c r="AE25" s="131"/>
      <c r="AG25" s="132"/>
      <c r="AH25" s="133"/>
      <c r="AI25" s="132"/>
      <c r="AJ25" s="134"/>
      <c r="AL25" s="97"/>
      <c r="AO25" s="133"/>
    </row>
    <row r="26" spans="1:41" ht="25.5">
      <c r="A26" s="925" t="str">
        <f ca="1">IFERROR(HYPERLINK("#"&amp;"ProjectEstimate!A"&amp;(8+MATCH($C26,ProjectEstimate!$A$9:$A$145,0)),CONCATENATE("Go To ",$C26))," ")</f>
        <v xml:space="preserve"> </v>
      </c>
      <c r="B26" s="111" t="s">
        <v>1755</v>
      </c>
      <c r="C26" s="604" t="s">
        <v>1787</v>
      </c>
      <c r="D26" s="605" t="str">
        <f>IF(AND(Roadway!G$10="Mixed Treatment",Pavement!G$21&gt;0,Pavement!G$28=PVMTPRES!$B26),(Pavement!G$21+Pavement!G$26)/9,IF($B26=Pavement!G$28,((Pavement!G$22*Pavement!G$23)+Pavement!G$26)/9," "))</f>
        <v xml:space="preserve"> </v>
      </c>
      <c r="E26" s="605" t="str">
        <f>IF(AND(Roadway!H$10="Mixed Treatment",Pavement!H$21&gt;0,Pavement!H$28=PVMTPRES!$B26),(Pavement!H$21+Pavement!H$26)/9,IF($B26=Pavement!H$28,((Pavement!H$22*Pavement!H$23)+Pavement!H$26)/9," "))</f>
        <v xml:space="preserve"> </v>
      </c>
      <c r="F26" s="605" t="str">
        <f>IF(AND(Roadway!I$10="Mixed Treatment",Pavement!I$21&gt;0,Pavement!I$28=PVMTPRES!$B26),(Pavement!I$21+Pavement!I$26)/9,IF($B26=Pavement!I$28,((Pavement!I$22*Pavement!I$23)+Pavement!I$26)/9," "))</f>
        <v xml:space="preserve"> </v>
      </c>
      <c r="G26" s="605" t="str">
        <f>IF(AND(Roadway!J$10="Mixed Treatment",Pavement!J$21&gt;0,Pavement!J$28=PVMTPRES!$B26),(Pavement!J$21+Pavement!J$26)/9,IF($B26=Pavement!J$28,((Pavement!J$22*Pavement!J$23)+Pavement!J$26)/9," "))</f>
        <v xml:space="preserve"> </v>
      </c>
      <c r="H26" s="605">
        <f t="shared" si="0"/>
        <v>0</v>
      </c>
      <c r="I26" s="928">
        <v>55</v>
      </c>
      <c r="J26" s="604">
        <f>IF(AND(Pavement!$J$11&gt;=3,L26&gt;0),2+(PVMTPRES!I26*$S26),PVMTPRES!I26*$S26)</f>
        <v>55</v>
      </c>
      <c r="K26" s="606">
        <f t="shared" si="1"/>
        <v>0</v>
      </c>
      <c r="L26" s="610">
        <v>8</v>
      </c>
      <c r="M26" s="608">
        <f t="shared" si="2"/>
        <v>0.45</v>
      </c>
      <c r="N26" s="612" t="s">
        <v>73</v>
      </c>
      <c r="O26" s="609" t="s">
        <v>73</v>
      </c>
      <c r="P26" s="609" t="s">
        <v>74</v>
      </c>
      <c r="Q26" s="609" t="s">
        <v>74</v>
      </c>
      <c r="R26" s="609" t="s">
        <v>73</v>
      </c>
      <c r="S26" s="609">
        <f>IF(AND(R26="No",Pavement!$D$8/100&lt;1),1,Pavement!$D$8/100)</f>
        <v>1</v>
      </c>
      <c r="T26" s="135"/>
      <c r="U26" s="135"/>
      <c r="V26" s="131"/>
      <c r="W26" s="131"/>
      <c r="Y26" s="131"/>
      <c r="Z26" s="131"/>
      <c r="AA26" s="131"/>
      <c r="AB26" s="131"/>
      <c r="AC26" s="131"/>
      <c r="AD26" s="131"/>
      <c r="AE26" s="131"/>
      <c r="AG26" s="132"/>
      <c r="AH26" s="133"/>
      <c r="AI26" s="132"/>
      <c r="AJ26" s="134"/>
      <c r="AL26" s="97"/>
      <c r="AO26" s="133"/>
    </row>
    <row r="27" spans="1:41">
      <c r="G27" s="97"/>
      <c r="H27" s="603" t="s">
        <v>18</v>
      </c>
      <c r="I27" s="97"/>
      <c r="J27" s="660"/>
      <c r="K27" s="603" t="s">
        <v>18</v>
      </c>
      <c r="M27" s="97"/>
      <c r="AG27" s="132"/>
      <c r="AJ27" s="596"/>
      <c r="AL27" s="97"/>
      <c r="AO27" s="597"/>
    </row>
    <row r="28" spans="1:41">
      <c r="G28" s="97"/>
      <c r="H28" s="605">
        <f>SUM(H8:H26)</f>
        <v>0</v>
      </c>
      <c r="I28" s="97"/>
      <c r="J28" s="661"/>
      <c r="K28" s="613">
        <f>SUM(K7:K26)</f>
        <v>0</v>
      </c>
      <c r="AG28" s="132"/>
      <c r="AL28" s="97"/>
      <c r="AO28" s="597"/>
    </row>
    <row r="29" spans="1:41">
      <c r="I29" s="97"/>
      <c r="J29" s="661"/>
      <c r="AG29" s="132"/>
      <c r="AL29" s="97"/>
      <c r="AO29" s="133"/>
    </row>
    <row r="30" spans="1:41" ht="24">
      <c r="B30" s="614" t="s">
        <v>3826</v>
      </c>
      <c r="C30" s="619" t="s">
        <v>3825</v>
      </c>
      <c r="D30" s="1215" t="s">
        <v>3848</v>
      </c>
      <c r="E30" s="1215"/>
      <c r="F30" s="1215"/>
      <c r="G30" s="1215"/>
      <c r="H30" s="603" t="s">
        <v>3849</v>
      </c>
      <c r="AG30" s="132"/>
      <c r="AL30" s="97"/>
      <c r="AO30" s="133"/>
    </row>
    <row r="31" spans="1:41">
      <c r="B31" s="602" t="s">
        <v>36</v>
      </c>
      <c r="C31" s="615">
        <v>451</v>
      </c>
      <c r="D31" s="605">
        <f>(Pavement!$H$10*((Pavement!G22*Pavement!G23)+Pavement!G26))</f>
        <v>0</v>
      </c>
      <c r="E31" s="605">
        <f>(Pavement!$H$10*((Pavement!H22*Pavement!H23)+Pavement!H26))</f>
        <v>0</v>
      </c>
      <c r="F31" s="605">
        <f>(Pavement!$H$10*((Pavement!I22*Pavement!I23)+Pavement!I26))</f>
        <v>0</v>
      </c>
      <c r="G31" s="605">
        <f>(Pavement!$H$10*((Pavement!J22*Pavement!J23)+Pavement!J26))</f>
        <v>0</v>
      </c>
      <c r="H31" s="605">
        <f>SUM(D31:G31)</f>
        <v>0</v>
      </c>
      <c r="AG31" s="132"/>
      <c r="AL31" s="97"/>
      <c r="AO31" s="133"/>
    </row>
    <row r="32" spans="1:41">
      <c r="C32" s="230" t="s">
        <v>3896</v>
      </c>
      <c r="D32" s="603" t="s">
        <v>3850</v>
      </c>
      <c r="E32" s="603" t="s">
        <v>3899</v>
      </c>
      <c r="F32" s="616" t="s">
        <v>3895</v>
      </c>
      <c r="G32" s="601" t="s">
        <v>3827</v>
      </c>
      <c r="H32" s="601" t="s">
        <v>1738</v>
      </c>
      <c r="K32" s="196"/>
      <c r="AL32" s="97"/>
      <c r="AO32" s="133"/>
    </row>
    <row r="33" spans="1:41">
      <c r="B33" s="68" t="s">
        <v>3898</v>
      </c>
      <c r="C33" s="605">
        <f>Pavement!H11</f>
        <v>0</v>
      </c>
      <c r="D33" s="605">
        <f>H31*C33/12</f>
        <v>0</v>
      </c>
      <c r="E33" s="605">
        <v>150</v>
      </c>
      <c r="F33" s="610">
        <f>D33*E33/2000</f>
        <v>0</v>
      </c>
      <c r="G33" s="617" cm="1">
        <f t="array" aca="1" ref="G33" ca="1">_xlfn.XLOOKUP(C31,INDIRECT("OUTPUT!$A$2:$A$935"),INDIRECT("OUTPUT!$E$2:$E$935"))</f>
        <v>299</v>
      </c>
      <c r="H33" s="618">
        <f ca="1">ROUND(F33*G33, -1)</f>
        <v>0</v>
      </c>
      <c r="AL33" s="97"/>
      <c r="AO33" s="133"/>
    </row>
    <row r="34" spans="1:41">
      <c r="B34" s="558"/>
      <c r="D34" s="97"/>
      <c r="G34" s="97"/>
      <c r="AL34" s="97"/>
      <c r="AO34" s="133"/>
    </row>
    <row r="35" spans="1:41">
      <c r="G35" s="97"/>
      <c r="H35" s="97"/>
      <c r="I35" s="97"/>
    </row>
    <row r="36" spans="1:41">
      <c r="G36" s="97"/>
      <c r="H36" s="97"/>
      <c r="I36" s="97"/>
    </row>
    <row r="37" spans="1:41">
      <c r="G37" s="97"/>
      <c r="H37" s="97"/>
      <c r="I37" s="97"/>
    </row>
    <row r="38" spans="1:41" s="125" customFormat="1">
      <c r="A38" s="138"/>
      <c r="B38" s="599"/>
      <c r="C38" s="139"/>
      <c r="D38" s="140"/>
      <c r="E38" s="140"/>
      <c r="F38" s="140"/>
      <c r="G38" s="140"/>
      <c r="H38" s="140"/>
      <c r="I38" s="140"/>
      <c r="J38" s="139"/>
      <c r="K38" s="139"/>
      <c r="L38" s="141"/>
      <c r="M38" s="142"/>
      <c r="N38" s="126"/>
      <c r="O38" s="143"/>
      <c r="P38" s="126"/>
      <c r="Q38" s="126"/>
      <c r="R38" s="126"/>
      <c r="S38" s="126"/>
      <c r="T38" s="144"/>
      <c r="U38" s="144"/>
      <c r="V38" s="126"/>
      <c r="W38" s="126"/>
      <c r="Y38" s="126"/>
      <c r="Z38" s="126"/>
      <c r="AA38" s="126"/>
      <c r="AB38" s="126"/>
      <c r="AC38" s="126"/>
      <c r="AD38" s="126"/>
      <c r="AE38" s="126"/>
      <c r="AG38" s="145"/>
      <c r="AH38" s="124"/>
      <c r="AI38" s="145"/>
      <c r="AJ38" s="146"/>
      <c r="AL38" s="39"/>
      <c r="AO38" s="124"/>
    </row>
    <row r="39" spans="1:41">
      <c r="A39" s="127"/>
      <c r="B39" s="600"/>
      <c r="C39" s="128"/>
      <c r="D39" s="129"/>
      <c r="E39" s="129"/>
      <c r="F39" s="129"/>
      <c r="G39" s="129"/>
      <c r="H39" s="129"/>
      <c r="I39" s="129"/>
      <c r="J39" s="128"/>
      <c r="K39" s="128"/>
      <c r="L39" s="136"/>
      <c r="M39" s="130"/>
      <c r="N39" s="131"/>
      <c r="O39" s="137"/>
      <c r="P39" s="131"/>
      <c r="Q39" s="131"/>
      <c r="R39" s="131"/>
      <c r="S39" s="131"/>
      <c r="T39" s="135"/>
      <c r="U39" s="131"/>
      <c r="V39" s="135"/>
      <c r="W39" s="131"/>
      <c r="Y39" s="131"/>
      <c r="Z39" s="131"/>
      <c r="AA39" s="131"/>
      <c r="AB39" s="131"/>
      <c r="AC39" s="131"/>
      <c r="AD39" s="131"/>
      <c r="AE39" s="131"/>
      <c r="AG39" s="132"/>
      <c r="AH39" s="133"/>
      <c r="AI39" s="132"/>
      <c r="AJ39" s="134"/>
      <c r="AL39" s="97"/>
      <c r="AO39" s="133"/>
    </row>
    <row r="40" spans="1:41">
      <c r="G40" s="97"/>
      <c r="H40" s="97"/>
      <c r="I40" s="97"/>
    </row>
    <row r="41" spans="1:41">
      <c r="G41" s="97"/>
      <c r="H41" s="97"/>
      <c r="I41" s="97"/>
    </row>
    <row r="42" spans="1:41">
      <c r="G42" s="97"/>
      <c r="H42" s="97"/>
      <c r="I42" s="97"/>
    </row>
    <row r="43" spans="1:41">
      <c r="A43" s="147"/>
      <c r="C43" s="147"/>
      <c r="G43" s="97"/>
      <c r="H43" s="97"/>
      <c r="I43" s="97"/>
    </row>
    <row r="44" spans="1:41">
      <c r="G44" s="97"/>
      <c r="H44" s="97"/>
      <c r="I44" s="97"/>
    </row>
  </sheetData>
  <sortState xmlns:xlrd2="http://schemas.microsoft.com/office/spreadsheetml/2017/richdata2" ref="G7:G47">
    <sortCondition ref="G7:G47"/>
  </sortState>
  <mergeCells count="6">
    <mergeCell ref="N5:S5"/>
    <mergeCell ref="D30:G30"/>
    <mergeCell ref="H1:I1"/>
    <mergeCell ref="H2:I2"/>
    <mergeCell ref="A1:A5"/>
    <mergeCell ref="D5:G5"/>
  </mergeCells>
  <phoneticPr fontId="7" type="noConversion"/>
  <conditionalFormatting sqref="C1:C2">
    <cfRule type="expression" dxfId="39" priority="3">
      <formula>C1=""</formula>
    </cfRule>
  </conditionalFormatting>
  <conditionalFormatting sqref="E1:E2">
    <cfRule type="expression" dxfId="38" priority="1">
      <formula>E1=""</formula>
    </cfRule>
  </conditionalFormatting>
  <dataValidations xWindow="767" yWindow="525" count="1">
    <dataValidation allowBlank="1" showInputMessage="1" showErrorMessage="1" prompt="Cost included is the unit cost per treatment" sqref="I7:I26" xr:uid="{ED13F397-B891-45CC-927B-D3BA86C80612}"/>
  </dataValidations>
  <pageMargins left="0.75" right="0.75" top="1" bottom="1" header="0.5" footer="0.5"/>
  <pageSetup scale="97" fitToWidth="2" orientation="portrait" r:id="rId1"/>
  <headerFooter alignWithMargins="0">
    <oddHeader>&amp;C&amp;"Arial,Bold Italic"&amp;20DRAFT - TOOL STILL IN PRODUCTION</oddHeader>
    <oddFooter>&amp;C&amp;"Futura Bk BT,Book"Page &amp;P</oddFooter>
  </headerFooter>
  <colBreaks count="2" manualBreakCount="2">
    <brk id="7" max="33" man="1"/>
    <brk id="14" max="33" man="1"/>
  </colBreak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1">
    <tabColor theme="0" tint="-0.249977111117893"/>
    <pageSetUpPr fitToPage="1"/>
  </sheetPr>
  <dimension ref="B1:M41"/>
  <sheetViews>
    <sheetView topLeftCell="A13" workbookViewId="0">
      <selection activeCell="O48" sqref="O48"/>
    </sheetView>
  </sheetViews>
  <sheetFormatPr defaultColWidth="9.140625" defaultRowHeight="15"/>
  <cols>
    <col min="1" max="1" width="9" style="148" customWidth="1"/>
    <col min="2" max="2" width="1.7109375" style="148" customWidth="1"/>
    <col min="3" max="3" width="11.7109375" style="148" customWidth="1"/>
    <col min="4" max="4" width="13.42578125" style="148" customWidth="1"/>
    <col min="5" max="5" width="4.42578125" style="148" customWidth="1"/>
    <col min="6" max="6" width="12.85546875" style="148" customWidth="1"/>
    <col min="7" max="7" width="12.42578125" style="148" customWidth="1"/>
    <col min="8" max="8" width="13.7109375" style="148" customWidth="1"/>
    <col min="9" max="9" width="12.28515625" style="148" customWidth="1"/>
    <col min="10" max="10" width="11.7109375" style="148" customWidth="1"/>
    <col min="11" max="11" width="1.7109375" style="148" customWidth="1"/>
    <col min="12" max="16384" width="9.140625" style="148"/>
  </cols>
  <sheetData>
    <row r="1" spans="2:11" ht="15.75" thickBot="1"/>
    <row r="2" spans="2:11">
      <c r="B2" s="955"/>
      <c r="C2" s="163" t="s">
        <v>8</v>
      </c>
      <c r="D2" s="866"/>
      <c r="E2" s="163" t="s">
        <v>9</v>
      </c>
      <c r="F2" s="929"/>
      <c r="G2" s="956"/>
      <c r="H2" s="149" t="s">
        <v>1613</v>
      </c>
      <c r="I2" s="1220">
        <f>BasicProjectData!$G$17</f>
        <v>0</v>
      </c>
      <c r="J2" s="1221"/>
      <c r="K2" s="957"/>
    </row>
    <row r="3" spans="2:11">
      <c r="B3" s="958"/>
      <c r="C3" s="166" t="s">
        <v>10</v>
      </c>
      <c r="D3" s="867"/>
      <c r="E3" s="166" t="s">
        <v>9</v>
      </c>
      <c r="F3" s="930"/>
      <c r="G3" s="959"/>
      <c r="H3" s="150" t="s">
        <v>11</v>
      </c>
      <c r="I3" s="1222">
        <f>BasicProjectData!E7</f>
        <v>0</v>
      </c>
      <c r="J3" s="1222"/>
      <c r="K3" s="960"/>
    </row>
    <row r="4" spans="2:11">
      <c r="B4" s="958"/>
      <c r="C4" s="961"/>
      <c r="D4" s="80"/>
      <c r="E4" s="150"/>
      <c r="F4" s="962"/>
      <c r="G4" s="963"/>
      <c r="H4" s="150"/>
      <c r="I4" s="1222"/>
      <c r="J4" s="1222"/>
      <c r="K4" s="960"/>
    </row>
    <row r="5" spans="2:11" ht="15.75" thickBot="1">
      <c r="B5" s="964"/>
      <c r="C5" s="965"/>
      <c r="D5" s="966"/>
      <c r="E5" s="967"/>
      <c r="F5" s="968"/>
      <c r="G5" s="969"/>
      <c r="H5" s="967"/>
      <c r="I5" s="970"/>
      <c r="J5" s="970"/>
      <c r="K5" s="971"/>
    </row>
    <row r="6" spans="2:11" ht="14.25" customHeight="1">
      <c r="B6" s="876"/>
      <c r="C6" s="972"/>
      <c r="D6" s="46"/>
      <c r="E6" s="973"/>
      <c r="F6" s="973"/>
      <c r="G6" s="973"/>
      <c r="H6" s="973"/>
      <c r="I6" s="46"/>
      <c r="J6" s="46"/>
      <c r="K6" s="47"/>
    </row>
    <row r="7" spans="2:11" ht="14.25" customHeight="1">
      <c r="B7" s="1224" t="s">
        <v>3873</v>
      </c>
      <c r="C7" s="1225"/>
      <c r="D7" s="1225"/>
      <c r="E7" s="1225"/>
      <c r="F7" s="1225"/>
      <c r="G7" s="1225"/>
      <c r="H7" s="1225"/>
      <c r="I7" s="1225"/>
      <c r="J7" s="1225"/>
      <c r="K7" s="1226"/>
    </row>
    <row r="8" spans="2:11" ht="14.25" customHeight="1">
      <c r="B8" s="1224" t="s">
        <v>3874</v>
      </c>
      <c r="C8" s="1225"/>
      <c r="D8" s="1225"/>
      <c r="E8" s="1225"/>
      <c r="F8" s="1225"/>
      <c r="G8" s="1225"/>
      <c r="H8" s="1225"/>
      <c r="I8" s="1225"/>
      <c r="J8" s="1225"/>
      <c r="K8" s="1226"/>
    </row>
    <row r="9" spans="2:11">
      <c r="B9" s="974"/>
      <c r="D9" s="975"/>
      <c r="E9" s="976" t="s">
        <v>707</v>
      </c>
      <c r="F9" s="1223">
        <f ca="1">SUM(OUTPUT!F9:F147)</f>
        <v>0</v>
      </c>
      <c r="G9" s="1223"/>
      <c r="K9" s="977"/>
    </row>
    <row r="10" spans="2:11" ht="14.25" customHeight="1">
      <c r="B10" s="706"/>
      <c r="C10" s="978" t="s">
        <v>847</v>
      </c>
      <c r="D10" s="151"/>
      <c r="E10" s="151"/>
      <c r="F10" s="151"/>
      <c r="G10" s="152"/>
      <c r="H10" s="153"/>
      <c r="I10" s="154"/>
      <c r="J10" s="979"/>
      <c r="K10" s="44"/>
    </row>
    <row r="11" spans="2:11" ht="14.25" customHeight="1">
      <c r="B11" s="706"/>
      <c r="C11" s="980" t="s">
        <v>708</v>
      </c>
      <c r="D11" s="981"/>
      <c r="E11" s="981"/>
      <c r="F11" s="981"/>
      <c r="G11" s="981"/>
      <c r="H11" s="981"/>
      <c r="I11" s="981"/>
      <c r="J11" s="981"/>
      <c r="K11" s="44"/>
    </row>
    <row r="12" spans="2:11" ht="15" customHeight="1">
      <c r="B12" s="982"/>
      <c r="C12" s="981"/>
      <c r="D12" s="981"/>
      <c r="E12" s="981"/>
      <c r="F12" s="981"/>
      <c r="G12" s="983" t="s">
        <v>3761</v>
      </c>
      <c r="H12" s="981"/>
      <c r="I12" s="984" t="s">
        <v>710</v>
      </c>
      <c r="J12" s="981"/>
      <c r="K12" s="774"/>
    </row>
    <row r="13" spans="2:11" ht="15" customHeight="1">
      <c r="B13" s="982"/>
      <c r="C13" s="981"/>
      <c r="D13" s="985">
        <v>0</v>
      </c>
      <c r="E13" s="986" t="s">
        <v>709</v>
      </c>
      <c r="F13" s="987">
        <v>500000</v>
      </c>
      <c r="G13" s="988">
        <v>0.2</v>
      </c>
      <c r="H13" s="148" t="str">
        <f t="shared" ref="H13:H18" ca="1" si="0">IF(AND(D13&lt;=$F$9,F13&gt;$F$9),"X","")</f>
        <v>X</v>
      </c>
      <c r="I13" s="983">
        <f t="shared" ref="I13:I18" ca="1" si="1">IF(H13="","",$F$9*G13)</f>
        <v>0</v>
      </c>
      <c r="J13" s="981"/>
      <c r="K13" s="774"/>
    </row>
    <row r="14" spans="2:11" ht="15" customHeight="1">
      <c r="B14" s="982"/>
      <c r="C14" s="981"/>
      <c r="D14" s="989">
        <f>F13</f>
        <v>500000</v>
      </c>
      <c r="E14" s="97" t="s">
        <v>709</v>
      </c>
      <c r="F14" s="990">
        <v>1000000</v>
      </c>
      <c r="G14" s="991">
        <v>0.18</v>
      </c>
      <c r="H14" s="148" t="str">
        <f t="shared" ca="1" si="0"/>
        <v/>
      </c>
      <c r="I14" s="992" t="str">
        <f t="shared" ca="1" si="1"/>
        <v/>
      </c>
      <c r="J14" s="981"/>
      <c r="K14" s="774"/>
    </row>
    <row r="15" spans="2:11" ht="15" customHeight="1">
      <c r="B15" s="706"/>
      <c r="C15" s="981"/>
      <c r="D15" s="989">
        <f>F14</f>
        <v>1000000</v>
      </c>
      <c r="E15" s="200" t="s">
        <v>709</v>
      </c>
      <c r="F15" s="990">
        <v>1500000</v>
      </c>
      <c r="G15" s="991">
        <v>0.16</v>
      </c>
      <c r="H15" s="148" t="str">
        <f t="shared" ca="1" si="0"/>
        <v/>
      </c>
      <c r="I15" s="993" t="str">
        <f t="shared" ca="1" si="1"/>
        <v/>
      </c>
      <c r="J15" s="994"/>
      <c r="K15" s="44"/>
    </row>
    <row r="16" spans="2:11" ht="14.25" customHeight="1">
      <c r="B16" s="706"/>
      <c r="C16" s="981"/>
      <c r="D16" s="989">
        <f>F15</f>
        <v>1500000</v>
      </c>
      <c r="E16" s="200" t="s">
        <v>709</v>
      </c>
      <c r="F16" s="990">
        <v>2000000</v>
      </c>
      <c r="G16" s="991">
        <v>0.14000000000000001</v>
      </c>
      <c r="H16" s="981" t="str">
        <f t="shared" ca="1" si="0"/>
        <v/>
      </c>
      <c r="I16" s="995" t="str">
        <f t="shared" ca="1" si="1"/>
        <v/>
      </c>
      <c r="J16" s="979"/>
      <c r="K16" s="44"/>
    </row>
    <row r="17" spans="2:13" ht="14.25" customHeight="1">
      <c r="B17" s="706"/>
      <c r="C17" s="981"/>
      <c r="D17" s="989">
        <f>F16</f>
        <v>2000000</v>
      </c>
      <c r="E17" s="200" t="s">
        <v>709</v>
      </c>
      <c r="F17" s="990">
        <v>2500000</v>
      </c>
      <c r="G17" s="991">
        <v>0.13</v>
      </c>
      <c r="H17" s="996" t="str">
        <f t="shared" ca="1" si="0"/>
        <v/>
      </c>
      <c r="I17" s="997" t="str">
        <f t="shared" ca="1" si="1"/>
        <v/>
      </c>
      <c r="J17" s="998"/>
      <c r="K17" s="44"/>
    </row>
    <row r="18" spans="2:13" ht="15" customHeight="1">
      <c r="B18" s="982"/>
      <c r="C18" s="981"/>
      <c r="D18" s="999">
        <f>F17</f>
        <v>2500000</v>
      </c>
      <c r="E18" s="1000" t="s">
        <v>711</v>
      </c>
      <c r="F18" s="359" t="s">
        <v>712</v>
      </c>
      <c r="G18" s="1001">
        <v>0.12</v>
      </c>
      <c r="H18" s="981" t="str">
        <f t="shared" ca="1" si="0"/>
        <v/>
      </c>
      <c r="I18" s="1002" t="str">
        <f t="shared" ca="1" si="1"/>
        <v/>
      </c>
      <c r="J18" s="981"/>
      <c r="K18" s="774"/>
    </row>
    <row r="19" spans="2:13" ht="15" customHeight="1">
      <c r="B19" s="982"/>
      <c r="C19" s="981"/>
      <c r="D19" s="981"/>
      <c r="E19" s="981"/>
      <c r="F19" s="981"/>
      <c r="G19" s="981"/>
      <c r="H19" s="981"/>
      <c r="I19" s="1003"/>
      <c r="J19" s="1004"/>
      <c r="K19" s="774"/>
    </row>
    <row r="20" spans="2:13" ht="15" customHeight="1">
      <c r="B20" s="982"/>
      <c r="C20" s="981"/>
      <c r="D20" s="1005" t="s">
        <v>3939</v>
      </c>
      <c r="E20" s="1006"/>
      <c r="F20" s="1006"/>
      <c r="H20" s="981"/>
      <c r="I20" s="1007" t="str">
        <f>IF(OR(BasicProjectData!I15=HIDDEN!H14,BasicProjectData!I15=HIDDEN!H16),"Yes","No")</f>
        <v>No</v>
      </c>
      <c r="J20" s="1008">
        <f>IF(I20="No",0,ROUND(SUM(I13:I18), -1))</f>
        <v>0</v>
      </c>
      <c r="K20" s="774"/>
    </row>
    <row r="21" spans="2:13" ht="14.25" customHeight="1">
      <c r="B21" s="43"/>
      <c r="C21" s="981"/>
      <c r="D21" s="981"/>
      <c r="E21" s="981"/>
      <c r="F21" s="981"/>
      <c r="G21" s="981"/>
      <c r="H21" s="1003"/>
      <c r="I21" s="981"/>
      <c r="J21" s="981"/>
      <c r="K21" s="48"/>
    </row>
    <row r="22" spans="2:13" ht="14.25" customHeight="1">
      <c r="B22" s="43"/>
      <c r="C22" s="978" t="s">
        <v>846</v>
      </c>
      <c r="D22" s="981"/>
      <c r="J22" s="981"/>
      <c r="K22" s="48"/>
    </row>
    <row r="23" spans="2:13" ht="29.25" customHeight="1">
      <c r="B23" s="43"/>
      <c r="D23" s="981"/>
      <c r="F23" s="1009" t="str">
        <f>BasicProjectData!G21</f>
        <v>Major Roadway</v>
      </c>
      <c r="G23" s="1009" t="str">
        <f>BasicProjectData!H21</f>
        <v>Roadway 2 Name</v>
      </c>
      <c r="H23" s="1009" t="str">
        <f>BasicProjectData!I21</f>
        <v>Roadway 3 Name</v>
      </c>
      <c r="I23" s="1009" t="str">
        <f>BasicProjectData!J21</f>
        <v>Roadway 4 Name</v>
      </c>
      <c r="K23" s="48"/>
    </row>
    <row r="24" spans="2:13" ht="14.25" customHeight="1">
      <c r="B24" s="43"/>
      <c r="C24" s="1010"/>
      <c r="E24" s="1011" t="s">
        <v>1835</v>
      </c>
      <c r="F24" s="1012">
        <f>BasicProjectData!G22</f>
        <v>0</v>
      </c>
      <c r="G24" s="1012">
        <f>BasicProjectData!H22</f>
        <v>0</v>
      </c>
      <c r="H24" s="1012">
        <f>BasicProjectData!I22</f>
        <v>0</v>
      </c>
      <c r="I24" s="1012">
        <f>BasicProjectData!J22</f>
        <v>0</v>
      </c>
      <c r="K24" s="48"/>
    </row>
    <row r="25" spans="2:13" ht="14.25" customHeight="1">
      <c r="B25" s="43"/>
      <c r="C25" s="1010"/>
      <c r="E25" s="1011" t="s">
        <v>3695</v>
      </c>
      <c r="F25" s="1012">
        <f>Roadway!G8</f>
        <v>0</v>
      </c>
      <c r="G25" s="1012">
        <f>Roadway!H8</f>
        <v>0</v>
      </c>
      <c r="H25" s="1012">
        <f>Roadway!I8</f>
        <v>0</v>
      </c>
      <c r="I25" s="1012">
        <f>Roadway!J8</f>
        <v>0</v>
      </c>
      <c r="K25" s="48"/>
    </row>
    <row r="26" spans="2:13">
      <c r="B26" s="43"/>
      <c r="E26" s="1011" t="s">
        <v>3694</v>
      </c>
      <c r="F26" s="1012">
        <f>Roadway!G9</f>
        <v>0</v>
      </c>
      <c r="G26" s="1012">
        <f>Roadway!H9</f>
        <v>0</v>
      </c>
      <c r="H26" s="1012">
        <f>Roadway!I9</f>
        <v>0</v>
      </c>
      <c r="I26" s="1012">
        <f>Roadway!J9</f>
        <v>0</v>
      </c>
      <c r="K26" s="48"/>
    </row>
    <row r="27" spans="2:13">
      <c r="B27" s="43"/>
      <c r="E27" s="1011" t="s">
        <v>1860</v>
      </c>
      <c r="F27" s="1012">
        <f>Multimodal!G11+Multimodal!G12</f>
        <v>0</v>
      </c>
      <c r="G27" s="1012">
        <f>Multimodal!H11+Multimodal!H12</f>
        <v>0</v>
      </c>
      <c r="H27" s="1012">
        <f>Multimodal!I11+Multimodal!I12</f>
        <v>0</v>
      </c>
      <c r="I27" s="1012">
        <f>Multimodal!J11+Multimodal!J12</f>
        <v>0</v>
      </c>
      <c r="K27" s="48"/>
    </row>
    <row r="28" spans="2:13">
      <c r="B28" s="43"/>
      <c r="E28" s="1011" t="s">
        <v>1861</v>
      </c>
      <c r="F28" s="1012">
        <f>Multimodal!G17+Multimodal!G18</f>
        <v>0</v>
      </c>
      <c r="G28" s="1012">
        <f>Multimodal!H17+Multimodal!H18</f>
        <v>0</v>
      </c>
      <c r="H28" s="1012">
        <f>Multimodal!I17+Multimodal!I18</f>
        <v>0</v>
      </c>
      <c r="I28" s="1012">
        <f>Multimodal!J17+Multimodal!J18</f>
        <v>0</v>
      </c>
      <c r="K28" s="48"/>
    </row>
    <row r="29" spans="2:13" ht="14.25" customHeight="1">
      <c r="B29" s="43"/>
      <c r="E29" s="156" t="s">
        <v>1862</v>
      </c>
      <c r="F29" s="1012">
        <f>MAX(F25:F26)+SUM(F27:F28)+10</f>
        <v>10</v>
      </c>
      <c r="G29" s="1012">
        <f>MAX(G25:G26)+SUM(G27:G28)+10</f>
        <v>10</v>
      </c>
      <c r="H29" s="1012">
        <f>MAX(H25:H26)+SUM(H27:H28)+10</f>
        <v>10</v>
      </c>
      <c r="I29" s="1012">
        <f>MAX(I25:I26)+SUM(I27:I28)+10</f>
        <v>10</v>
      </c>
      <c r="J29" s="979"/>
      <c r="K29" s="48"/>
    </row>
    <row r="30" spans="2:13" ht="14.25" customHeight="1">
      <c r="B30" s="43"/>
      <c r="C30" s="157"/>
      <c r="E30" s="1011" t="s">
        <v>1834</v>
      </c>
      <c r="F30" s="1012">
        <f>F24*F29</f>
        <v>0</v>
      </c>
      <c r="G30" s="1012">
        <f>G24*G29</f>
        <v>0</v>
      </c>
      <c r="H30" s="1012">
        <f>H24*H29</f>
        <v>0</v>
      </c>
      <c r="I30" s="1012">
        <f>I24*I29</f>
        <v>0</v>
      </c>
      <c r="K30" s="48"/>
    </row>
    <row r="31" spans="2:13" ht="14.25" customHeight="1">
      <c r="B31" s="43"/>
      <c r="C31" s="157"/>
      <c r="D31" s="158"/>
      <c r="E31" s="1011" t="s">
        <v>1851</v>
      </c>
      <c r="F31" s="1058">
        <f>F30+G30+H30+I30</f>
        <v>0</v>
      </c>
      <c r="G31" s="1059"/>
      <c r="H31" s="1059"/>
      <c r="I31" s="1060"/>
      <c r="J31" s="979"/>
      <c r="K31" s="48"/>
    </row>
    <row r="32" spans="2:13" ht="14.25" customHeight="1">
      <c r="B32" s="43"/>
      <c r="C32" s="157"/>
      <c r="D32" s="158"/>
      <c r="E32" s="1011" t="s">
        <v>851</v>
      </c>
      <c r="F32" s="1062" t="str">
        <f>BasicProjectData!G18</f>
        <v xml:space="preserve"> </v>
      </c>
      <c r="G32" s="1063"/>
      <c r="H32" s="1063"/>
      <c r="I32" s="1064"/>
      <c r="J32" s="979"/>
      <c r="K32" s="48"/>
      <c r="M32" s="159"/>
    </row>
    <row r="33" spans="2:11" ht="14.25" customHeight="1">
      <c r="B33" s="43"/>
      <c r="C33" s="157"/>
      <c r="D33" s="158"/>
      <c r="E33" s="156" t="s">
        <v>1859</v>
      </c>
      <c r="F33" s="1065">
        <v>0.17</v>
      </c>
      <c r="G33" s="1066"/>
      <c r="H33" s="1066"/>
      <c r="I33" s="1067"/>
      <c r="J33" s="979"/>
      <c r="K33" s="48"/>
    </row>
    <row r="34" spans="2:11" ht="14.25" customHeight="1">
      <c r="B34" s="43"/>
      <c r="C34" s="157"/>
      <c r="D34" s="158"/>
      <c r="E34" s="158"/>
      <c r="F34" s="1013"/>
      <c r="G34" s="1014"/>
      <c r="H34" s="1014"/>
      <c r="I34" s="1014"/>
      <c r="J34" s="979"/>
      <c r="K34" s="48"/>
    </row>
    <row r="35" spans="2:11" ht="24.2" customHeight="1">
      <c r="B35" s="43"/>
      <c r="C35" s="1015"/>
      <c r="D35" s="1016" t="s">
        <v>3745</v>
      </c>
      <c r="E35" s="151"/>
      <c r="F35" s="151"/>
      <c r="G35" s="1017"/>
      <c r="H35" s="153"/>
      <c r="I35" s="154"/>
      <c r="J35" s="1018">
        <f>IF(E38="Spot Survey Only",G38,G36)</f>
        <v>0</v>
      </c>
      <c r="K35" s="48"/>
    </row>
    <row r="36" spans="2:11">
      <c r="B36" s="1019"/>
      <c r="C36" s="1015"/>
      <c r="D36" s="1015"/>
      <c r="E36" s="1015" t="s">
        <v>3771</v>
      </c>
      <c r="F36" s="1015"/>
      <c r="G36" s="1015">
        <f>F31*F33</f>
        <v>0</v>
      </c>
      <c r="H36" s="1015"/>
      <c r="I36" s="40"/>
      <c r="J36" s="1020"/>
      <c r="K36" s="1021"/>
    </row>
    <row r="37" spans="2:11">
      <c r="B37" s="1019"/>
      <c r="C37" s="1015"/>
      <c r="D37" s="1015"/>
      <c r="E37" s="1022" t="str">
        <f>IF(SUM(HIDDEN!D88:F88)=0,"Pavement-Only Project based on Basic Project Data tab.","Not Pavement-Only Project based on Basic Project Data tab.")</f>
        <v>Pavement-Only Project based on Basic Project Data tab.</v>
      </c>
      <c r="F37" s="1015"/>
      <c r="G37" s="1015"/>
      <c r="H37" s="1015"/>
      <c r="I37" s="40"/>
      <c r="J37" s="1020"/>
      <c r="K37" s="1021"/>
    </row>
    <row r="38" spans="2:11">
      <c r="B38" s="1019"/>
      <c r="C38" s="1015"/>
      <c r="D38" s="1015"/>
      <c r="E38" s="1015" t="str">
        <f>IF(SUM(HIDDEN!D88:F88)=0,IF(Pavement!D10="Spot Survey Only","Spot Survey Only",""),"")</f>
        <v/>
      </c>
      <c r="F38" s="1015"/>
      <c r="G38" s="1015" t="str">
        <f>IF(E38="Spot Survey Only",0.5*G36,"")</f>
        <v/>
      </c>
      <c r="H38" s="1015"/>
      <c r="I38" s="40"/>
      <c r="J38" s="1020"/>
      <c r="K38" s="1021"/>
    </row>
    <row r="39" spans="2:11">
      <c r="B39" s="974"/>
      <c r="C39" s="1015"/>
      <c r="D39" s="1015"/>
      <c r="E39" s="1015"/>
      <c r="F39" s="1015"/>
      <c r="G39" s="1015"/>
      <c r="H39" s="1015"/>
      <c r="K39" s="977"/>
    </row>
    <row r="40" spans="2:11">
      <c r="B40" s="974"/>
      <c r="F40" s="1219" t="s">
        <v>3938</v>
      </c>
      <c r="G40" s="1219"/>
      <c r="H40" s="1219"/>
      <c r="I40" s="1023">
        <f>ROUND(SUM(J10:J39), -1)</f>
        <v>0</v>
      </c>
      <c r="J40" s="1005" t="s">
        <v>67</v>
      </c>
      <c r="K40" s="977"/>
    </row>
    <row r="41" spans="2:11" ht="15.75" thickBot="1">
      <c r="B41" s="1024"/>
      <c r="C41" s="1025"/>
      <c r="D41" s="1025"/>
      <c r="E41" s="1025"/>
      <c r="F41" s="1025"/>
      <c r="G41" s="1025"/>
      <c r="H41" s="1025"/>
      <c r="I41" s="1025"/>
      <c r="J41" s="1025"/>
      <c r="K41" s="1026"/>
    </row>
  </sheetData>
  <sheetProtection algorithmName="SHA-512" hashValue="Vjn43z7mdjpAEgk+fNTV+VtOY6U2LAkXfakm4McipvT1BMvklDkaLmSY4hzuIrHQQwNUbx4ZYqd0/OZx5P6R9Q==" saltValue="mBejJEYM86ny4+t/O79S4w==" spinCount="100000" sheet="1" objects="1" scenarios="1"/>
  <mergeCells count="7">
    <mergeCell ref="F40:H40"/>
    <mergeCell ref="I2:J2"/>
    <mergeCell ref="I3:J3"/>
    <mergeCell ref="I4:J4"/>
    <mergeCell ref="F9:G9"/>
    <mergeCell ref="B7:K7"/>
    <mergeCell ref="B8:K8"/>
  </mergeCells>
  <conditionalFormatting sqref="D2:D3">
    <cfRule type="expression" dxfId="37" priority="3">
      <formula>D2=""</formula>
    </cfRule>
  </conditionalFormatting>
  <conditionalFormatting sqref="F2:F3">
    <cfRule type="expression" dxfId="36" priority="1">
      <formula>F2=""</formula>
    </cfRule>
  </conditionalFormatting>
  <dataValidations count="1">
    <dataValidation type="list" allowBlank="1" showInputMessage="1" showErrorMessage="1" sqref="F32:I32" xr:uid="{75E34E0A-2F0B-4417-8975-2894738E381D}">
      <formula1>"1,2,3,4,5,6"</formula1>
    </dataValidation>
  </dataValidations>
  <pageMargins left="0.75" right="0.75" top="1" bottom="1" header="0.5" footer="0.5"/>
  <pageSetup scale="94" fitToHeight="0" orientation="portrait" r:id="rId1"/>
  <headerFooter alignWithMargins="0">
    <oddHeader>&amp;C&amp;"Arial,Bold Italic"&amp;20DRAFT - TOOL STILL IN PRODUCTION</oddHeader>
    <oddFooter>&amp;C&amp;"Futura Bk BT,Book"Page &amp;P</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0">
    <tabColor theme="0" tint="-0.249977111117893"/>
    <pageSetUpPr fitToPage="1"/>
  </sheetPr>
  <dimension ref="A1:V248"/>
  <sheetViews>
    <sheetView topLeftCell="A119" workbookViewId="0">
      <selection activeCell="A131" sqref="A131"/>
    </sheetView>
  </sheetViews>
  <sheetFormatPr defaultColWidth="9.140625" defaultRowHeight="15"/>
  <cols>
    <col min="1" max="1" width="11.140625" style="159" customWidth="1"/>
    <col min="2" max="2" width="1.7109375" style="161" customWidth="1"/>
    <col min="3" max="3" width="8.7109375" style="161" customWidth="1"/>
    <col min="4" max="5" width="11.28515625" style="161" customWidth="1"/>
    <col min="6" max="6" width="4.140625" style="161" customWidth="1"/>
    <col min="7" max="11" width="11.28515625" style="161" customWidth="1"/>
    <col min="12" max="12" width="1.7109375" style="161" customWidth="1"/>
    <col min="13" max="13" width="9.140625" style="159"/>
    <col min="14" max="14" width="12.42578125" style="159" bestFit="1" customWidth="1"/>
    <col min="15" max="16384" width="9.140625" style="159"/>
  </cols>
  <sheetData>
    <row r="1" spans="1:16" ht="15.75" thickBot="1"/>
    <row r="2" spans="1:16">
      <c r="B2" s="162"/>
      <c r="C2" s="163" t="s">
        <v>8</v>
      </c>
      <c r="D2" s="866"/>
      <c r="E2" s="163" t="s">
        <v>9</v>
      </c>
      <c r="F2" s="1233"/>
      <c r="G2" s="1233"/>
      <c r="H2" s="273"/>
      <c r="I2" s="149" t="s">
        <v>1613</v>
      </c>
      <c r="J2" s="1220">
        <f>BasicProjectData!$G$17</f>
        <v>0</v>
      </c>
      <c r="K2" s="1220"/>
      <c r="L2" s="164"/>
    </row>
    <row r="3" spans="1:16">
      <c r="B3" s="165"/>
      <c r="C3" s="166" t="s">
        <v>10</v>
      </c>
      <c r="D3" s="867"/>
      <c r="E3" s="166" t="s">
        <v>9</v>
      </c>
      <c r="F3" s="1234"/>
      <c r="G3" s="1234"/>
      <c r="H3" s="159"/>
      <c r="I3" s="150" t="s">
        <v>11</v>
      </c>
      <c r="J3" s="1222">
        <f>BasicProjectData!E7</f>
        <v>0</v>
      </c>
      <c r="K3" s="1222"/>
      <c r="L3" s="167"/>
    </row>
    <row r="4" spans="1:16" ht="15.75" thickBot="1">
      <c r="B4" s="168"/>
      <c r="C4" s="169"/>
      <c r="D4" s="170"/>
      <c r="E4" s="171"/>
      <c r="F4" s="172"/>
      <c r="G4" s="173"/>
      <c r="H4" s="171"/>
      <c r="I4" s="171"/>
      <c r="J4" s="174"/>
      <c r="K4" s="174"/>
      <c r="L4" s="175"/>
    </row>
    <row r="5" spans="1:16">
      <c r="A5" s="1218" t="s">
        <v>3954</v>
      </c>
      <c r="B5" s="176"/>
      <c r="C5" s="177"/>
      <c r="D5" s="177"/>
      <c r="E5" s="177"/>
      <c r="F5" s="177"/>
      <c r="G5" s="177"/>
      <c r="H5" s="177"/>
      <c r="I5" s="177"/>
      <c r="J5" s="177"/>
      <c r="K5" s="177"/>
      <c r="L5" s="176"/>
    </row>
    <row r="6" spans="1:16" ht="14.25" customHeight="1">
      <c r="A6" s="1218"/>
      <c r="B6" s="179"/>
      <c r="C6" s="1225" t="s">
        <v>1242</v>
      </c>
      <c r="D6" s="1225"/>
      <c r="E6" s="1225"/>
      <c r="F6" s="1225"/>
      <c r="G6" s="1225"/>
      <c r="H6" s="1225"/>
      <c r="I6" s="1225"/>
      <c r="J6" s="1225"/>
      <c r="K6" s="1225"/>
      <c r="L6" s="179"/>
    </row>
    <row r="7" spans="1:16" ht="14.25" customHeight="1">
      <c r="A7" s="1218"/>
      <c r="B7" s="180"/>
      <c r="C7" s="1225" t="s">
        <v>1218</v>
      </c>
      <c r="D7" s="1225"/>
      <c r="E7" s="1225"/>
      <c r="F7" s="1225"/>
      <c r="G7" s="1225"/>
      <c r="H7" s="1225"/>
      <c r="I7" s="1225"/>
      <c r="J7" s="1225"/>
      <c r="K7" s="1225"/>
      <c r="L7" s="180"/>
      <c r="P7" s="40"/>
    </row>
    <row r="8" spans="1:16" ht="14.25" customHeight="1">
      <c r="A8" s="1218"/>
      <c r="B8" s="180"/>
      <c r="C8" s="182"/>
      <c r="D8" s="182"/>
      <c r="E8" s="182"/>
      <c r="F8" s="182"/>
      <c r="G8" s="182"/>
      <c r="H8" s="182"/>
      <c r="I8" s="182"/>
      <c r="J8" s="182"/>
      <c r="K8" s="182"/>
      <c r="L8" s="180"/>
      <c r="P8" s="40"/>
    </row>
    <row r="9" spans="1:16">
      <c r="A9" s="1218"/>
      <c r="B9" s="180"/>
      <c r="C9" s="67" t="s">
        <v>693</v>
      </c>
      <c r="D9" s="274">
        <f>SUM(Roadway!G16:J16)</f>
        <v>0</v>
      </c>
      <c r="E9" s="182"/>
      <c r="F9" s="196" t="s">
        <v>1831</v>
      </c>
      <c r="G9" s="182"/>
      <c r="H9" s="182"/>
      <c r="I9" s="182"/>
      <c r="J9" s="182"/>
      <c r="K9" s="180"/>
      <c r="L9" s="180"/>
      <c r="M9" s="1244" t="s">
        <v>3923</v>
      </c>
      <c r="P9" s="40"/>
    </row>
    <row r="10" spans="1:16" ht="15" customHeight="1">
      <c r="B10" s="180"/>
      <c r="C10" s="67"/>
      <c r="D10" s="38"/>
      <c r="E10" s="182"/>
      <c r="F10" s="182"/>
      <c r="G10" s="182"/>
      <c r="H10" s="182"/>
      <c r="I10" s="182"/>
      <c r="J10" s="182"/>
      <c r="K10" s="180"/>
      <c r="L10" s="180"/>
      <c r="M10" s="1245"/>
      <c r="P10" s="40"/>
    </row>
    <row r="11" spans="1:16" ht="14.25" customHeight="1">
      <c r="A11" s="868" t="str">
        <f ca="1">IFERROR(HYPERLINK("#"&amp;"ProjectEstimate!A"&amp;(8+MATCH($C11,ProjectEstimate!$A$9:$A$145,0)),CONCATENATE("Go to ",$C11))," ")</f>
        <v xml:space="preserve"> </v>
      </c>
      <c r="B11" s="183"/>
      <c r="C11" s="270">
        <v>120.1</v>
      </c>
      <c r="D11" s="1227" t="s">
        <v>19</v>
      </c>
      <c r="E11" s="1227"/>
      <c r="F11" s="1227"/>
      <c r="G11" s="181"/>
      <c r="H11" s="152">
        <f>ROUNDUP(E30,-1)</f>
        <v>0</v>
      </c>
      <c r="I11" s="153" t="s">
        <v>4</v>
      </c>
      <c r="J11" s="154">
        <f ca="1">IF(ISBLANK(M11),_xlfn.XLOOKUP(C11,Output[Item '#],Output[Unit Price (Max or Override)]),M11)</f>
        <v>63</v>
      </c>
      <c r="K11" s="199">
        <f ca="1">ROUND(H11*J11, -1)</f>
        <v>0</v>
      </c>
      <c r="L11" s="183"/>
      <c r="M11" s="869"/>
      <c r="P11" s="40"/>
    </row>
    <row r="12" spans="1:16" ht="14.25" customHeight="1">
      <c r="B12" s="183"/>
      <c r="C12" s="270"/>
      <c r="D12" s="157"/>
      <c r="E12" s="157"/>
      <c r="F12" s="157"/>
      <c r="G12" s="181"/>
      <c r="H12" s="152"/>
      <c r="I12" s="153"/>
      <c r="J12" s="154"/>
      <c r="K12" s="199"/>
      <c r="L12" s="183"/>
      <c r="M12" s="662"/>
      <c r="P12" s="40"/>
    </row>
    <row r="13" spans="1:16" ht="15" customHeight="1">
      <c r="B13" s="183"/>
      <c r="C13" s="157"/>
      <c r="D13" s="157"/>
      <c r="E13" s="528" t="s">
        <v>1219</v>
      </c>
      <c r="F13" s="275"/>
      <c r="G13" s="276" t="s">
        <v>1220</v>
      </c>
      <c r="H13" s="276" t="s">
        <v>1221</v>
      </c>
      <c r="I13" s="277"/>
      <c r="J13" s="183"/>
      <c r="K13" s="199"/>
      <c r="L13" s="183"/>
      <c r="M13" s="662"/>
      <c r="P13" s="40"/>
    </row>
    <row r="14" spans="1:16" ht="15" customHeight="1">
      <c r="B14" s="183"/>
      <c r="C14" s="226"/>
      <c r="D14" s="229" t="s">
        <v>1222</v>
      </c>
      <c r="E14" s="227">
        <f t="shared" ref="E14:E29" si="0">(G14*H14)/I14</f>
        <v>0</v>
      </c>
      <c r="F14" s="202" t="s">
        <v>66</v>
      </c>
      <c r="G14" s="279">
        <f>SUM(AREA!I13:L15)</f>
        <v>0</v>
      </c>
      <c r="H14" s="870">
        <f>(1.75+1.75+4+4+8)/12</f>
        <v>1.625</v>
      </c>
      <c r="I14" s="255">
        <v>3</v>
      </c>
      <c r="J14" s="196" t="s">
        <v>3663</v>
      </c>
      <c r="K14" s="280"/>
      <c r="L14" s="183"/>
      <c r="M14" s="662"/>
      <c r="P14" s="40"/>
    </row>
    <row r="15" spans="1:16" ht="15" customHeight="1">
      <c r="B15" s="183"/>
      <c r="C15" s="226"/>
      <c r="D15" s="229" t="s">
        <v>1223</v>
      </c>
      <c r="E15" s="227">
        <f t="shared" si="0"/>
        <v>0</v>
      </c>
      <c r="F15" s="202" t="s">
        <v>66</v>
      </c>
      <c r="G15" s="279">
        <f>SUM(AREA!I20:L20)</f>
        <v>0</v>
      </c>
      <c r="H15" s="870">
        <f>(1.75+1.75+6+8)/12</f>
        <v>1.4583333333333333</v>
      </c>
      <c r="I15" s="255">
        <v>3</v>
      </c>
      <c r="J15" s="196" t="s">
        <v>3664</v>
      </c>
      <c r="K15" s="280"/>
      <c r="L15" s="183"/>
      <c r="M15" s="662"/>
    </row>
    <row r="16" spans="1:16" ht="15" customHeight="1">
      <c r="B16" s="183"/>
      <c r="C16" s="226"/>
      <c r="D16" s="229" t="s">
        <v>3797</v>
      </c>
      <c r="E16" s="227">
        <f t="shared" si="0"/>
        <v>0</v>
      </c>
      <c r="F16" s="202" t="s">
        <v>66</v>
      </c>
      <c r="G16" s="279">
        <f>SUM(AREA!I$22:L$25)</f>
        <v>0</v>
      </c>
      <c r="H16" s="870">
        <v>1</v>
      </c>
      <c r="I16" s="255">
        <v>3</v>
      </c>
      <c r="J16" s="196" t="s">
        <v>3814</v>
      </c>
      <c r="K16" s="280"/>
      <c r="L16" s="183"/>
      <c r="M16" s="662"/>
    </row>
    <row r="17" spans="1:13" ht="15" customHeight="1">
      <c r="B17" s="183"/>
      <c r="C17" s="226"/>
      <c r="D17" s="229" t="s">
        <v>3707</v>
      </c>
      <c r="E17" s="227">
        <f t="shared" si="0"/>
        <v>0</v>
      </c>
      <c r="F17" s="202" t="s">
        <v>66</v>
      </c>
      <c r="G17" s="279">
        <f>SUM(AREA!$I$27:$L$27)</f>
        <v>0</v>
      </c>
      <c r="H17" s="870">
        <v>1</v>
      </c>
      <c r="I17" s="255">
        <v>3</v>
      </c>
      <c r="J17" s="196"/>
      <c r="K17" s="280"/>
      <c r="L17" s="183"/>
      <c r="M17" s="662"/>
    </row>
    <row r="18" spans="1:13" ht="15" customHeight="1">
      <c r="B18" s="183"/>
      <c r="C18" s="226"/>
      <c r="D18" s="229" t="s">
        <v>3789</v>
      </c>
      <c r="E18" s="227">
        <f t="shared" si="0"/>
        <v>0</v>
      </c>
      <c r="F18" s="202" t="s">
        <v>66</v>
      </c>
      <c r="G18" s="279">
        <f>SUM(AREA!$I$29:$L$29)</f>
        <v>0</v>
      </c>
      <c r="H18" s="870">
        <v>1</v>
      </c>
      <c r="I18" s="255">
        <v>3</v>
      </c>
      <c r="J18" s="196"/>
      <c r="K18" s="280"/>
      <c r="L18" s="183"/>
      <c r="M18" s="662"/>
    </row>
    <row r="19" spans="1:13" ht="15" customHeight="1">
      <c r="B19" s="183"/>
      <c r="C19" s="226"/>
      <c r="D19" s="229" t="s">
        <v>1653</v>
      </c>
      <c r="E19" s="227">
        <f t="shared" si="0"/>
        <v>0</v>
      </c>
      <c r="F19" s="202" t="s">
        <v>66</v>
      </c>
      <c r="G19" s="279">
        <f>SUM(AREA!I32:L35)</f>
        <v>0</v>
      </c>
      <c r="H19" s="870">
        <v>1</v>
      </c>
      <c r="I19" s="255">
        <v>3</v>
      </c>
      <c r="J19" s="196" t="s">
        <v>3815</v>
      </c>
      <c r="K19" s="280"/>
      <c r="L19" s="183"/>
      <c r="M19" s="662"/>
    </row>
    <row r="20" spans="1:13" ht="15" customHeight="1">
      <c r="B20" s="183"/>
      <c r="C20" s="226"/>
      <c r="D20" s="229" t="s">
        <v>3816</v>
      </c>
      <c r="E20" s="227">
        <f t="shared" si="0"/>
        <v>0</v>
      </c>
      <c r="F20" s="202" t="s">
        <v>66</v>
      </c>
      <c r="G20" s="279">
        <f>SUM(AREA!I41:L41)+SUM(AREA!I46:L46)+SUM(AREA!I51:L51)</f>
        <v>0</v>
      </c>
      <c r="H20" s="870">
        <v>1</v>
      </c>
      <c r="I20" s="255">
        <v>3</v>
      </c>
      <c r="J20" s="196" t="s">
        <v>3820</v>
      </c>
      <c r="K20" s="280"/>
      <c r="L20" s="183"/>
      <c r="M20" s="662"/>
    </row>
    <row r="21" spans="1:13" ht="15" customHeight="1">
      <c r="B21" s="183"/>
      <c r="C21" s="226"/>
      <c r="D21" s="229" t="s">
        <v>3817</v>
      </c>
      <c r="E21" s="227">
        <f t="shared" si="0"/>
        <v>0</v>
      </c>
      <c r="F21" s="202" t="s">
        <v>66</v>
      </c>
      <c r="G21" s="279">
        <f>SUM(AREA!I42:L42)+SUM(AREA!I47:L47)+SUM(AREA!I52:L52)</f>
        <v>0</v>
      </c>
      <c r="H21" s="870">
        <v>1</v>
      </c>
      <c r="I21" s="255">
        <v>3</v>
      </c>
      <c r="J21" s="196" t="s">
        <v>3820</v>
      </c>
      <c r="K21" s="280"/>
      <c r="L21" s="183"/>
      <c r="M21" s="662"/>
    </row>
    <row r="22" spans="1:13" ht="15" customHeight="1">
      <c r="B22" s="183"/>
      <c r="C22" s="226"/>
      <c r="D22" s="229" t="s">
        <v>3818</v>
      </c>
      <c r="E22" s="227">
        <f t="shared" si="0"/>
        <v>0</v>
      </c>
      <c r="F22" s="202" t="s">
        <v>66</v>
      </c>
      <c r="G22" s="279">
        <f>SUM(AREA!I43:L43)+SUM(AREA!I48:L48)+SUM(AREA!I53:L53)</f>
        <v>0</v>
      </c>
      <c r="H22" s="870">
        <f>8/12</f>
        <v>0.66666666666666663</v>
      </c>
      <c r="I22" s="255">
        <v>3</v>
      </c>
      <c r="J22" s="196" t="s">
        <v>3820</v>
      </c>
      <c r="K22" s="280"/>
      <c r="L22" s="183"/>
      <c r="M22" s="662"/>
    </row>
    <row r="23" spans="1:13" ht="15" customHeight="1">
      <c r="B23" s="183"/>
      <c r="C23" s="226"/>
      <c r="D23" s="229" t="s">
        <v>3819</v>
      </c>
      <c r="E23" s="227">
        <f t="shared" si="0"/>
        <v>0</v>
      </c>
      <c r="F23" s="202" t="s">
        <v>66</v>
      </c>
      <c r="G23" s="279">
        <f>SUM(AREA!I44:L44)+SUM(AREA!I49:L49)+SUM(AREA!I54:L54)</f>
        <v>0</v>
      </c>
      <c r="H23" s="870">
        <v>1</v>
      </c>
      <c r="I23" s="255">
        <v>3</v>
      </c>
      <c r="J23" s="196" t="s">
        <v>3820</v>
      </c>
      <c r="K23" s="280"/>
      <c r="L23" s="183"/>
      <c r="M23" s="662"/>
    </row>
    <row r="24" spans="1:13" ht="15" customHeight="1">
      <c r="B24" s="183"/>
      <c r="C24" s="226"/>
      <c r="D24" s="229" t="s">
        <v>1226</v>
      </c>
      <c r="E24" s="227">
        <f t="shared" si="0"/>
        <v>0</v>
      </c>
      <c r="F24" s="202" t="s">
        <v>66</v>
      </c>
      <c r="G24" s="279">
        <f>SUM(AREA!I56:L56)</f>
        <v>0</v>
      </c>
      <c r="H24" s="870">
        <v>1</v>
      </c>
      <c r="I24" s="255">
        <v>3</v>
      </c>
      <c r="J24" s="196"/>
      <c r="K24" s="280"/>
      <c r="L24" s="183"/>
      <c r="M24" s="662"/>
    </row>
    <row r="25" spans="1:13" ht="15" customHeight="1">
      <c r="B25" s="183"/>
      <c r="C25" s="226"/>
      <c r="D25" s="229" t="s">
        <v>1629</v>
      </c>
      <c r="E25" s="227">
        <f t="shared" si="0"/>
        <v>0</v>
      </c>
      <c r="F25" s="202" t="s">
        <v>66</v>
      </c>
      <c r="G25" s="279">
        <f>H191</f>
        <v>0</v>
      </c>
      <c r="H25" s="870">
        <v>1</v>
      </c>
      <c r="I25" s="255">
        <v>3</v>
      </c>
      <c r="J25" s="196"/>
      <c r="K25" s="280"/>
      <c r="L25" s="183"/>
      <c r="M25" s="662"/>
    </row>
    <row r="26" spans="1:13" ht="14.25" customHeight="1">
      <c r="B26" s="183"/>
      <c r="C26" s="226"/>
      <c r="D26" s="229" t="s">
        <v>1225</v>
      </c>
      <c r="E26" s="227">
        <f t="shared" si="0"/>
        <v>0</v>
      </c>
      <c r="F26" s="202" t="s">
        <v>66</v>
      </c>
      <c r="G26" s="279">
        <f>D218</f>
        <v>0</v>
      </c>
      <c r="H26" s="870">
        <v>1</v>
      </c>
      <c r="I26" s="255">
        <v>3</v>
      </c>
      <c r="J26" s="196"/>
      <c r="K26" s="280"/>
      <c r="L26" s="183"/>
      <c r="M26" s="667"/>
    </row>
    <row r="27" spans="1:13" ht="15" customHeight="1">
      <c r="B27" s="183"/>
      <c r="C27" s="226"/>
      <c r="D27" s="229" t="s">
        <v>3713</v>
      </c>
      <c r="E27" s="227">
        <f t="shared" si="0"/>
        <v>0</v>
      </c>
      <c r="F27" s="202" t="s">
        <v>66</v>
      </c>
      <c r="G27" s="279">
        <f>SUMIFS(Roadway!G39:H39,Roadway!H40:I40,HIDDEN!B32)*2/9</f>
        <v>0</v>
      </c>
      <c r="H27" s="870">
        <v>4</v>
      </c>
      <c r="I27" s="255">
        <v>3</v>
      </c>
      <c r="J27" s="196" t="s">
        <v>3714</v>
      </c>
      <c r="K27" s="280"/>
      <c r="L27" s="183"/>
      <c r="M27" s="662"/>
    </row>
    <row r="28" spans="1:13" ht="15" customHeight="1">
      <c r="B28" s="183"/>
      <c r="C28" s="226"/>
      <c r="D28" s="229" t="s">
        <v>3712</v>
      </c>
      <c r="E28" s="227">
        <f t="shared" si="0"/>
        <v>0</v>
      </c>
      <c r="F28" s="202" t="s">
        <v>66</v>
      </c>
      <c r="G28" s="279">
        <f>IF(Roadway!F45=HIDDEN!B32,Roadway!F44,0)*2/9</f>
        <v>0</v>
      </c>
      <c r="H28" s="870">
        <v>4</v>
      </c>
      <c r="I28" s="255">
        <v>3</v>
      </c>
      <c r="J28" s="196" t="s">
        <v>3711</v>
      </c>
      <c r="K28" s="280"/>
      <c r="L28" s="183"/>
      <c r="M28" s="662"/>
    </row>
    <row r="29" spans="1:13" ht="15" customHeight="1" thickBot="1">
      <c r="B29" s="183"/>
      <c r="C29" s="281"/>
      <c r="D29" s="282" t="s">
        <v>1869</v>
      </c>
      <c r="E29" s="227">
        <f t="shared" si="0"/>
        <v>0</v>
      </c>
      <c r="F29" s="202" t="s">
        <v>66</v>
      </c>
      <c r="G29" s="279">
        <f>SUM(AREA!$I$17:$L$17)</f>
        <v>0</v>
      </c>
      <c r="H29" s="870">
        <f>(1.75+1.75+4+4+8)/12</f>
        <v>1.625</v>
      </c>
      <c r="I29" s="255">
        <v>3</v>
      </c>
      <c r="J29" s="196" t="s">
        <v>3665</v>
      </c>
      <c r="K29" s="280"/>
      <c r="L29" s="183"/>
      <c r="M29" s="662"/>
    </row>
    <row r="30" spans="1:13" ht="15" customHeight="1" thickBot="1">
      <c r="B30" s="183"/>
      <c r="C30" s="283"/>
      <c r="D30" s="186" t="s">
        <v>826</v>
      </c>
      <c r="E30" s="284">
        <f>SUM(E14:E29)</f>
        <v>0</v>
      </c>
      <c r="F30" s="183"/>
      <c r="G30" s="183"/>
      <c r="H30" s="183"/>
      <c r="I30" s="183"/>
      <c r="J30" s="183"/>
      <c r="K30" s="280"/>
      <c r="L30" s="183"/>
      <c r="M30" s="662"/>
    </row>
    <row r="31" spans="1:13" ht="14.25" customHeight="1">
      <c r="B31" s="183"/>
      <c r="C31" s="183"/>
      <c r="D31" s="226"/>
      <c r="E31" s="226"/>
      <c r="F31" s="226"/>
      <c r="G31" s="285"/>
      <c r="H31" s="285"/>
      <c r="I31" s="285"/>
      <c r="J31" s="228"/>
      <c r="K31" s="286"/>
      <c r="L31" s="183"/>
      <c r="M31" s="662"/>
    </row>
    <row r="32" spans="1:13" ht="14.25" customHeight="1">
      <c r="A32" s="868" t="str">
        <f ca="1">IFERROR(HYPERLINK("#"&amp;"ProjectEstimate!A"&amp;(8+MATCH($C32,ProjectEstimate!$A$9:$A$145,0)),CONCATENATE("Go to ",$C32))," ")</f>
        <v xml:space="preserve"> </v>
      </c>
      <c r="B32" s="183"/>
      <c r="C32" s="157">
        <v>151</v>
      </c>
      <c r="D32" s="1227" t="s">
        <v>5</v>
      </c>
      <c r="E32" s="1227"/>
      <c r="F32" s="1227"/>
      <c r="G32" s="1227"/>
      <c r="H32" s="152">
        <f>ROUNDUP(E52,-1)</f>
        <v>0</v>
      </c>
      <c r="I32" s="153" t="s">
        <v>4</v>
      </c>
      <c r="J32" s="154">
        <f ca="1">IF(ISBLANK(M32),_xlfn.XLOOKUP(C32,Output[Item '#],Output[Unit Price (Max or Override)]),M32)</f>
        <v>59</v>
      </c>
      <c r="K32" s="199">
        <f ca="1">ROUND(H32*J32, -1)</f>
        <v>0</v>
      </c>
      <c r="L32" s="183"/>
      <c r="M32" s="869"/>
    </row>
    <row r="33" spans="2:13" ht="14.25" customHeight="1">
      <c r="B33" s="183"/>
      <c r="C33" s="157"/>
      <c r="D33" s="157"/>
      <c r="E33" s="157"/>
      <c r="F33" s="157"/>
      <c r="G33" s="157"/>
      <c r="H33" s="152"/>
      <c r="I33" s="153"/>
      <c r="J33" s="154"/>
      <c r="K33" s="199"/>
      <c r="L33" s="183"/>
      <c r="M33" s="662"/>
    </row>
    <row r="34" spans="2:13" ht="14.25" customHeight="1">
      <c r="B34" s="183"/>
      <c r="C34" s="157"/>
      <c r="D34" s="183"/>
      <c r="E34" s="528" t="s">
        <v>1219</v>
      </c>
      <c r="F34" s="275"/>
      <c r="G34" s="276" t="s">
        <v>1220</v>
      </c>
      <c r="H34" s="276" t="s">
        <v>1221</v>
      </c>
      <c r="I34" s="255"/>
      <c r="J34" s="183"/>
      <c r="K34" s="199"/>
      <c r="L34" s="183"/>
      <c r="M34" s="662"/>
    </row>
    <row r="35" spans="2:13" ht="14.25" customHeight="1">
      <c r="B35" s="183"/>
      <c r="C35" s="157"/>
      <c r="D35" s="229" t="s">
        <v>1222</v>
      </c>
      <c r="E35" s="227">
        <f>(G35*H35)/I35</f>
        <v>0</v>
      </c>
      <c r="F35" s="202" t="s">
        <v>66</v>
      </c>
      <c r="G35" s="279">
        <f>$G$14</f>
        <v>0</v>
      </c>
      <c r="H35" s="870">
        <f t="shared" ref="H35:H47" si="1">8/12</f>
        <v>0.66666666666666663</v>
      </c>
      <c r="I35" s="255">
        <v>3</v>
      </c>
      <c r="J35" s="183"/>
      <c r="K35" s="280"/>
      <c r="L35" s="183"/>
      <c r="M35" s="662"/>
    </row>
    <row r="36" spans="2:13" ht="14.25" customHeight="1">
      <c r="B36" s="183"/>
      <c r="C36" s="157"/>
      <c r="D36" s="229" t="s">
        <v>1223</v>
      </c>
      <c r="E36" s="227">
        <f>(G36*H36)/I36</f>
        <v>0</v>
      </c>
      <c r="F36" s="202" t="s">
        <v>66</v>
      </c>
      <c r="G36" s="279">
        <f>$G$15</f>
        <v>0</v>
      </c>
      <c r="H36" s="870">
        <f t="shared" si="1"/>
        <v>0.66666666666666663</v>
      </c>
      <c r="I36" s="255">
        <v>3</v>
      </c>
      <c r="J36" s="183"/>
      <c r="K36" s="280"/>
      <c r="L36" s="183"/>
      <c r="M36" s="662"/>
    </row>
    <row r="37" spans="2:13" ht="14.25" customHeight="1">
      <c r="B37" s="183"/>
      <c r="C37" s="157"/>
      <c r="D37" s="229" t="s">
        <v>3821</v>
      </c>
      <c r="E37" s="227">
        <f t="shared" ref="E37:E43" si="2">(G37*H37)/I37</f>
        <v>0</v>
      </c>
      <c r="F37" s="202" t="s">
        <v>66</v>
      </c>
      <c r="G37" s="279">
        <f>SUM(AREA!I22:L24)</f>
        <v>0</v>
      </c>
      <c r="H37" s="870">
        <v>0.5</v>
      </c>
      <c r="I37" s="255">
        <v>3</v>
      </c>
      <c r="J37" s="531" t="s">
        <v>3798</v>
      </c>
      <c r="K37" s="280"/>
      <c r="L37" s="183"/>
      <c r="M37" s="662"/>
    </row>
    <row r="38" spans="2:13" ht="15" customHeight="1">
      <c r="B38" s="183"/>
      <c r="C38" s="226"/>
      <c r="D38" s="229" t="s">
        <v>3707</v>
      </c>
      <c r="E38" s="227">
        <f t="shared" si="2"/>
        <v>0</v>
      </c>
      <c r="F38" s="202" t="s">
        <v>66</v>
      </c>
      <c r="G38" s="279">
        <f>SUM(AREA!$I$27:$L$27)</f>
        <v>0</v>
      </c>
      <c r="H38" s="870">
        <f>8/12</f>
        <v>0.66666666666666663</v>
      </c>
      <c r="I38" s="255">
        <v>3</v>
      </c>
      <c r="J38" s="196"/>
      <c r="K38" s="280"/>
      <c r="L38" s="183"/>
      <c r="M38" s="662"/>
    </row>
    <row r="39" spans="2:13" ht="15" customHeight="1">
      <c r="B39" s="183"/>
      <c r="C39" s="226"/>
      <c r="D39" s="229" t="s">
        <v>3789</v>
      </c>
      <c r="E39" s="227">
        <f t="shared" si="2"/>
        <v>0</v>
      </c>
      <c r="F39" s="202" t="s">
        <v>66</v>
      </c>
      <c r="G39" s="279">
        <f>SUM(AREA!$I$29:$L$29)</f>
        <v>0</v>
      </c>
      <c r="H39" s="870">
        <f>8/12</f>
        <v>0.66666666666666663</v>
      </c>
      <c r="I39" s="255">
        <v>3</v>
      </c>
      <c r="J39" s="196"/>
      <c r="K39" s="280"/>
      <c r="L39" s="183"/>
      <c r="M39" s="662"/>
    </row>
    <row r="40" spans="2:13" ht="15" customHeight="1">
      <c r="B40" s="183"/>
      <c r="C40" s="226"/>
      <c r="D40" s="229" t="s">
        <v>3800</v>
      </c>
      <c r="E40" s="227">
        <f t="shared" si="2"/>
        <v>0</v>
      </c>
      <c r="F40" s="202" t="s">
        <v>66</v>
      </c>
      <c r="G40" s="279">
        <f>SUM(AREA!I33:L35)</f>
        <v>0</v>
      </c>
      <c r="H40" s="870">
        <v>0.5</v>
      </c>
      <c r="I40" s="255">
        <v>3</v>
      </c>
      <c r="J40" s="196" t="s">
        <v>3799</v>
      </c>
      <c r="K40" s="280"/>
      <c r="L40" s="183"/>
      <c r="M40" s="662"/>
    </row>
    <row r="41" spans="2:13" ht="24.2" customHeight="1">
      <c r="B41" s="183"/>
      <c r="C41" s="157"/>
      <c r="D41" s="229" t="s">
        <v>3816</v>
      </c>
      <c r="E41" s="227">
        <f t="shared" si="2"/>
        <v>0</v>
      </c>
      <c r="F41" s="202" t="s">
        <v>66</v>
      </c>
      <c r="G41" s="279">
        <f>SUM(AREA!I41:L41)+SUM(AREA!I46:L46)+SUM(AREA!I51:L51)</f>
        <v>0</v>
      </c>
      <c r="H41" s="870">
        <f t="shared" si="1"/>
        <v>0.66666666666666663</v>
      </c>
      <c r="I41" s="255">
        <v>3</v>
      </c>
      <c r="J41" s="183"/>
      <c r="K41" s="280"/>
      <c r="L41" s="183"/>
      <c r="M41" s="662"/>
    </row>
    <row r="42" spans="2:13" ht="14.25" customHeight="1">
      <c r="B42" s="183"/>
      <c r="C42" s="157"/>
      <c r="D42" s="229" t="s">
        <v>3817</v>
      </c>
      <c r="E42" s="227">
        <f t="shared" si="2"/>
        <v>0</v>
      </c>
      <c r="F42" s="202" t="s">
        <v>66</v>
      </c>
      <c r="G42" s="279">
        <f>SUM(AREA!I42:L42)+SUM(AREA!I47:L47)+SUM(AREA!I52:L52)</f>
        <v>0</v>
      </c>
      <c r="H42" s="870">
        <f t="shared" si="1"/>
        <v>0.66666666666666663</v>
      </c>
      <c r="I42" s="255">
        <v>3</v>
      </c>
      <c r="J42" s="183"/>
      <c r="K42" s="280"/>
      <c r="L42" s="183"/>
      <c r="M42" s="662"/>
    </row>
    <row r="43" spans="2:13" ht="15" customHeight="1">
      <c r="B43" s="183"/>
      <c r="C43" s="226"/>
      <c r="D43" s="229" t="s">
        <v>3818</v>
      </c>
      <c r="E43" s="227">
        <f t="shared" si="2"/>
        <v>0</v>
      </c>
      <c r="F43" s="202" t="s">
        <v>66</v>
      </c>
      <c r="G43" s="279">
        <f>SUM(AREA!I43:L43)+SUM(AREA!I48:L48)+SUM(AREA!I53:L53)</f>
        <v>0</v>
      </c>
      <c r="H43" s="870">
        <f>8/12</f>
        <v>0.66666666666666663</v>
      </c>
      <c r="I43" s="255">
        <v>3</v>
      </c>
      <c r="J43" s="196"/>
      <c r="K43" s="280"/>
      <c r="L43" s="183"/>
      <c r="M43" s="662"/>
    </row>
    <row r="44" spans="2:13" ht="14.25" customHeight="1">
      <c r="B44" s="183"/>
      <c r="C44" s="157"/>
      <c r="D44" s="229" t="s">
        <v>3819</v>
      </c>
      <c r="E44" s="227">
        <f t="shared" ref="E44:E49" si="3">(G44*H44)/I44</f>
        <v>0</v>
      </c>
      <c r="F44" s="202" t="s">
        <v>66</v>
      </c>
      <c r="G44" s="279">
        <f>SUM(AREA!I44:L44)+SUM(AREA!I49:L49)+SUM(AREA!I54:L54)</f>
        <v>0</v>
      </c>
      <c r="H44" s="870">
        <f t="shared" si="1"/>
        <v>0.66666666666666663</v>
      </c>
      <c r="I44" s="255">
        <v>3</v>
      </c>
      <c r="J44" s="183"/>
      <c r="K44" s="280"/>
      <c r="L44" s="183"/>
      <c r="M44" s="662"/>
    </row>
    <row r="45" spans="2:13" ht="14.25" customHeight="1">
      <c r="B45" s="183"/>
      <c r="C45" s="157"/>
      <c r="D45" s="229" t="s">
        <v>1226</v>
      </c>
      <c r="E45" s="227">
        <f t="shared" si="3"/>
        <v>0</v>
      </c>
      <c r="F45" s="202" t="s">
        <v>66</v>
      </c>
      <c r="G45" s="279">
        <f>G24</f>
        <v>0</v>
      </c>
      <c r="H45" s="870">
        <f>8/12</f>
        <v>0.66666666666666663</v>
      </c>
      <c r="I45" s="255">
        <v>3</v>
      </c>
      <c r="J45" s="183"/>
      <c r="K45" s="280"/>
      <c r="L45" s="183"/>
      <c r="M45" s="662"/>
    </row>
    <row r="46" spans="2:13" ht="15" customHeight="1">
      <c r="B46" s="183"/>
      <c r="C46" s="226"/>
      <c r="D46" s="229" t="s">
        <v>1629</v>
      </c>
      <c r="E46" s="227">
        <f t="shared" si="3"/>
        <v>0</v>
      </c>
      <c r="F46" s="202" t="s">
        <v>66</v>
      </c>
      <c r="G46" s="279">
        <f>$G$25</f>
        <v>0</v>
      </c>
      <c r="H46" s="870">
        <f t="shared" si="1"/>
        <v>0.66666666666666663</v>
      </c>
      <c r="I46" s="255">
        <v>3</v>
      </c>
      <c r="J46" s="196"/>
      <c r="K46" s="280"/>
      <c r="L46" s="183"/>
      <c r="M46" s="662"/>
    </row>
    <row r="47" spans="2:13" ht="14.25" customHeight="1">
      <c r="B47" s="183"/>
      <c r="C47" s="157"/>
      <c r="D47" s="229" t="s">
        <v>1225</v>
      </c>
      <c r="E47" s="227">
        <f t="shared" si="3"/>
        <v>0</v>
      </c>
      <c r="F47" s="202" t="s">
        <v>66</v>
      </c>
      <c r="G47" s="279">
        <f>$G$26</f>
        <v>0</v>
      </c>
      <c r="H47" s="870">
        <f t="shared" si="1"/>
        <v>0.66666666666666663</v>
      </c>
      <c r="I47" s="255">
        <v>3</v>
      </c>
      <c r="J47" s="183"/>
      <c r="K47" s="280"/>
      <c r="L47" s="183"/>
      <c r="M47" s="662"/>
    </row>
    <row r="48" spans="2:13" ht="14.25" customHeight="1">
      <c r="B48" s="183"/>
      <c r="C48" s="157"/>
      <c r="D48" s="229" t="s">
        <v>1869</v>
      </c>
      <c r="E48" s="227">
        <f t="shared" si="3"/>
        <v>0</v>
      </c>
      <c r="F48" s="202" t="s">
        <v>66</v>
      </c>
      <c r="G48" s="279">
        <f>SUM(AREA!$I$17:$L$17)</f>
        <v>0</v>
      </c>
      <c r="H48" s="870">
        <f>8/12</f>
        <v>0.66666666666666663</v>
      </c>
      <c r="I48" s="255">
        <v>3</v>
      </c>
      <c r="J48" s="196" t="s">
        <v>3665</v>
      </c>
      <c r="K48" s="280"/>
      <c r="L48" s="183"/>
      <c r="M48" s="662"/>
    </row>
    <row r="49" spans="1:17" ht="15" customHeight="1">
      <c r="B49" s="183"/>
      <c r="C49" s="281"/>
      <c r="D49" s="282" t="s">
        <v>3662</v>
      </c>
      <c r="E49" s="227">
        <f t="shared" si="3"/>
        <v>0</v>
      </c>
      <c r="F49" s="202" t="s">
        <v>66</v>
      </c>
      <c r="G49" s="279">
        <f>E164</f>
        <v>0</v>
      </c>
      <c r="H49" s="870">
        <v>0.5</v>
      </c>
      <c r="I49" s="255">
        <v>3</v>
      </c>
      <c r="J49" s="183" t="str">
        <f>"| assume "&amp;H163&amp;"' diameter"</f>
        <v>| assume 45' diameter</v>
      </c>
      <c r="K49" s="280"/>
      <c r="L49" s="183"/>
      <c r="M49" s="662"/>
    </row>
    <row r="50" spans="1:17" ht="24.2" customHeight="1">
      <c r="B50" s="183"/>
      <c r="C50" s="283"/>
      <c r="D50" s="186" t="s">
        <v>691</v>
      </c>
      <c r="E50" s="287">
        <f>SUM(E35:E49)</f>
        <v>0</v>
      </c>
      <c r="F50" s="157"/>
      <c r="G50" s="157"/>
      <c r="H50" s="1061"/>
      <c r="I50" s="1061"/>
      <c r="J50" s="183"/>
      <c r="K50" s="280"/>
      <c r="L50" s="183"/>
      <c r="M50" s="662"/>
    </row>
    <row r="51" spans="1:17" ht="14.25" customHeight="1" thickBot="1">
      <c r="B51" s="183"/>
      <c r="C51" s="283"/>
      <c r="D51" s="186"/>
      <c r="E51" s="288"/>
      <c r="F51" s="157"/>
      <c r="G51" s="157"/>
      <c r="H51" s="740"/>
      <c r="I51" s="740"/>
      <c r="J51" s="183"/>
      <c r="K51" s="280"/>
      <c r="L51" s="183"/>
      <c r="M51" s="662"/>
    </row>
    <row r="52" spans="1:17" ht="14.25" customHeight="1" thickBot="1">
      <c r="B52" s="183"/>
      <c r="C52" s="740"/>
      <c r="D52" s="289" t="s">
        <v>826</v>
      </c>
      <c r="E52" s="284">
        <f>G52*H52</f>
        <v>0</v>
      </c>
      <c r="F52" s="290" t="s">
        <v>66</v>
      </c>
      <c r="G52" s="291">
        <f>E50</f>
        <v>0</v>
      </c>
      <c r="H52" s="292">
        <v>1.25</v>
      </c>
      <c r="I52" s="183"/>
      <c r="J52" s="196" t="s">
        <v>3666</v>
      </c>
      <c r="K52" s="286"/>
      <c r="L52" s="183"/>
      <c r="M52" s="662"/>
    </row>
    <row r="53" spans="1:17" ht="14.25" customHeight="1">
      <c r="B53" s="183"/>
      <c r="C53" s="157"/>
      <c r="D53" s="157"/>
      <c r="E53" s="157"/>
      <c r="F53" s="157"/>
      <c r="G53" s="157"/>
      <c r="H53" s="152"/>
      <c r="I53" s="153"/>
      <c r="J53" s="154"/>
      <c r="K53" s="199"/>
      <c r="L53" s="183"/>
      <c r="M53" s="662"/>
    </row>
    <row r="54" spans="1:17" ht="14.25" customHeight="1">
      <c r="A54" s="868" t="str">
        <f ca="1">IFERROR(HYPERLINK("#"&amp;"ProjectEstimate!A"&amp;(8+MATCH($C54,ProjectEstimate!$A$9:$A$145,0)),CONCATENATE("Go to ",$C54))," ")</f>
        <v xml:space="preserve"> </v>
      </c>
      <c r="B54" s="40"/>
      <c r="C54" s="157">
        <v>156.01</v>
      </c>
      <c r="D54" s="1235" t="s">
        <v>1665</v>
      </c>
      <c r="E54" s="1235"/>
      <c r="F54" s="1235"/>
      <c r="G54" s="1235"/>
      <c r="H54" s="152">
        <f>ROUNDUP(E56,0)</f>
        <v>0</v>
      </c>
      <c r="I54" s="153" t="s">
        <v>4</v>
      </c>
      <c r="J54" s="154">
        <f>IF(ISBLANK(M54),_xlfn.XLOOKUP(C54,Output[Item '#],Output[Unit Price (Max or Override)]),M54)</f>
        <v>50</v>
      </c>
      <c r="K54" s="199">
        <f>ROUND(H54*J54, -1)</f>
        <v>0</v>
      </c>
      <c r="L54" s="40"/>
      <c r="M54" s="869"/>
    </row>
    <row r="55" spans="1:17" s="183" customFormat="1" ht="14.25" customHeight="1" thickBot="1">
      <c r="C55" s="157"/>
      <c r="E55" s="528" t="s">
        <v>1219</v>
      </c>
      <c r="F55" s="275"/>
      <c r="G55" s="276" t="s">
        <v>1220</v>
      </c>
      <c r="H55" s="276" t="s">
        <v>1221</v>
      </c>
      <c r="I55" s="255"/>
      <c r="K55" s="205"/>
      <c r="M55" s="668"/>
      <c r="N55" s="181"/>
    </row>
    <row r="56" spans="1:17" s="183" customFormat="1" ht="14.25" customHeight="1" thickBot="1">
      <c r="C56" s="157"/>
      <c r="D56" s="229" t="s">
        <v>1666</v>
      </c>
      <c r="E56" s="523">
        <f>(G56*H56)/I56</f>
        <v>0</v>
      </c>
      <c r="F56" s="202" t="s">
        <v>66</v>
      </c>
      <c r="G56" s="279">
        <f>SUM(AREA!I44:L44,AREA!I49:L49,AREA!I54:L54)</f>
        <v>0</v>
      </c>
      <c r="H56" s="870">
        <f>2/12</f>
        <v>0.16666666666666666</v>
      </c>
      <c r="I56" s="255">
        <v>3</v>
      </c>
      <c r="J56" s="196" t="s">
        <v>3667</v>
      </c>
      <c r="K56" s="280"/>
      <c r="M56" s="668"/>
      <c r="N56" s="181"/>
    </row>
    <row r="57" spans="1:17" ht="14.25" customHeight="1">
      <c r="B57" s="54"/>
      <c r="C57" s="194"/>
      <c r="D57" s="194"/>
      <c r="E57" s="194"/>
      <c r="F57" s="194"/>
      <c r="G57" s="194"/>
      <c r="H57" s="194"/>
      <c r="I57" s="159"/>
      <c r="J57" s="194"/>
      <c r="K57" s="194"/>
      <c r="L57" s="54"/>
      <c r="M57" s="668"/>
    </row>
    <row r="58" spans="1:17" ht="14.25" customHeight="1">
      <c r="A58" s="868" t="str">
        <f ca="1">IFERROR(HYPERLINK("#"&amp;"ProjectEstimate!A"&amp;(8+MATCH($C58,ProjectEstimate!$A$9:$A$145,0)),CONCATENATE("Go to ",$C58))," ")</f>
        <v xml:space="preserve"> </v>
      </c>
      <c r="B58" s="54"/>
      <c r="C58" s="157">
        <v>156.02000000000001</v>
      </c>
      <c r="D58" s="1235" t="s">
        <v>1667</v>
      </c>
      <c r="E58" s="1235"/>
      <c r="F58" s="1235"/>
      <c r="G58" s="1235"/>
      <c r="H58" s="152">
        <f>ROUNDUP(E60,0)</f>
        <v>0</v>
      </c>
      <c r="I58" s="153" t="s">
        <v>4</v>
      </c>
      <c r="J58" s="154">
        <f>IF(ISBLANK(M58),_xlfn.XLOOKUP(C58,Output[Item '#],Output[Unit Price (Max or Override)]),M58)</f>
        <v>55</v>
      </c>
      <c r="K58" s="199">
        <f>ROUND(H58*J58, -1)</f>
        <v>0</v>
      </c>
      <c r="L58" s="54"/>
      <c r="M58" s="869"/>
    </row>
    <row r="59" spans="1:17" s="183" customFormat="1" ht="14.25" customHeight="1" thickBot="1">
      <c r="C59" s="157"/>
      <c r="E59" s="528" t="s">
        <v>1219</v>
      </c>
      <c r="F59" s="275"/>
      <c r="G59" s="276" t="s">
        <v>1220</v>
      </c>
      <c r="H59" s="276" t="s">
        <v>1221</v>
      </c>
      <c r="I59" s="255"/>
      <c r="K59" s="205"/>
      <c r="M59" s="668"/>
      <c r="N59" s="181"/>
    </row>
    <row r="60" spans="1:17" s="183" customFormat="1" ht="14.25" customHeight="1" thickBot="1">
      <c r="C60" s="157"/>
      <c r="D60" s="229" t="s">
        <v>1666</v>
      </c>
      <c r="E60" s="523">
        <f>(G60*H60)/I60</f>
        <v>0</v>
      </c>
      <c r="F60" s="202" t="s">
        <v>66</v>
      </c>
      <c r="G60" s="279">
        <f>G56</f>
        <v>0</v>
      </c>
      <c r="H60" s="870">
        <v>1</v>
      </c>
      <c r="I60" s="255">
        <v>3</v>
      </c>
      <c r="J60" s="196" t="s">
        <v>3667</v>
      </c>
      <c r="K60" s="280"/>
      <c r="M60" s="668"/>
      <c r="N60" s="181"/>
    </row>
    <row r="61" spans="1:17" ht="14.25" customHeight="1">
      <c r="B61" s="54"/>
      <c r="C61" s="159"/>
      <c r="D61" s="159"/>
      <c r="E61" s="159"/>
      <c r="F61" s="159"/>
      <c r="G61" s="159"/>
      <c r="H61" s="159"/>
      <c r="I61" s="159"/>
      <c r="J61" s="159"/>
      <c r="K61" s="159"/>
      <c r="L61" s="54"/>
      <c r="M61" s="668"/>
    </row>
    <row r="62" spans="1:17">
      <c r="A62" s="868" t="str">
        <f ca="1">IFERROR(HYPERLINK("#"&amp;"ProjectEstimate!A"&amp;(8+MATCH($C62,ProjectEstimate!$A$9:$A$145,0)),CONCATENATE("Go to ",$C62))," ")</f>
        <v xml:space="preserve"> </v>
      </c>
      <c r="B62" s="183"/>
      <c r="C62" s="157">
        <v>170</v>
      </c>
      <c r="D62" s="1227" t="s">
        <v>6</v>
      </c>
      <c r="E62" s="1227"/>
      <c r="F62" s="1227"/>
      <c r="G62" s="1227"/>
      <c r="H62" s="152">
        <f>ROUNDUP(E70,-1)</f>
        <v>0</v>
      </c>
      <c r="I62" s="153" t="s">
        <v>1</v>
      </c>
      <c r="J62" s="154">
        <f ca="1">IF(ISBLANK(M62),_xlfn.XLOOKUP(C62,Output[Item '#],Output[Unit Price (Max or Override)]),M62)</f>
        <v>9</v>
      </c>
      <c r="K62" s="199">
        <f ca="1">ROUND(H62*J62, -1)</f>
        <v>0</v>
      </c>
      <c r="L62" s="183"/>
      <c r="M62" s="869"/>
      <c r="N62" s="198"/>
      <c r="O62" s="195"/>
      <c r="P62" s="195"/>
      <c r="Q62" s="293"/>
    </row>
    <row r="63" spans="1:17">
      <c r="B63" s="183"/>
      <c r="C63" s="157"/>
      <c r="D63" s="157"/>
      <c r="E63" s="183"/>
      <c r="F63" s="183"/>
      <c r="G63" s="157"/>
      <c r="H63" s="152"/>
      <c r="I63" s="153"/>
      <c r="J63" s="154"/>
      <c r="K63" s="199"/>
      <c r="L63" s="183"/>
      <c r="M63" s="662"/>
      <c r="N63" s="294"/>
      <c r="O63" s="195"/>
      <c r="P63" s="195"/>
      <c r="Q63" s="195"/>
    </row>
    <row r="64" spans="1:17">
      <c r="B64" s="183"/>
      <c r="C64" s="157"/>
      <c r="D64" s="157"/>
      <c r="E64" s="525" t="s">
        <v>15</v>
      </c>
      <c r="F64" s="183"/>
      <c r="G64" s="157"/>
      <c r="H64" s="152"/>
      <c r="I64" s="153"/>
      <c r="J64" s="154"/>
      <c r="K64" s="199"/>
      <c r="L64" s="183"/>
      <c r="M64" s="662"/>
    </row>
    <row r="65" spans="1:13" ht="14.25" customHeight="1">
      <c r="B65" s="183"/>
      <c r="C65" s="157"/>
      <c r="D65" s="229" t="s">
        <v>1222</v>
      </c>
      <c r="E65" s="227">
        <f>SUM(AREA!$I$13:$L$20)</f>
        <v>0</v>
      </c>
      <c r="F65" s="188"/>
      <c r="G65" s="183"/>
      <c r="H65" s="183"/>
      <c r="I65" s="183"/>
      <c r="J65" s="196" t="s">
        <v>1227</v>
      </c>
      <c r="K65" s="199"/>
      <c r="L65" s="183"/>
      <c r="M65" s="662"/>
    </row>
    <row r="66" spans="1:13">
      <c r="B66" s="183"/>
      <c r="C66" s="157"/>
      <c r="D66" s="229" t="s">
        <v>1716</v>
      </c>
      <c r="E66" s="227">
        <f>SUM(AREA!$I$22:$L$22,AREA!$I$27:$L$27,AREA!$I$29:$L$29,AREA!$I$34:$L$34,AREA!$I$42:$L$42,AREA!$I$47:$L$47,AREA!$I$52:$L$52,AREA!$I$56:$L$56)</f>
        <v>0</v>
      </c>
      <c r="F66" s="188"/>
      <c r="G66" s="183"/>
      <c r="H66" s="183"/>
      <c r="I66" s="183"/>
      <c r="J66" s="196" t="s">
        <v>1227</v>
      </c>
      <c r="K66" s="205"/>
      <c r="L66" s="183"/>
      <c r="M66" s="662"/>
    </row>
    <row r="67" spans="1:13" ht="14.25" customHeight="1">
      <c r="B67" s="183"/>
      <c r="C67" s="157"/>
      <c r="D67" s="229" t="s">
        <v>1717</v>
      </c>
      <c r="E67" s="227">
        <f>SUM(AREA!$I$23:$L$23,AREA!$I$35:$L$35,AREA!$I$41:$L$41,AREA!$I$46:$L$46,AREA!$I$51:$L$51)</f>
        <v>0</v>
      </c>
      <c r="F67" s="188"/>
      <c r="G67" s="183"/>
      <c r="H67" s="183"/>
      <c r="I67" s="183"/>
      <c r="J67" s="196" t="s">
        <v>1227</v>
      </c>
      <c r="K67" s="199"/>
      <c r="L67" s="183"/>
      <c r="M67" s="662"/>
    </row>
    <row r="68" spans="1:13" ht="14.25" customHeight="1">
      <c r="B68" s="183"/>
      <c r="C68" s="157"/>
      <c r="D68" s="229" t="s">
        <v>1718</v>
      </c>
      <c r="E68" s="227">
        <f>SUM(AREA!$I$43:$L$43,AREA!$I$48:$L$48,AREA!$I$53:$L$53)</f>
        <v>0</v>
      </c>
      <c r="F68" s="188"/>
      <c r="G68" s="183"/>
      <c r="H68" s="183"/>
      <c r="I68" s="183"/>
      <c r="J68" s="196" t="s">
        <v>1227</v>
      </c>
      <c r="K68" s="199"/>
      <c r="L68" s="183"/>
      <c r="M68" s="662"/>
    </row>
    <row r="69" spans="1:13" ht="14.25" customHeight="1" thickBot="1">
      <c r="B69" s="183"/>
      <c r="C69" s="295"/>
      <c r="D69" s="282" t="s">
        <v>1666</v>
      </c>
      <c r="E69" s="296">
        <f>SUM(AREA!$I$44:$L$44,AREA!$I$49:$L$49,AREA!$I$54:$L$54)</f>
        <v>0</v>
      </c>
      <c r="F69" s="188"/>
      <c r="G69" s="183"/>
      <c r="H69" s="183"/>
      <c r="I69" s="183"/>
      <c r="J69" s="196" t="s">
        <v>1227</v>
      </c>
      <c r="K69" s="199"/>
      <c r="L69" s="183"/>
      <c r="M69" s="662"/>
    </row>
    <row r="70" spans="1:13" ht="14.25" customHeight="1" thickBot="1">
      <c r="B70" s="183"/>
      <c r="C70" s="157"/>
      <c r="D70" s="297" t="s">
        <v>826</v>
      </c>
      <c r="E70" s="298">
        <f>SUM(E65:E69)</f>
        <v>0</v>
      </c>
      <c r="F70" s="188"/>
      <c r="G70" s="183"/>
      <c r="H70" s="183"/>
      <c r="I70" s="153"/>
      <c r="J70" s="154"/>
      <c r="K70" s="199"/>
      <c r="L70" s="183"/>
      <c r="M70" s="662"/>
    </row>
    <row r="71" spans="1:13" ht="14.25" customHeight="1">
      <c r="B71" s="183"/>
      <c r="C71" s="157"/>
      <c r="D71" s="157"/>
      <c r="E71" s="157"/>
      <c r="F71" s="157"/>
      <c r="G71" s="157"/>
      <c r="H71" s="152"/>
      <c r="I71" s="153"/>
      <c r="J71" s="154"/>
      <c r="K71" s="199"/>
      <c r="L71" s="183"/>
      <c r="M71" s="662"/>
    </row>
    <row r="72" spans="1:13">
      <c r="A72" s="868" t="str">
        <f ca="1">IFERROR(HYPERLINK("#"&amp;"ProjectEstimate!A"&amp;(8+MATCH($C72,ProjectEstimate!$A$9:$A$145,0)),CONCATENATE("Go to ",$C72))," ")</f>
        <v xml:space="preserve"> </v>
      </c>
      <c r="B72" s="183"/>
      <c r="C72" s="157">
        <v>402</v>
      </c>
      <c r="D72" s="1227" t="s">
        <v>301</v>
      </c>
      <c r="E72" s="1227"/>
      <c r="F72" s="1227"/>
      <c r="G72" s="1227"/>
      <c r="H72" s="152">
        <f>ROUNDUP(E76,0)</f>
        <v>0</v>
      </c>
      <c r="I72" s="153" t="s">
        <v>4</v>
      </c>
      <c r="J72" s="154">
        <f ca="1">IF(ISBLANK(M72),_xlfn.XLOOKUP(C72,Output[Item '#],Output[Unit Price (Max or Override)]),M72)</f>
        <v>95</v>
      </c>
      <c r="K72" s="199">
        <f ca="1">ROUND(H72*J72, -1)</f>
        <v>0</v>
      </c>
      <c r="L72" s="183"/>
      <c r="M72" s="869"/>
    </row>
    <row r="73" spans="1:13">
      <c r="B73" s="183"/>
      <c r="C73" s="157"/>
      <c r="D73" s="157"/>
      <c r="E73" s="157"/>
      <c r="F73" s="157"/>
      <c r="G73" s="157"/>
      <c r="H73" s="152"/>
      <c r="I73" s="153"/>
      <c r="J73" s="154"/>
      <c r="K73" s="199"/>
      <c r="L73" s="183"/>
      <c r="M73" s="662"/>
    </row>
    <row r="74" spans="1:13">
      <c r="B74" s="183"/>
      <c r="C74" s="157"/>
      <c r="D74" s="229" t="s">
        <v>1228</v>
      </c>
      <c r="E74" s="299">
        <f>G14</f>
        <v>0</v>
      </c>
      <c r="F74" s="157"/>
      <c r="G74" s="157"/>
      <c r="H74" s="152"/>
      <c r="I74" s="153"/>
      <c r="J74" s="196" t="s">
        <v>1227</v>
      </c>
      <c r="K74" s="199"/>
      <c r="L74" s="183"/>
      <c r="M74" s="662"/>
    </row>
    <row r="75" spans="1:13" ht="15" customHeight="1" thickBot="1">
      <c r="B75" s="183"/>
      <c r="C75" s="157"/>
      <c r="D75" s="229" t="s">
        <v>1869</v>
      </c>
      <c r="E75" s="299">
        <f>G29</f>
        <v>0</v>
      </c>
      <c r="F75" s="157"/>
      <c r="G75" s="157"/>
      <c r="H75" s="152"/>
      <c r="I75" s="153"/>
      <c r="J75" s="196" t="s">
        <v>1227</v>
      </c>
      <c r="K75" s="280"/>
      <c r="L75" s="183"/>
      <c r="M75" s="662"/>
    </row>
    <row r="76" spans="1:13" ht="15.75" thickBot="1">
      <c r="B76" s="183"/>
      <c r="C76" s="157"/>
      <c r="D76" s="229" t="s">
        <v>1228</v>
      </c>
      <c r="E76" s="252">
        <f>G76*H76/I76</f>
        <v>0</v>
      </c>
      <c r="F76" s="246" t="s">
        <v>66</v>
      </c>
      <c r="G76" s="300">
        <f>E74+E75</f>
        <v>0</v>
      </c>
      <c r="H76" s="871">
        <f>4/12</f>
        <v>0.33333333333333331</v>
      </c>
      <c r="I76" s="302">
        <v>3</v>
      </c>
      <c r="J76" s="196" t="s">
        <v>1229</v>
      </c>
      <c r="K76" s="199"/>
      <c r="L76" s="183"/>
      <c r="M76" s="662"/>
    </row>
    <row r="77" spans="1:13">
      <c r="B77" s="183"/>
      <c r="C77" s="157"/>
      <c r="D77" s="157"/>
      <c r="E77" s="157"/>
      <c r="F77" s="157"/>
      <c r="G77" s="157"/>
      <c r="H77" s="152"/>
      <c r="I77" s="153"/>
      <c r="J77" s="154"/>
      <c r="K77" s="199"/>
      <c r="L77" s="183"/>
      <c r="M77" s="662"/>
    </row>
    <row r="78" spans="1:13">
      <c r="A78" s="868" t="str">
        <f ca="1">IFERROR(HYPERLINK("#"&amp;"ProjectEstimate!A"&amp;(8+MATCH($C78,ProjectEstimate!$A$9:$A$145,0)),CONCATENATE("Go to ",$C78))," ")</f>
        <v xml:space="preserve"> </v>
      </c>
      <c r="B78" s="183"/>
      <c r="C78" s="157">
        <v>431</v>
      </c>
      <c r="D78" s="1227" t="s">
        <v>27</v>
      </c>
      <c r="E78" s="1227"/>
      <c r="F78" s="1227"/>
      <c r="G78" s="1227"/>
      <c r="H78" s="152">
        <f>ROUNDUP(H80,0)</f>
        <v>0</v>
      </c>
      <c r="I78" s="153" t="s">
        <v>1</v>
      </c>
      <c r="J78" s="154">
        <f ca="1">IF(ISBLANK(M78),_xlfn.XLOOKUP(C78,Output[Item '#],Output[Unit Price (Max or Override)]),M78)</f>
        <v>93</v>
      </c>
      <c r="K78" s="199">
        <f ca="1">ROUND(H78*J78, -1)</f>
        <v>0</v>
      </c>
      <c r="L78" s="183"/>
      <c r="M78" s="869"/>
    </row>
    <row r="79" spans="1:13">
      <c r="B79" s="183"/>
      <c r="C79" s="157"/>
      <c r="D79" s="157"/>
      <c r="E79" s="157"/>
      <c r="F79" s="157"/>
      <c r="G79" s="157"/>
      <c r="H79" s="152"/>
      <c r="I79" s="153"/>
      <c r="J79" s="154"/>
      <c r="K79" s="199"/>
      <c r="L79" s="183"/>
      <c r="M79" s="662"/>
    </row>
    <row r="80" spans="1:13">
      <c r="B80" s="183"/>
      <c r="C80" s="157"/>
      <c r="D80" s="226" t="s">
        <v>3774</v>
      </c>
      <c r="E80" s="157"/>
      <c r="F80" s="157"/>
      <c r="G80" s="157"/>
      <c r="H80" s="221">
        <f>G15</f>
        <v>0</v>
      </c>
      <c r="I80" s="200" t="s">
        <v>1</v>
      </c>
      <c r="J80" s="154"/>
      <c r="K80" s="199"/>
      <c r="L80" s="183"/>
      <c r="M80" s="662"/>
    </row>
    <row r="81" spans="1:13">
      <c r="B81" s="183"/>
      <c r="C81" s="157"/>
      <c r="D81" s="193"/>
      <c r="E81" s="131"/>
      <c r="F81" s="131"/>
      <c r="G81" s="131"/>
      <c r="H81" s="227"/>
      <c r="I81" s="227"/>
      <c r="J81" s="154"/>
      <c r="K81" s="199"/>
      <c r="L81" s="183"/>
      <c r="M81" s="662"/>
    </row>
    <row r="82" spans="1:13">
      <c r="A82" s="868" t="str">
        <f ca="1">IFERROR(HYPERLINK("#"&amp;"ProjectEstimate!A"&amp;(8+MATCH($C82,ProjectEstimate!$A$9:$A$145,0)),CONCATENATE("Go to ",$C82))," ")</f>
        <v xml:space="preserve"> </v>
      </c>
      <c r="B82" s="183"/>
      <c r="C82" s="157">
        <v>440</v>
      </c>
      <c r="D82" s="1227" t="s">
        <v>305</v>
      </c>
      <c r="E82" s="1227"/>
      <c r="F82" s="1227"/>
      <c r="G82" s="1227"/>
      <c r="H82" s="152">
        <f>ROUNDUP(E91,0)</f>
        <v>0</v>
      </c>
      <c r="I82" s="153" t="s">
        <v>100</v>
      </c>
      <c r="J82" s="154">
        <f ca="1">IF(ISBLANK(M82),_xlfn.XLOOKUP(C82,Output[Item '#],Output[Unit Price (Max or Override)]),M82)</f>
        <v>1</v>
      </c>
      <c r="K82" s="199">
        <f ca="1">ROUND(H82*J82, -1)</f>
        <v>0</v>
      </c>
      <c r="L82" s="183"/>
      <c r="M82" s="869"/>
    </row>
    <row r="83" spans="1:13">
      <c r="B83" s="183"/>
      <c r="C83" s="157"/>
      <c r="D83" s="157"/>
      <c r="E83" s="525" t="s">
        <v>15</v>
      </c>
      <c r="F83" s="157"/>
      <c r="G83" s="157"/>
      <c r="H83" s="152"/>
      <c r="I83" s="153"/>
      <c r="J83" s="154"/>
      <c r="K83" s="199"/>
      <c r="L83" s="183"/>
      <c r="M83" s="662"/>
    </row>
    <row r="84" spans="1:13">
      <c r="B84" s="183"/>
      <c r="C84" s="157"/>
      <c r="D84" s="229" t="s">
        <v>1222</v>
      </c>
      <c r="E84" s="227">
        <f>SUM(AREA!$I$13:$L$20)</f>
        <v>0</v>
      </c>
      <c r="F84" s="188"/>
      <c r="G84" s="183"/>
      <c r="H84" s="183"/>
      <c r="I84" s="183"/>
      <c r="J84" s="196" t="s">
        <v>1227</v>
      </c>
      <c r="K84" s="205"/>
      <c r="L84" s="183"/>
      <c r="M84" s="662"/>
    </row>
    <row r="85" spans="1:13">
      <c r="B85" s="183"/>
      <c r="C85" s="157"/>
      <c r="D85" s="229" t="s">
        <v>1716</v>
      </c>
      <c r="E85" s="227">
        <f>SUM(AREA!$I$22:$L$22,AREA!$I$27:$L$27,AREA!$I$29:$L$29,AREA!$I$34:$L$34,AREA!$I$42:$L$42,AREA!$I$47:$L$47,AREA!$I$52:$L$52,AREA!$I$56:$L$56)</f>
        <v>0</v>
      </c>
      <c r="F85" s="157"/>
      <c r="G85" s="157"/>
      <c r="H85" s="152"/>
      <c r="I85" s="153"/>
      <c r="J85" s="196" t="s">
        <v>1227</v>
      </c>
      <c r="K85" s="199"/>
      <c r="L85" s="183"/>
      <c r="M85" s="662"/>
    </row>
    <row r="86" spans="1:13">
      <c r="B86" s="183"/>
      <c r="C86" s="157"/>
      <c r="D86" s="229" t="s">
        <v>1717</v>
      </c>
      <c r="E86" s="227">
        <f>SUM(AREA!$I$23:$L$23,AREA!$I$35:$L$35,AREA!$I$41:$L$41,AREA!$I$46:$L$46,AREA!$I$51:$L$51)</f>
        <v>0</v>
      </c>
      <c r="F86" s="183"/>
      <c r="G86" s="303"/>
      <c r="H86" s="183"/>
      <c r="I86" s="183"/>
      <c r="J86" s="196" t="s">
        <v>1227</v>
      </c>
      <c r="K86" s="199"/>
      <c r="L86" s="183"/>
      <c r="M86" s="662"/>
    </row>
    <row r="87" spans="1:13">
      <c r="B87" s="183"/>
      <c r="C87" s="157"/>
      <c r="D87" s="229" t="s">
        <v>1718</v>
      </c>
      <c r="E87" s="227">
        <f>SUM(AREA!$I$43:$L$43,AREA!$I$48:$L$48,AREA!$I$53:$L$53)</f>
        <v>0</v>
      </c>
      <c r="F87" s="183"/>
      <c r="G87" s="303"/>
      <c r="H87" s="183"/>
      <c r="I87" s="183"/>
      <c r="J87" s="196" t="s">
        <v>1227</v>
      </c>
      <c r="K87" s="199"/>
      <c r="L87" s="183"/>
      <c r="M87" s="662"/>
    </row>
    <row r="88" spans="1:13">
      <c r="B88" s="183"/>
      <c r="C88" s="295"/>
      <c r="D88" s="282" t="s">
        <v>1666</v>
      </c>
      <c r="E88" s="296">
        <f>SUM(AREA!$I$44:$L$44,AREA!$I$49:$L$49,AREA!$I$54:$L$54)</f>
        <v>0</v>
      </c>
      <c r="F88" s="183"/>
      <c r="G88" s="303"/>
      <c r="H88" s="183"/>
      <c r="I88" s="183"/>
      <c r="J88" s="196" t="s">
        <v>1227</v>
      </c>
      <c r="K88" s="199"/>
      <c r="L88" s="183"/>
      <c r="M88" s="662"/>
    </row>
    <row r="89" spans="1:13">
      <c r="B89" s="183"/>
      <c r="C89" s="157"/>
      <c r="D89" s="126"/>
      <c r="E89" s="304">
        <f>SUM(E84:E88)</f>
        <v>0</v>
      </c>
      <c r="F89" s="183"/>
      <c r="G89" s="303"/>
      <c r="H89" s="183"/>
      <c r="I89" s="183"/>
      <c r="J89" s="153"/>
      <c r="K89" s="199"/>
      <c r="L89" s="183"/>
      <c r="M89" s="662"/>
    </row>
    <row r="90" spans="1:13" ht="15.75" thickBot="1">
      <c r="B90" s="183"/>
      <c r="C90" s="157"/>
      <c r="D90" s="183"/>
      <c r="E90" s="183"/>
      <c r="F90" s="183"/>
      <c r="G90" s="226"/>
      <c r="H90" s="183"/>
      <c r="I90" s="183"/>
      <c r="J90" s="183"/>
      <c r="K90" s="199"/>
      <c r="L90" s="183"/>
      <c r="M90" s="662"/>
    </row>
    <row r="91" spans="1:13" ht="15.75" thickBot="1">
      <c r="B91" s="183"/>
      <c r="C91" s="157"/>
      <c r="D91" s="229" t="s">
        <v>1231</v>
      </c>
      <c r="E91" s="305">
        <f>G91*H91</f>
        <v>0</v>
      </c>
      <c r="F91" s="202" t="s">
        <v>66</v>
      </c>
      <c r="G91" s="300">
        <f>E89</f>
        <v>0</v>
      </c>
      <c r="H91" s="302">
        <v>1.5</v>
      </c>
      <c r="I91" s="183"/>
      <c r="J91" s="196" t="s">
        <v>1232</v>
      </c>
      <c r="K91" s="199"/>
      <c r="L91" s="183"/>
      <c r="M91" s="662"/>
    </row>
    <row r="92" spans="1:13">
      <c r="B92" s="183"/>
      <c r="C92" s="157"/>
      <c r="D92" s="157"/>
      <c r="E92" s="157"/>
      <c r="F92" s="157"/>
      <c r="G92" s="157"/>
      <c r="H92" s="152"/>
      <c r="I92" s="153"/>
      <c r="J92" s="154"/>
      <c r="K92" s="199"/>
      <c r="L92" s="183"/>
      <c r="M92" s="662"/>
    </row>
    <row r="93" spans="1:13">
      <c r="A93" s="868" t="str">
        <f ca="1">IFERROR(HYPERLINK("#"&amp;"ProjectEstimate!A"&amp;(8+MATCH($C93,ProjectEstimate!$A$9:$A$145,0)),CONCATENATE("Go to ",$C93))," ")</f>
        <v xml:space="preserve"> </v>
      </c>
      <c r="B93" s="54"/>
      <c r="C93" s="157">
        <v>450.14</v>
      </c>
      <c r="D93" s="1230" t="s">
        <v>1656</v>
      </c>
      <c r="E93" s="1230"/>
      <c r="F93" s="1230"/>
      <c r="G93" s="1230"/>
      <c r="H93" s="152">
        <f>ROUNDUP(H95,0)</f>
        <v>0</v>
      </c>
      <c r="I93" s="153" t="s">
        <v>7</v>
      </c>
      <c r="J93" s="154">
        <f>IF(ISBLANK(M93),_xlfn.XLOOKUP(C93,Output[Item '#],Output[Unit Price (Max or Override)]),M93)</f>
        <v>170</v>
      </c>
      <c r="K93" s="199">
        <f>ROUND(H93*J93, -1)</f>
        <v>0</v>
      </c>
      <c r="L93" s="54"/>
      <c r="M93" s="869"/>
    </row>
    <row r="94" spans="1:13">
      <c r="B94" s="54"/>
      <c r="C94" s="159"/>
      <c r="D94" s="739" t="s">
        <v>15</v>
      </c>
      <c r="E94" s="1231" t="s">
        <v>14</v>
      </c>
      <c r="F94" s="1231"/>
      <c r="G94" s="739" t="s">
        <v>12</v>
      </c>
      <c r="H94" s="739" t="s">
        <v>13</v>
      </c>
      <c r="I94" s="190"/>
      <c r="J94" s="188"/>
      <c r="K94" s="159"/>
      <c r="L94" s="54"/>
      <c r="M94" s="668"/>
    </row>
    <row r="95" spans="1:13">
      <c r="B95" s="54"/>
      <c r="C95" s="159"/>
      <c r="D95" s="306">
        <f>G56</f>
        <v>0</v>
      </c>
      <c r="E95" s="1232">
        <v>2</v>
      </c>
      <c r="F95" s="1232"/>
      <c r="G95" s="609">
        <v>5.6000000000000001E-2</v>
      </c>
      <c r="H95" s="231">
        <f>D95*E95*G95</f>
        <v>0</v>
      </c>
      <c r="I95" s="190"/>
      <c r="J95" s="188"/>
      <c r="K95" s="159"/>
      <c r="L95" s="54"/>
      <c r="M95" s="668"/>
    </row>
    <row r="96" spans="1:13">
      <c r="B96" s="54"/>
      <c r="C96" s="190"/>
      <c r="D96" s="195"/>
      <c r="E96" s="307"/>
      <c r="F96" s="153"/>
      <c r="G96" s="190"/>
      <c r="H96" s="188"/>
      <c r="I96" s="190"/>
      <c r="J96" s="188"/>
      <c r="K96" s="159"/>
      <c r="L96" s="54"/>
      <c r="M96" s="668"/>
    </row>
    <row r="97" spans="1:13">
      <c r="A97" s="868" t="str">
        <f ca="1">IFERROR(HYPERLINK("#"&amp;"ProjectEstimate!A"&amp;(8+MATCH($C97,ProjectEstimate!$A$9:$A$145,0)),CONCATENATE("Go to ",$C97))," ")</f>
        <v xml:space="preserve"> </v>
      </c>
      <c r="B97" s="741"/>
      <c r="C97" s="157">
        <v>450.16</v>
      </c>
      <c r="D97" s="1230" t="s">
        <v>1657</v>
      </c>
      <c r="E97" s="1230"/>
      <c r="F97" s="1230"/>
      <c r="G97" s="1230"/>
      <c r="H97" s="152">
        <f>ROUNDUP(H99,0)</f>
        <v>0</v>
      </c>
      <c r="I97" s="153" t="s">
        <v>7</v>
      </c>
      <c r="J97" s="154">
        <f>IF(ISBLANK(M97),_xlfn.XLOOKUP(C97,Output[Item '#],Output[Unit Price (Max or Override)]),M97)</f>
        <v>170</v>
      </c>
      <c r="K97" s="199">
        <f>ROUND(H97*J97, -1)</f>
        <v>0</v>
      </c>
      <c r="L97" s="741"/>
      <c r="M97" s="869"/>
    </row>
    <row r="98" spans="1:13">
      <c r="B98" s="159"/>
      <c r="C98" s="159"/>
      <c r="D98" s="739" t="s">
        <v>15</v>
      </c>
      <c r="E98" s="1231" t="s">
        <v>14</v>
      </c>
      <c r="F98" s="1231"/>
      <c r="G98" s="739" t="s">
        <v>12</v>
      </c>
      <c r="H98" s="739" t="s">
        <v>13</v>
      </c>
      <c r="I98" s="190"/>
      <c r="J98" s="188"/>
      <c r="K98" s="159"/>
      <c r="L98" s="159"/>
      <c r="M98" s="668"/>
    </row>
    <row r="99" spans="1:13">
      <c r="B99" s="159"/>
      <c r="C99" s="159"/>
      <c r="D99" s="306">
        <f>D95</f>
        <v>0</v>
      </c>
      <c r="E99" s="1232">
        <v>2</v>
      </c>
      <c r="F99" s="1232"/>
      <c r="G99" s="609">
        <v>5.6000000000000001E-2</v>
      </c>
      <c r="H99" s="231">
        <f>D99*E99*G99</f>
        <v>0</v>
      </c>
      <c r="I99" s="190"/>
      <c r="J99" s="188"/>
      <c r="K99" s="159"/>
      <c r="L99" s="159"/>
      <c r="M99" s="668"/>
    </row>
    <row r="100" spans="1:13">
      <c r="B100" s="159"/>
      <c r="C100" s="159"/>
      <c r="D100" s="193"/>
      <c r="E100" s="131"/>
      <c r="F100" s="131"/>
      <c r="G100" s="131"/>
      <c r="H100" s="227"/>
      <c r="I100" s="190"/>
      <c r="J100" s="188"/>
      <c r="K100" s="159"/>
      <c r="L100" s="159"/>
      <c r="M100" s="668"/>
    </row>
    <row r="101" spans="1:13" ht="21" customHeight="1">
      <c r="A101" s="868" t="str">
        <f ca="1">IFERROR(HYPERLINK("#"&amp;"ProjectEstimate!A"&amp;(8+MATCH($C101,ProjectEstimate!$A$9:$A$145,0)),CONCATENATE("Go to ",$C101))," ")</f>
        <v xml:space="preserve"> </v>
      </c>
      <c r="B101" s="183"/>
      <c r="C101" s="270">
        <v>450.23</v>
      </c>
      <c r="D101" s="1238" t="s">
        <v>308</v>
      </c>
      <c r="E101" s="1238"/>
      <c r="F101" s="1238"/>
      <c r="G101" s="1238"/>
      <c r="H101" s="152">
        <f>ROUNDUP(H110,0)</f>
        <v>0</v>
      </c>
      <c r="I101" s="153" t="s">
        <v>7</v>
      </c>
      <c r="J101" s="154">
        <f ca="1">IF(ISBLANK(M101),_xlfn.XLOOKUP(C101,Output[Item '#],Output[Unit Price (Max or Override)]),M101)</f>
        <v>154</v>
      </c>
      <c r="K101" s="199">
        <f ca="1">ROUND(H101*J101, -1)</f>
        <v>0</v>
      </c>
      <c r="L101" s="183"/>
      <c r="M101" s="869"/>
    </row>
    <row r="102" spans="1:13">
      <c r="B102" s="183"/>
      <c r="C102" s="157"/>
      <c r="D102" s="157"/>
      <c r="E102" s="157"/>
      <c r="F102" s="157"/>
      <c r="G102" s="157"/>
      <c r="H102" s="152"/>
      <c r="I102" s="153"/>
      <c r="J102" s="154"/>
      <c r="K102" s="199"/>
      <c r="L102" s="183"/>
      <c r="M102" s="662"/>
    </row>
    <row r="103" spans="1:13">
      <c r="B103" s="183"/>
      <c r="C103" s="157"/>
      <c r="D103" s="157"/>
      <c r="E103" s="276" t="s">
        <v>15</v>
      </c>
      <c r="F103" s="157"/>
      <c r="G103" s="157"/>
      <c r="H103" s="152"/>
      <c r="I103" s="153"/>
      <c r="J103" s="154"/>
      <c r="K103" s="199"/>
      <c r="L103" s="183"/>
      <c r="M103" s="662"/>
    </row>
    <row r="104" spans="1:13">
      <c r="B104" s="183"/>
      <c r="C104" s="157"/>
      <c r="D104" s="234" t="s">
        <v>1228</v>
      </c>
      <c r="E104" s="221">
        <f>$G$14</f>
        <v>0</v>
      </c>
      <c r="F104" s="157"/>
      <c r="G104" s="157"/>
      <c r="H104" s="183"/>
      <c r="I104" s="200"/>
      <c r="J104" s="154"/>
      <c r="K104" s="199"/>
      <c r="L104" s="183"/>
      <c r="M104" s="662"/>
    </row>
    <row r="105" spans="1:13">
      <c r="B105" s="183"/>
      <c r="C105" s="157"/>
      <c r="D105" s="234" t="s">
        <v>1233</v>
      </c>
      <c r="E105" s="221">
        <f>$G$15</f>
        <v>0</v>
      </c>
      <c r="F105" s="157"/>
      <c r="G105" s="157"/>
      <c r="H105" s="183"/>
      <c r="I105" s="200"/>
      <c r="J105" s="154"/>
      <c r="K105" s="199"/>
      <c r="L105" s="183"/>
      <c r="M105" s="662"/>
    </row>
    <row r="106" spans="1:13">
      <c r="B106" s="183"/>
      <c r="C106" s="157"/>
      <c r="D106" s="234" t="s">
        <v>3885</v>
      </c>
      <c r="E106" s="221">
        <f>$G$29</f>
        <v>0</v>
      </c>
      <c r="F106" s="157"/>
      <c r="G106" s="157"/>
      <c r="H106" s="183"/>
      <c r="I106" s="200"/>
      <c r="J106" s="154"/>
      <c r="K106" s="199"/>
      <c r="L106" s="183"/>
      <c r="M106" s="662"/>
    </row>
    <row r="107" spans="1:13">
      <c r="B107" s="183"/>
      <c r="C107" s="157"/>
      <c r="D107" s="310"/>
      <c r="E107" s="311">
        <f>SUM(E104:E106)</f>
        <v>0</v>
      </c>
      <c r="F107" s="183"/>
      <c r="G107" s="183"/>
      <c r="H107" s="196"/>
      <c r="I107" s="154"/>
      <c r="J107" s="183"/>
      <c r="K107" s="199"/>
      <c r="L107" s="183"/>
      <c r="M107" s="662"/>
    </row>
    <row r="108" spans="1:13">
      <c r="B108" s="183"/>
      <c r="C108" s="157"/>
      <c r="D108" s="310"/>
      <c r="E108" s="157"/>
      <c r="F108" s="221"/>
      <c r="G108" s="183"/>
      <c r="H108" s="183"/>
      <c r="I108" s="154"/>
      <c r="J108" s="183"/>
      <c r="K108" s="199"/>
      <c r="L108" s="183"/>
      <c r="M108" s="662"/>
    </row>
    <row r="109" spans="1:13">
      <c r="B109" s="183"/>
      <c r="C109" s="157"/>
      <c r="D109" s="739" t="s">
        <v>15</v>
      </c>
      <c r="E109" s="739" t="s">
        <v>14</v>
      </c>
      <c r="F109" s="1237" t="s">
        <v>12</v>
      </c>
      <c r="G109" s="1237"/>
      <c r="H109" s="1237" t="s">
        <v>13</v>
      </c>
      <c r="I109" s="1237"/>
      <c r="J109" s="154"/>
      <c r="K109" s="199"/>
      <c r="L109" s="183"/>
      <c r="M109" s="662"/>
    </row>
    <row r="110" spans="1:13">
      <c r="B110" s="183"/>
      <c r="C110" s="157"/>
      <c r="D110" s="306">
        <f>E107</f>
        <v>0</v>
      </c>
      <c r="E110" s="872">
        <v>2</v>
      </c>
      <c r="F110" s="1229">
        <v>5.6000000000000001E-2</v>
      </c>
      <c r="G110" s="1229"/>
      <c r="H110" s="1228">
        <f>D110*E110*F110</f>
        <v>0</v>
      </c>
      <c r="I110" s="1228"/>
      <c r="J110" s="154"/>
      <c r="K110" s="199"/>
      <c r="L110" s="183"/>
      <c r="M110" s="662"/>
    </row>
    <row r="111" spans="1:13">
      <c r="B111" s="183"/>
      <c r="C111" s="157"/>
      <c r="D111" s="157"/>
      <c r="E111" s="157"/>
      <c r="F111" s="157"/>
      <c r="G111" s="157"/>
      <c r="H111" s="152"/>
      <c r="I111" s="153"/>
      <c r="J111" s="154"/>
      <c r="K111" s="199"/>
      <c r="L111" s="183"/>
      <c r="M111" s="662"/>
    </row>
    <row r="112" spans="1:13" ht="21.75" customHeight="1">
      <c r="A112" s="868" t="str">
        <f ca="1">IFERROR(HYPERLINK("#"&amp;"ProjectEstimate!A"&amp;(8+MATCH($C112,ProjectEstimate!$A$9:$A$145,0)),CONCATENATE("Go to ",$C112))," ")</f>
        <v xml:space="preserve"> </v>
      </c>
      <c r="B112" s="183"/>
      <c r="C112" s="270">
        <v>450.32</v>
      </c>
      <c r="D112" s="1238" t="s">
        <v>1234</v>
      </c>
      <c r="E112" s="1238"/>
      <c r="F112" s="1238"/>
      <c r="G112" s="1238"/>
      <c r="H112" s="152">
        <f>ROUNDUP(H120,0)</f>
        <v>0</v>
      </c>
      <c r="I112" s="153" t="s">
        <v>7</v>
      </c>
      <c r="J112" s="154">
        <f ca="1">IF(ISBLANK(M112),_xlfn.XLOOKUP(C112,Output[Item '#],Output[Unit Price (Max or Override)]),M112)</f>
        <v>162</v>
      </c>
      <c r="K112" s="199">
        <f ca="1">ROUND(H112*J112, -1)</f>
        <v>0</v>
      </c>
      <c r="L112" s="183"/>
      <c r="M112" s="869"/>
    </row>
    <row r="113" spans="1:13">
      <c r="B113" s="183"/>
      <c r="C113" s="157"/>
      <c r="D113" s="157"/>
      <c r="E113" s="276" t="s">
        <v>15</v>
      </c>
      <c r="F113" s="157"/>
      <c r="G113" s="157"/>
      <c r="H113" s="152"/>
      <c r="I113" s="153"/>
      <c r="J113" s="154"/>
      <c r="K113" s="199"/>
      <c r="L113" s="183"/>
      <c r="M113" s="662"/>
    </row>
    <row r="114" spans="1:13">
      <c r="B114" s="183"/>
      <c r="C114" s="157"/>
      <c r="D114" s="234" t="s">
        <v>1228</v>
      </c>
      <c r="E114" s="221">
        <f>$G$14</f>
        <v>0</v>
      </c>
      <c r="F114" s="122"/>
      <c r="G114" s="200"/>
      <c r="H114" s="183"/>
      <c r="I114" s="200"/>
      <c r="J114" s="154"/>
      <c r="K114" s="199"/>
      <c r="L114" s="183"/>
      <c r="M114" s="662"/>
    </row>
    <row r="115" spans="1:13">
      <c r="B115" s="183"/>
      <c r="C115" s="157"/>
      <c r="D115" s="234" t="s">
        <v>1233</v>
      </c>
      <c r="E115" s="221">
        <f>$G$15</f>
        <v>0</v>
      </c>
      <c r="F115" s="157"/>
      <c r="G115" s="157"/>
      <c r="H115" s="183"/>
      <c r="I115" s="200"/>
      <c r="J115" s="154"/>
      <c r="K115" s="199"/>
      <c r="L115" s="183"/>
      <c r="M115" s="662"/>
    </row>
    <row r="116" spans="1:13">
      <c r="B116" s="183"/>
      <c r="C116" s="157"/>
      <c r="D116" s="234" t="s">
        <v>3885</v>
      </c>
      <c r="E116" s="221">
        <f>$G$29</f>
        <v>0</v>
      </c>
      <c r="F116" s="157"/>
      <c r="G116" s="157"/>
      <c r="H116" s="183"/>
      <c r="I116" s="200"/>
      <c r="J116" s="154"/>
      <c r="K116" s="205"/>
      <c r="L116" s="183"/>
      <c r="M116" s="662"/>
    </row>
    <row r="117" spans="1:13">
      <c r="B117" s="183"/>
      <c r="C117" s="157"/>
      <c r="D117" s="310"/>
      <c r="E117" s="311">
        <f>SUM(E114:E116)</f>
        <v>0</v>
      </c>
      <c r="F117" s="183"/>
      <c r="G117" s="183"/>
      <c r="H117" s="196"/>
      <c r="I117" s="154"/>
      <c r="J117" s="183"/>
      <c r="K117" s="199"/>
      <c r="L117" s="183"/>
      <c r="M117" s="662"/>
    </row>
    <row r="118" spans="1:13">
      <c r="B118" s="183"/>
      <c r="C118" s="157"/>
      <c r="D118" s="310"/>
      <c r="E118" s="157"/>
      <c r="F118" s="221"/>
      <c r="G118" s="183"/>
      <c r="H118" s="183"/>
      <c r="I118" s="154"/>
      <c r="J118" s="183"/>
      <c r="K118" s="199"/>
      <c r="L118" s="183"/>
      <c r="M118" s="662"/>
    </row>
    <row r="119" spans="1:13">
      <c r="B119" s="183"/>
      <c r="C119" s="157"/>
      <c r="D119" s="739" t="s">
        <v>15</v>
      </c>
      <c r="E119" s="739" t="s">
        <v>14</v>
      </c>
      <c r="F119" s="1237" t="s">
        <v>12</v>
      </c>
      <c r="G119" s="1237"/>
      <c r="H119" s="1237" t="s">
        <v>13</v>
      </c>
      <c r="I119" s="1237"/>
      <c r="J119" s="183"/>
      <c r="K119" s="199"/>
      <c r="L119" s="183"/>
      <c r="M119" s="662"/>
    </row>
    <row r="120" spans="1:13">
      <c r="B120" s="183"/>
      <c r="C120" s="157"/>
      <c r="D120" s="312">
        <f>E117</f>
        <v>0</v>
      </c>
      <c r="E120" s="872">
        <v>2.25</v>
      </c>
      <c r="F120" s="1229">
        <v>5.6000000000000001E-2</v>
      </c>
      <c r="G120" s="1229"/>
      <c r="H120" s="1228">
        <f>D120*E120*F120</f>
        <v>0</v>
      </c>
      <c r="I120" s="1228"/>
      <c r="J120" s="183"/>
      <c r="K120" s="199"/>
      <c r="L120" s="183"/>
      <c r="M120" s="662"/>
    </row>
    <row r="121" spans="1:13">
      <c r="B121" s="183"/>
      <c r="C121" s="157"/>
      <c r="D121" s="157"/>
      <c r="E121" s="157"/>
      <c r="F121" s="157"/>
      <c r="G121" s="157"/>
      <c r="H121" s="152"/>
      <c r="I121" s="153"/>
      <c r="J121" s="154"/>
      <c r="K121" s="199"/>
      <c r="L121" s="183"/>
      <c r="M121" s="662"/>
    </row>
    <row r="122" spans="1:13">
      <c r="A122" s="868" t="str">
        <f ca="1">IFERROR(HYPERLINK("#"&amp;"ProjectEstimate!A"&amp;(8+MATCH($C122,ProjectEstimate!$A$9:$A$145,0)),CONCATENATE("Go to ",$C122))," ")</f>
        <v xml:space="preserve"> </v>
      </c>
      <c r="B122" s="183"/>
      <c r="C122" s="270">
        <v>450.42</v>
      </c>
      <c r="D122" s="1227" t="s">
        <v>37</v>
      </c>
      <c r="E122" s="1227"/>
      <c r="F122" s="1227"/>
      <c r="G122" s="1227"/>
      <c r="H122" s="152">
        <f>ROUNDUP(H129,0)</f>
        <v>0</v>
      </c>
      <c r="I122" s="153" t="s">
        <v>7</v>
      </c>
      <c r="J122" s="154">
        <f ca="1">IF(ISBLANK(M122),_xlfn.XLOOKUP(C122,Output[Item '#],Output[Unit Price (Max or Override)]),M122)</f>
        <v>168</v>
      </c>
      <c r="K122" s="199">
        <f ca="1">ROUND(H122*J122, -1)</f>
        <v>0</v>
      </c>
      <c r="L122" s="183"/>
      <c r="M122" s="869"/>
    </row>
    <row r="123" spans="1:13">
      <c r="B123" s="183"/>
      <c r="C123" s="157"/>
      <c r="D123" s="157"/>
      <c r="E123" s="157"/>
      <c r="F123" s="157"/>
      <c r="G123" s="157"/>
      <c r="H123" s="152"/>
      <c r="I123" s="153"/>
      <c r="J123" s="154"/>
      <c r="K123" s="199"/>
      <c r="L123" s="183"/>
      <c r="M123" s="662"/>
    </row>
    <row r="124" spans="1:13">
      <c r="B124" s="183"/>
      <c r="C124" s="157"/>
      <c r="D124" s="229" t="s">
        <v>1228</v>
      </c>
      <c r="E124" s="299">
        <f>G14</f>
        <v>0</v>
      </c>
      <c r="F124" s="122"/>
      <c r="G124" s="200"/>
      <c r="H124" s="221"/>
      <c r="I124" s="200"/>
      <c r="J124" s="154"/>
      <c r="K124" s="199"/>
      <c r="L124" s="183"/>
      <c r="M124" s="662"/>
    </row>
    <row r="125" spans="1:13">
      <c r="B125" s="183"/>
      <c r="C125" s="157"/>
      <c r="D125" s="234" t="s">
        <v>3885</v>
      </c>
      <c r="E125" s="221">
        <f>$G$29</f>
        <v>0</v>
      </c>
      <c r="F125" s="157"/>
      <c r="G125" s="157"/>
      <c r="H125" s="183"/>
      <c r="I125" s="200"/>
      <c r="J125" s="154"/>
      <c r="K125" s="205"/>
      <c r="L125" s="183"/>
      <c r="M125" s="662"/>
    </row>
    <row r="126" spans="1:13">
      <c r="B126" s="183"/>
      <c r="C126" s="157"/>
      <c r="D126" s="310"/>
      <c r="E126" s="311">
        <f>SUM(E124:E125)</f>
        <v>0</v>
      </c>
      <c r="F126" s="183"/>
      <c r="G126" s="183"/>
      <c r="H126" s="196"/>
      <c r="I126" s="154"/>
      <c r="J126" s="183"/>
      <c r="K126" s="205"/>
      <c r="L126" s="183"/>
      <c r="M126" s="662"/>
    </row>
    <row r="127" spans="1:13">
      <c r="B127" s="183"/>
      <c r="C127" s="157"/>
      <c r="D127" s="310"/>
      <c r="E127" s="157"/>
      <c r="F127" s="221"/>
      <c r="G127" s="183"/>
      <c r="H127" s="183"/>
      <c r="I127" s="154"/>
      <c r="J127" s="183"/>
      <c r="K127" s="205"/>
      <c r="L127" s="183"/>
      <c r="M127" s="662"/>
    </row>
    <row r="128" spans="1:13">
      <c r="B128" s="183"/>
      <c r="C128" s="157"/>
      <c r="D128" s="230" t="s">
        <v>15</v>
      </c>
      <c r="E128" s="230" t="s">
        <v>14</v>
      </c>
      <c r="F128" s="1214" t="s">
        <v>12</v>
      </c>
      <c r="G128" s="1214"/>
      <c r="H128" s="1214" t="s">
        <v>13</v>
      </c>
      <c r="I128" s="1214"/>
      <c r="J128" s="183"/>
      <c r="K128" s="199"/>
      <c r="L128" s="183"/>
      <c r="M128" s="662"/>
    </row>
    <row r="129" spans="1:13">
      <c r="B129" s="183"/>
      <c r="C129" s="157"/>
      <c r="D129" s="312">
        <f>E126</f>
        <v>0</v>
      </c>
      <c r="E129" s="872">
        <v>4</v>
      </c>
      <c r="F129" s="1232">
        <v>5.6000000000000001E-2</v>
      </c>
      <c r="G129" s="1232"/>
      <c r="H129" s="1236">
        <f>D129*E129*F129</f>
        <v>0</v>
      </c>
      <c r="I129" s="1236"/>
      <c r="J129" s="183"/>
      <c r="K129" s="199"/>
      <c r="L129" s="183"/>
      <c r="M129" s="662"/>
    </row>
    <row r="130" spans="1:13">
      <c r="B130" s="183"/>
      <c r="C130" s="157"/>
      <c r="D130" s="157"/>
      <c r="E130" s="157"/>
      <c r="F130" s="157"/>
      <c r="G130" s="157"/>
      <c r="H130" s="152"/>
      <c r="I130" s="153"/>
      <c r="J130" s="154"/>
      <c r="K130" s="199"/>
      <c r="L130" s="183"/>
      <c r="M130" s="662"/>
    </row>
    <row r="131" spans="1:13">
      <c r="A131" s="868" t="str">
        <f ca="1">IFERROR(HYPERLINK("#"&amp;"ProjectEstimate!A"&amp;(8+MATCH($C131,ProjectEstimate!$A$9:$A$145,0)),CONCATENATE("Go to ",$C131))," ")</f>
        <v xml:space="preserve"> </v>
      </c>
      <c r="B131" s="183"/>
      <c r="C131" s="270">
        <v>452</v>
      </c>
      <c r="D131" s="1227" t="s">
        <v>31</v>
      </c>
      <c r="E131" s="1227"/>
      <c r="F131" s="1227"/>
      <c r="G131" s="1227"/>
      <c r="H131" s="152">
        <f>ROUNDUP(F138,0)</f>
        <v>0</v>
      </c>
      <c r="I131" s="153" t="s">
        <v>20</v>
      </c>
      <c r="J131" s="154">
        <f ca="1">IF(ISBLANK(M131),_xlfn.XLOOKUP(C131,Output[Item '#],Output[Unit Price (Max or Override)]),M131)</f>
        <v>11</v>
      </c>
      <c r="K131" s="199">
        <f ca="1">ROUND(H131*J131, -1)</f>
        <v>0</v>
      </c>
      <c r="L131" s="183"/>
      <c r="M131" s="869"/>
    </row>
    <row r="132" spans="1:13">
      <c r="B132" s="183"/>
      <c r="C132" s="157"/>
      <c r="D132" s="157"/>
      <c r="E132" s="157"/>
      <c r="F132" s="157"/>
      <c r="G132" s="157"/>
      <c r="H132" s="152"/>
      <c r="I132" s="153"/>
      <c r="J132" s="154"/>
      <c r="K132" s="199"/>
      <c r="L132" s="183"/>
      <c r="M132" s="662"/>
    </row>
    <row r="133" spans="1:13">
      <c r="B133" s="183"/>
      <c r="C133" s="157"/>
      <c r="D133" s="234" t="s">
        <v>1228</v>
      </c>
      <c r="E133" s="299">
        <f>G14</f>
        <v>0</v>
      </c>
      <c r="F133" s="183"/>
      <c r="G133" s="313"/>
      <c r="H133" s="183"/>
      <c r="I133" s="183"/>
      <c r="J133" s="196" t="s">
        <v>1227</v>
      </c>
      <c r="K133" s="199"/>
      <c r="L133" s="183"/>
      <c r="M133" s="662"/>
    </row>
    <row r="134" spans="1:13">
      <c r="B134" s="183"/>
      <c r="C134" s="157"/>
      <c r="D134" s="234" t="s">
        <v>3885</v>
      </c>
      <c r="E134" s="221">
        <f>$G$29</f>
        <v>0</v>
      </c>
      <c r="F134" s="157"/>
      <c r="G134" s="157"/>
      <c r="H134" s="183"/>
      <c r="I134" s="200"/>
      <c r="J134" s="154"/>
      <c r="K134" s="205"/>
      <c r="L134" s="183"/>
      <c r="M134" s="662"/>
    </row>
    <row r="135" spans="1:13">
      <c r="B135" s="183"/>
      <c r="C135" s="157"/>
      <c r="D135" s="310"/>
      <c r="E135" s="311">
        <f>SUM(E133:E134)</f>
        <v>0</v>
      </c>
      <c r="F135" s="183"/>
      <c r="G135" s="183"/>
      <c r="H135" s="196"/>
      <c r="I135" s="154"/>
      <c r="J135" s="183"/>
      <c r="K135" s="205"/>
      <c r="L135" s="183"/>
      <c r="M135" s="662"/>
    </row>
    <row r="136" spans="1:13">
      <c r="B136" s="183"/>
      <c r="C136" s="157"/>
      <c r="D136" s="183"/>
      <c r="E136" s="183"/>
      <c r="F136" s="183"/>
      <c r="G136" s="183"/>
      <c r="H136" s="183"/>
      <c r="I136" s="153"/>
      <c r="J136" s="154"/>
      <c r="K136" s="199"/>
      <c r="L136" s="183"/>
      <c r="M136" s="662"/>
    </row>
    <row r="137" spans="1:13">
      <c r="B137" s="183"/>
      <c r="C137" s="157"/>
      <c r="D137" s="738" t="s">
        <v>15</v>
      </c>
      <c r="E137" s="738" t="s">
        <v>1235</v>
      </c>
      <c r="F137" s="1246" t="s">
        <v>20</v>
      </c>
      <c r="G137" s="1246"/>
      <c r="H137" s="183"/>
      <c r="I137" s="183"/>
      <c r="J137" s="154"/>
      <c r="K137" s="199"/>
      <c r="L137" s="183"/>
      <c r="M137" s="662"/>
    </row>
    <row r="138" spans="1:13">
      <c r="B138" s="183"/>
      <c r="C138" s="157"/>
      <c r="D138" s="314">
        <f>E135</f>
        <v>0</v>
      </c>
      <c r="E138" s="315">
        <v>7.0000000000000007E-2</v>
      </c>
      <c r="F138" s="1247">
        <f>D138*E138</f>
        <v>0</v>
      </c>
      <c r="G138" s="1247"/>
      <c r="H138" s="183"/>
      <c r="I138" s="183"/>
      <c r="J138" s="154"/>
      <c r="K138" s="199"/>
      <c r="L138" s="183"/>
      <c r="M138" s="662"/>
    </row>
    <row r="139" spans="1:13">
      <c r="B139" s="183"/>
      <c r="C139" s="157"/>
      <c r="D139" s="183"/>
      <c r="E139" s="316"/>
      <c r="F139" s="202"/>
      <c r="G139" s="317"/>
      <c r="H139" s="285"/>
      <c r="I139" s="153"/>
      <c r="J139" s="154"/>
      <c r="K139" s="199"/>
      <c r="L139" s="183"/>
      <c r="M139" s="662"/>
    </row>
    <row r="140" spans="1:13">
      <c r="A140" s="868" t="str">
        <f ca="1">IFERROR(HYPERLINK("#"&amp;"ProjectEstimate!A"&amp;(8+MATCH($C140,ProjectEstimate!$A$9:$A$145,0)),CONCATENATE("Go to ",$C140))," ")</f>
        <v xml:space="preserve"> </v>
      </c>
      <c r="B140" s="183"/>
      <c r="C140" s="270">
        <v>453</v>
      </c>
      <c r="D140" s="1227" t="s">
        <v>32</v>
      </c>
      <c r="E140" s="1227"/>
      <c r="F140" s="1227"/>
      <c r="G140" s="1227"/>
      <c r="H140" s="152">
        <f>ROUNDUP(E150,0)</f>
        <v>0</v>
      </c>
      <c r="I140" s="153" t="s">
        <v>17</v>
      </c>
      <c r="J140" s="154">
        <f ca="1">IF(ISBLANK(M140),_xlfn.XLOOKUP(C140,Output[Item '#],Output[Unit Price (Max or Override)]),M140)</f>
        <v>2</v>
      </c>
      <c r="K140" s="199">
        <f ca="1">ROUND(H140*J140, -1)</f>
        <v>0</v>
      </c>
      <c r="L140" s="183"/>
      <c r="M140" s="869"/>
    </row>
    <row r="141" spans="1:13">
      <c r="B141" s="183"/>
      <c r="C141" s="270"/>
      <c r="D141" s="157"/>
      <c r="E141" s="157"/>
      <c r="F141" s="157"/>
      <c r="G141" s="157"/>
      <c r="H141" s="152"/>
      <c r="I141" s="153"/>
      <c r="J141" s="154"/>
      <c r="K141" s="199"/>
      <c r="L141" s="183"/>
      <c r="M141" s="662"/>
    </row>
    <row r="142" spans="1:13">
      <c r="B142" s="183"/>
      <c r="C142" s="159"/>
      <c r="D142" s="257" t="s">
        <v>1671</v>
      </c>
      <c r="E142" s="158"/>
      <c r="F142" s="195"/>
      <c r="G142" s="318" t="s">
        <v>1596</v>
      </c>
      <c r="H142" s="318" t="s">
        <v>1597</v>
      </c>
      <c r="I142" s="318" t="s">
        <v>1598</v>
      </c>
      <c r="J142" s="318" t="s">
        <v>1599</v>
      </c>
      <c r="L142" s="183"/>
      <c r="M142" s="662"/>
    </row>
    <row r="143" spans="1:13">
      <c r="B143" s="183"/>
      <c r="C143" s="157"/>
      <c r="D143" s="157"/>
      <c r="E143" s="158"/>
      <c r="F143" s="186" t="s">
        <v>1660</v>
      </c>
      <c r="G143" s="319">
        <f>BasicProjectData!G22</f>
        <v>0</v>
      </c>
      <c r="H143" s="319">
        <f>BasicProjectData!H22</f>
        <v>0</v>
      </c>
      <c r="I143" s="319">
        <f>BasicProjectData!I22</f>
        <v>0</v>
      </c>
      <c r="J143" s="319">
        <f>BasicProjectData!J22</f>
        <v>0</v>
      </c>
      <c r="L143" s="183"/>
      <c r="M143" s="662"/>
    </row>
    <row r="144" spans="1:13">
      <c r="B144" s="183"/>
      <c r="C144" s="157"/>
      <c r="D144" s="157"/>
      <c r="E144" s="159"/>
      <c r="F144" s="186" t="s">
        <v>1661</v>
      </c>
      <c r="G144" s="319">
        <f>Roadway!G9</f>
        <v>0</v>
      </c>
      <c r="H144" s="319">
        <f>Roadway!H9</f>
        <v>0</v>
      </c>
      <c r="I144" s="319">
        <f>Roadway!I9</f>
        <v>0</v>
      </c>
      <c r="J144" s="319">
        <f>Roadway!J9</f>
        <v>0</v>
      </c>
      <c r="L144" s="183"/>
      <c r="M144" s="662"/>
    </row>
    <row r="145" spans="1:22">
      <c r="B145" s="183"/>
      <c r="C145" s="159"/>
      <c r="D145" s="321"/>
      <c r="F145" s="186" t="s">
        <v>3783</v>
      </c>
      <c r="G145" s="320">
        <f>ROUNDUP(G144/12,0)</f>
        <v>0</v>
      </c>
      <c r="H145" s="320">
        <f>ROUNDUP(H144/12,0)</f>
        <v>0</v>
      </c>
      <c r="I145" s="320">
        <f>ROUNDUP(I144/12,0)</f>
        <v>0</v>
      </c>
      <c r="J145" s="320">
        <f>ROUNDUP(J144/12,0)</f>
        <v>0</v>
      </c>
      <c r="L145" s="183"/>
      <c r="M145" s="663"/>
    </row>
    <row r="146" spans="1:22">
      <c r="B146" s="183"/>
      <c r="C146" s="157"/>
      <c r="F146" s="530" t="s">
        <v>3784</v>
      </c>
      <c r="G146" s="322">
        <f>G145*G143</f>
        <v>0</v>
      </c>
      <c r="H146" s="322">
        <f>H145*H143</f>
        <v>0</v>
      </c>
      <c r="I146" s="322">
        <f>I145*I143</f>
        <v>0</v>
      </c>
      <c r="J146" s="322">
        <f>J145*J143</f>
        <v>0</v>
      </c>
      <c r="L146" s="183"/>
      <c r="M146" s="662"/>
    </row>
    <row r="147" spans="1:22">
      <c r="B147" s="183"/>
      <c r="C147" s="157"/>
      <c r="D147" s="157"/>
      <c r="F147" s="157"/>
      <c r="G147" s="157"/>
      <c r="H147" s="322"/>
      <c r="I147" s="322"/>
      <c r="J147" s="322"/>
      <c r="K147" s="322"/>
      <c r="L147" s="183"/>
      <c r="M147" s="662"/>
    </row>
    <row r="148" spans="1:22">
      <c r="B148" s="183"/>
      <c r="C148" s="157"/>
      <c r="D148" s="323" t="s">
        <v>1670</v>
      </c>
      <c r="E148" s="524">
        <f>SUM(G146:J146)</f>
        <v>0</v>
      </c>
      <c r="F148" s="324"/>
      <c r="G148" s="157"/>
      <c r="H148" s="322"/>
      <c r="I148" s="325"/>
      <c r="J148" s="322"/>
      <c r="K148" s="322"/>
      <c r="L148" s="183"/>
      <c r="M148" s="662"/>
      <c r="N148" s="157"/>
      <c r="O148" s="229"/>
      <c r="P148" s="200"/>
      <c r="Q148" s="246"/>
      <c r="S148" s="322"/>
      <c r="T148" s="326"/>
      <c r="U148" s="196"/>
      <c r="V148" s="199"/>
    </row>
    <row r="149" spans="1:22" ht="15.75" thickBot="1">
      <c r="B149" s="183"/>
      <c r="C149" s="295"/>
      <c r="D149" s="327" t="s">
        <v>1236</v>
      </c>
      <c r="E149" s="524">
        <f>SUM(Roadway!G9:J9)*2</f>
        <v>0</v>
      </c>
      <c r="F149" s="122"/>
      <c r="G149" s="328"/>
      <c r="H149" s="183"/>
      <c r="I149" s="328"/>
      <c r="J149" s="322"/>
      <c r="K149" s="322"/>
      <c r="L149" s="183"/>
      <c r="M149" s="662"/>
    </row>
    <row r="150" spans="1:22" ht="15.75" thickBot="1">
      <c r="B150" s="183"/>
      <c r="C150" s="157"/>
      <c r="D150" s="200" t="s">
        <v>18</v>
      </c>
      <c r="E150" s="329">
        <f>SUM(E148:E149)</f>
        <v>0</v>
      </c>
      <c r="F150" s="219" t="s">
        <v>66</v>
      </c>
      <c r="G150" s="330">
        <f>E148</f>
        <v>0</v>
      </c>
      <c r="H150" s="322">
        <f>E149</f>
        <v>0</v>
      </c>
      <c r="I150" s="328"/>
      <c r="J150" s="154"/>
      <c r="K150" s="199"/>
      <c r="L150" s="183"/>
      <c r="M150" s="662"/>
    </row>
    <row r="151" spans="1:22">
      <c r="B151" s="183"/>
      <c r="C151" s="157"/>
      <c r="D151" s="157"/>
      <c r="E151" s="157"/>
      <c r="F151" s="157"/>
      <c r="G151" s="157"/>
      <c r="H151" s="152"/>
      <c r="I151" s="153"/>
      <c r="J151" s="154"/>
      <c r="K151" s="199"/>
      <c r="L151" s="183"/>
      <c r="M151" s="662"/>
    </row>
    <row r="152" spans="1:22">
      <c r="A152" s="868" t="str">
        <f ca="1">IFERROR(HYPERLINK("#"&amp;"ProjectEstimate!A"&amp;(8+MATCH($C152,ProjectEstimate!$A$9:$A$145,0)),CONCATENATE("Go to ",$C152))," ")</f>
        <v xml:space="preserve"> </v>
      </c>
      <c r="B152" s="183"/>
      <c r="C152" s="157">
        <v>472</v>
      </c>
      <c r="D152" s="1227" t="s">
        <v>315</v>
      </c>
      <c r="E152" s="1227"/>
      <c r="F152" s="1227"/>
      <c r="G152" s="1227"/>
      <c r="H152" s="152">
        <f>ROUNDUP(H158,0)</f>
        <v>0</v>
      </c>
      <c r="I152" s="153" t="s">
        <v>7</v>
      </c>
      <c r="J152" s="154">
        <f ca="1">IF(ISBLANK(M152),_xlfn.XLOOKUP(C152,Output[Item '#],Output[Unit Price (Max or Override)]),M152)</f>
        <v>291</v>
      </c>
      <c r="K152" s="199">
        <f ca="1">ROUND(H152*J152, -1)</f>
        <v>0</v>
      </c>
      <c r="L152" s="181"/>
      <c r="M152" s="869"/>
    </row>
    <row r="153" spans="1:22">
      <c r="B153" s="183"/>
      <c r="C153" s="331"/>
      <c r="D153" s="181"/>
      <c r="E153" s="183"/>
      <c r="F153" s="183"/>
      <c r="G153" s="183"/>
      <c r="H153" s="183"/>
      <c r="I153" s="183"/>
      <c r="J153" s="183"/>
      <c r="K153" s="286"/>
      <c r="L153" s="183"/>
      <c r="M153" s="662"/>
    </row>
    <row r="154" spans="1:22">
      <c r="B154" s="183"/>
      <c r="C154" s="331"/>
      <c r="D154" s="186" t="s">
        <v>1237</v>
      </c>
      <c r="E154" s="332">
        <f>G154*H154</f>
        <v>0</v>
      </c>
      <c r="F154" s="202" t="s">
        <v>66</v>
      </c>
      <c r="G154" s="207">
        <f>SUM(Roadway!G9:J9)*2</f>
        <v>0</v>
      </c>
      <c r="H154" s="204">
        <v>2</v>
      </c>
      <c r="I154" s="196" t="s">
        <v>1833</v>
      </c>
      <c r="K154" s="286"/>
      <c r="L154" s="183"/>
      <c r="M154" s="662"/>
    </row>
    <row r="155" spans="1:22">
      <c r="B155" s="183"/>
      <c r="C155" s="331"/>
      <c r="D155" s="186"/>
      <c r="E155" s="333">
        <f>G155/H155</f>
        <v>0</v>
      </c>
      <c r="F155" s="202" t="s">
        <v>66</v>
      </c>
      <c r="G155" s="269">
        <f>E154</f>
        <v>0</v>
      </c>
      <c r="H155" s="255">
        <v>9</v>
      </c>
      <c r="I155" s="196" t="s">
        <v>1832</v>
      </c>
      <c r="K155" s="286"/>
      <c r="L155" s="183"/>
      <c r="M155" s="662"/>
    </row>
    <row r="156" spans="1:22">
      <c r="B156" s="183"/>
      <c r="C156" s="183"/>
      <c r="D156" s="334"/>
      <c r="E156" s="335"/>
      <c r="F156" s="335"/>
      <c r="G156" s="183"/>
      <c r="H156" s="228"/>
      <c r="I156" s="183"/>
      <c r="J156" s="196"/>
      <c r="K156" s="286"/>
      <c r="L156" s="183"/>
      <c r="M156" s="662"/>
    </row>
    <row r="157" spans="1:22">
      <c r="B157" s="183"/>
      <c r="C157" s="183"/>
      <c r="D157" s="739" t="s">
        <v>15</v>
      </c>
      <c r="E157" s="739" t="s">
        <v>14</v>
      </c>
      <c r="F157" s="1237" t="s">
        <v>12</v>
      </c>
      <c r="G157" s="1237"/>
      <c r="H157" s="1237" t="s">
        <v>13</v>
      </c>
      <c r="I157" s="1231"/>
      <c r="J157" s="183"/>
      <c r="K157" s="286"/>
      <c r="L157" s="183"/>
      <c r="M157" s="662"/>
    </row>
    <row r="158" spans="1:22" ht="15.75" thickBot="1">
      <c r="B158" s="183"/>
      <c r="C158" s="331"/>
      <c r="D158" s="312">
        <f>E155</f>
        <v>0</v>
      </c>
      <c r="E158" s="609">
        <v>2</v>
      </c>
      <c r="F158" s="1229">
        <v>5.6000000000000001E-2</v>
      </c>
      <c r="G158" s="1229"/>
      <c r="H158" s="1241">
        <f>D158*E158*F158</f>
        <v>0</v>
      </c>
      <c r="I158" s="1242"/>
      <c r="J158" s="183"/>
      <c r="K158" s="286"/>
      <c r="L158" s="183"/>
      <c r="M158" s="662"/>
    </row>
    <row r="159" spans="1:22">
      <c r="B159" s="183"/>
      <c r="C159" s="183"/>
      <c r="D159" s="183"/>
      <c r="E159" s="285"/>
      <c r="F159" s="336"/>
      <c r="G159" s="336"/>
      <c r="H159" s="285"/>
      <c r="I159" s="285"/>
      <c r="J159" s="183"/>
      <c r="K159" s="286"/>
      <c r="L159" s="183"/>
      <c r="M159" s="662"/>
    </row>
    <row r="160" spans="1:22">
      <c r="A160" s="868" t="str">
        <f ca="1">IFERROR(HYPERLINK("#"&amp;"ProjectEstimate!A"&amp;(8+MATCH($C160,ProjectEstimate!$A$9:$A$145,0)),CONCATENATE("Go to ",$C160))," ")</f>
        <v xml:space="preserve"> </v>
      </c>
      <c r="B160" s="183"/>
      <c r="C160" s="337">
        <v>476.11</v>
      </c>
      <c r="D160" s="1227" t="s">
        <v>1701</v>
      </c>
      <c r="E160" s="1227"/>
      <c r="F160" s="1227"/>
      <c r="G160" s="1227"/>
      <c r="H160" s="152">
        <f>ROUNDUP(E164,0)</f>
        <v>0</v>
      </c>
      <c r="I160" s="153" t="s">
        <v>1</v>
      </c>
      <c r="J160" s="154">
        <f>IF(ISBLANK(M160),_xlfn.XLOOKUP(C160,Output[Item '#],Output[Unit Price (Max or Override)]),M160)</f>
        <v>75</v>
      </c>
      <c r="K160" s="199">
        <f>ROUND(H160*J160, -1)</f>
        <v>0</v>
      </c>
      <c r="L160" s="183"/>
      <c r="M160" s="869"/>
    </row>
    <row r="161" spans="1:19">
      <c r="B161" s="183"/>
      <c r="C161" s="157"/>
      <c r="D161" s="157"/>
      <c r="E161" s="157"/>
      <c r="F161" s="157"/>
      <c r="G161" s="157"/>
      <c r="H161" s="152"/>
      <c r="I161" s="153"/>
      <c r="J161" s="154"/>
      <c r="K161" s="205"/>
      <c r="L161" s="183"/>
      <c r="M161" s="663"/>
    </row>
    <row r="162" spans="1:19">
      <c r="B162" s="183"/>
      <c r="C162" s="157"/>
      <c r="D162" s="234" t="s">
        <v>1704</v>
      </c>
      <c r="E162" s="200">
        <f>COUNTIF(TrafficControl!G16:J16,HIDDEN!C47)</f>
        <v>0</v>
      </c>
      <c r="F162" s="157"/>
      <c r="G162" s="157"/>
      <c r="H162" s="152"/>
      <c r="I162" s="153"/>
      <c r="J162" s="196" t="s">
        <v>1705</v>
      </c>
      <c r="K162" s="205"/>
      <c r="L162" s="183"/>
      <c r="M162" s="663"/>
    </row>
    <row r="163" spans="1:19" ht="15.75" thickBot="1">
      <c r="B163" s="183"/>
      <c r="C163" s="157"/>
      <c r="D163" s="234" t="s">
        <v>1706</v>
      </c>
      <c r="E163" s="453">
        <f>G163*H163^2/I163</f>
        <v>1590.4312808798327</v>
      </c>
      <c r="F163" s="219" t="s">
        <v>66</v>
      </c>
      <c r="G163" s="309">
        <f>PI()</f>
        <v>3.1415926535897931</v>
      </c>
      <c r="H163" s="873">
        <v>45</v>
      </c>
      <c r="I163" s="200">
        <v>4</v>
      </c>
      <c r="J163" s="196" t="s">
        <v>1707</v>
      </c>
      <c r="K163" s="205"/>
      <c r="L163" s="183"/>
      <c r="M163" s="663"/>
    </row>
    <row r="164" spans="1:19" ht="15.75" thickBot="1">
      <c r="B164" s="183"/>
      <c r="C164" s="157"/>
      <c r="D164" s="234" t="s">
        <v>1702</v>
      </c>
      <c r="E164" s="298">
        <f>G164/H164*I164</f>
        <v>0</v>
      </c>
      <c r="F164" s="219" t="s">
        <v>66</v>
      </c>
      <c r="G164" s="269">
        <f>E163</f>
        <v>1590.4312808798327</v>
      </c>
      <c r="H164" s="355">
        <v>9</v>
      </c>
      <c r="I164" s="285">
        <f>E162</f>
        <v>0</v>
      </c>
      <c r="J164" s="196" t="s">
        <v>1703</v>
      </c>
      <c r="K164" s="205"/>
      <c r="L164" s="183"/>
      <c r="M164" s="662"/>
    </row>
    <row r="165" spans="1:19">
      <c r="M165" s="662"/>
    </row>
    <row r="166" spans="1:19">
      <c r="A166" s="868" t="str">
        <f ca="1">IFERROR(HYPERLINK("#"&amp;"ProjectEstimate!A"&amp;(8+MATCH($C166,ProjectEstimate!$A$9:$A$145,0)),CONCATENATE("Go to ",$C166))," ")</f>
        <v xml:space="preserve"> </v>
      </c>
      <c r="B166" s="159"/>
      <c r="C166" s="157">
        <v>698.1</v>
      </c>
      <c r="D166" s="1235" t="s">
        <v>403</v>
      </c>
      <c r="E166" s="1235"/>
      <c r="F166" s="1235"/>
      <c r="G166" s="1235"/>
      <c r="H166" s="211">
        <f>E178</f>
        <v>0</v>
      </c>
      <c r="I166" s="153" t="s">
        <v>1</v>
      </c>
      <c r="J166" s="154">
        <f ca="1">IF(ISBLANK(M166),_xlfn.XLOOKUP(C166,Output[Item '#],Output[Unit Price (Max or Override)]),M166)</f>
        <v>10</v>
      </c>
      <c r="K166" s="199">
        <f ca="1">ROUND(H166*J166, -1)</f>
        <v>0</v>
      </c>
      <c r="L166" s="159"/>
      <c r="M166" s="869"/>
      <c r="N166" s="198"/>
      <c r="O166" s="195"/>
    </row>
    <row r="167" spans="1:19">
      <c r="B167" s="159"/>
      <c r="C167" s="159"/>
      <c r="D167" s="159"/>
      <c r="E167" s="159"/>
      <c r="F167" s="159"/>
      <c r="G167" s="159"/>
      <c r="H167" s="159"/>
      <c r="I167" s="159"/>
      <c r="J167" s="159"/>
      <c r="K167" s="159"/>
      <c r="L167" s="159"/>
      <c r="M167" s="662"/>
      <c r="N167" s="198"/>
      <c r="O167" s="195"/>
    </row>
    <row r="168" spans="1:19">
      <c r="B168" s="159"/>
      <c r="C168" s="159"/>
      <c r="D168" s="338" t="s">
        <v>1664</v>
      </c>
      <c r="E168" s="159"/>
      <c r="F168" s="195"/>
      <c r="G168" s="318" t="s">
        <v>1596</v>
      </c>
      <c r="H168" s="318" t="s">
        <v>1597</v>
      </c>
      <c r="I168" s="318" t="s">
        <v>1598</v>
      </c>
      <c r="J168" s="318" t="s">
        <v>1599</v>
      </c>
      <c r="L168" s="159"/>
      <c r="M168" s="662"/>
      <c r="N168" s="294"/>
      <c r="O168" s="195"/>
      <c r="S168" s="195"/>
    </row>
    <row r="169" spans="1:19">
      <c r="B169" s="159"/>
      <c r="C169" s="159"/>
      <c r="D169" s="159"/>
      <c r="E169" s="159"/>
      <c r="F169" s="529" t="s">
        <v>1660</v>
      </c>
      <c r="G169" s="319">
        <f>BasicProjectData!G22</f>
        <v>0</v>
      </c>
      <c r="H169" s="319">
        <f>BasicProjectData!H22</f>
        <v>0</v>
      </c>
      <c r="I169" s="319">
        <f>BasicProjectData!I22</f>
        <v>0</v>
      </c>
      <c r="J169" s="319">
        <f>BasicProjectData!J22</f>
        <v>0</v>
      </c>
      <c r="L169" s="462"/>
      <c r="M169" s="662"/>
    </row>
    <row r="170" spans="1:19">
      <c r="B170" s="159"/>
      <c r="C170" s="159"/>
      <c r="D170" s="159"/>
      <c r="E170" s="159"/>
      <c r="F170" s="529" t="s">
        <v>1668</v>
      </c>
      <c r="G170" s="319">
        <f>IF(Multimodal!G10=HIDDEN!$E$17,Multimodal!G11,0)+IF(Multimodal!G22=HIDDEN!$E$17,Multimodal!G23,0)</f>
        <v>0</v>
      </c>
      <c r="H170" s="319">
        <f>IF(Multimodal!H10=HIDDEN!$E$17,Multimodal!H11,0)+IF(Multimodal!H22=HIDDEN!$E$17,Multimodal!H23,0)</f>
        <v>0</v>
      </c>
      <c r="I170" s="319">
        <f>IF(Multimodal!I10=HIDDEN!$E$17,Multimodal!I11,0)+IF(Multimodal!I22=HIDDEN!$E$17,Multimodal!I23,0)</f>
        <v>0</v>
      </c>
      <c r="J170" s="319">
        <f>IF(Multimodal!J10=HIDDEN!$E$17,Multimodal!J11,0)+IF(Multimodal!J22=HIDDEN!$E$17,Multimodal!J23,0)</f>
        <v>0</v>
      </c>
      <c r="L170" s="462"/>
      <c r="M170" s="662"/>
    </row>
    <row r="171" spans="1:19">
      <c r="B171" s="159"/>
      <c r="C171" s="159"/>
      <c r="D171" s="159"/>
      <c r="E171" s="159"/>
      <c r="F171" s="529" t="s">
        <v>1669</v>
      </c>
      <c r="G171" s="319">
        <f>IF(Multimodal!G16=HIDDEN!$E$17,Multimodal!G17,0)+IF(Multimodal!G28=HIDDEN!$E$17,Multimodal!G29,0)</f>
        <v>0</v>
      </c>
      <c r="H171" s="319">
        <f>IF(Multimodal!H16=HIDDEN!$E$17,Multimodal!H17,0)+IF(Multimodal!H28=HIDDEN!$E$17,Multimodal!H29,0)</f>
        <v>0</v>
      </c>
      <c r="I171" s="319">
        <f>IF(Multimodal!I16=HIDDEN!$E$17,Multimodal!I17,0)+IF(Multimodal!I28=HIDDEN!$E$17,Multimodal!I29,0)</f>
        <v>0</v>
      </c>
      <c r="J171" s="319">
        <f>IF(Multimodal!J16=HIDDEN!$E$17,Multimodal!J17,0)+IF(Multimodal!J28=HIDDEN!$E$17,Multimodal!J29,0)</f>
        <v>0</v>
      </c>
      <c r="L171" s="462"/>
      <c r="M171" s="662"/>
    </row>
    <row r="172" spans="1:19" ht="15.75" thickBot="1">
      <c r="B172" s="159"/>
      <c r="C172" s="159"/>
      <c r="D172" s="159"/>
      <c r="E172" s="159"/>
      <c r="F172" s="529" t="s">
        <v>1662</v>
      </c>
      <c r="G172" s="339">
        <f>IF(SUM(G170:G171)&gt;0,7/6,0)</f>
        <v>0</v>
      </c>
      <c r="H172" s="339">
        <f>IF(SUM(H170:H171)&gt;0,7/6,0)</f>
        <v>0</v>
      </c>
      <c r="I172" s="339">
        <f>IF(SUM(I170:I171)&gt;0,7/6,0)</f>
        <v>0</v>
      </c>
      <c r="J172" s="339">
        <f>IF(SUM(J170:J171)&gt;0,7/6,0)</f>
        <v>0</v>
      </c>
      <c r="L172" s="462"/>
      <c r="M172" s="662"/>
    </row>
    <row r="173" spans="1:19" ht="15.75" thickBot="1">
      <c r="B173" s="159"/>
      <c r="C173" s="195"/>
      <c r="D173" s="340"/>
      <c r="E173" s="159"/>
      <c r="F173" s="229" t="s">
        <v>1658</v>
      </c>
      <c r="G173" s="341">
        <f>G169*G172*2</f>
        <v>0</v>
      </c>
      <c r="H173" s="342">
        <f>H169*H172*2</f>
        <v>0</v>
      </c>
      <c r="I173" s="342">
        <f>I169*I172*2</f>
        <v>0</v>
      </c>
      <c r="J173" s="343">
        <f>J169*J172*2</f>
        <v>0</v>
      </c>
      <c r="L173" s="462"/>
      <c r="M173" s="662"/>
    </row>
    <row r="174" spans="1:19" ht="15.75" thickBot="1">
      <c r="B174" s="159"/>
      <c r="C174" s="195"/>
      <c r="D174" s="340"/>
      <c r="E174" s="344"/>
      <c r="F174" s="282" t="s">
        <v>1659</v>
      </c>
      <c r="G174" s="345">
        <f>G169*G170+G169*G171</f>
        <v>0</v>
      </c>
      <c r="H174" s="346">
        <f>H169*H170+H169*H171</f>
        <v>0</v>
      </c>
      <c r="I174" s="346">
        <f>I169*I170+I169*I171</f>
        <v>0</v>
      </c>
      <c r="J174" s="347">
        <f>J169*J170+J169*J171</f>
        <v>0</v>
      </c>
      <c r="L174" s="462"/>
      <c r="M174" s="662"/>
    </row>
    <row r="175" spans="1:19" s="183" customFormat="1">
      <c r="C175" s="157"/>
      <c r="G175" s="348">
        <f>SUM(G173:G174)</f>
        <v>0</v>
      </c>
      <c r="H175" s="348">
        <f>SUM(H173:H174)</f>
        <v>0</v>
      </c>
      <c r="I175" s="348">
        <f>SUM(I173:I174)</f>
        <v>0</v>
      </c>
      <c r="J175" s="348">
        <f>SUM(J173:J174)</f>
        <v>0</v>
      </c>
      <c r="M175" s="662"/>
    </row>
    <row r="176" spans="1:19">
      <c r="B176" s="159"/>
      <c r="C176" s="157"/>
      <c r="D176" s="349"/>
      <c r="E176" s="525" t="s">
        <v>15</v>
      </c>
      <c r="F176" s="349"/>
      <c r="G176" s="349"/>
      <c r="H176" s="159"/>
      <c r="I176" s="159"/>
      <c r="J176" s="196"/>
      <c r="K176" s="183"/>
      <c r="L176" s="159"/>
      <c r="M176" s="662"/>
    </row>
    <row r="177" spans="1:13" ht="15.75" thickBot="1">
      <c r="B177" s="159"/>
      <c r="C177" s="157"/>
      <c r="D177" s="229" t="s">
        <v>1663</v>
      </c>
      <c r="E177" s="191">
        <f>G177/H177</f>
        <v>0</v>
      </c>
      <c r="F177" s="350" t="s">
        <v>66</v>
      </c>
      <c r="G177" s="351">
        <f>SUM(G175:J175)</f>
        <v>0</v>
      </c>
      <c r="H177" s="255">
        <v>9</v>
      </c>
      <c r="I177" s="159"/>
      <c r="J177" s="196"/>
      <c r="K177" s="195"/>
      <c r="L177" s="159"/>
      <c r="M177" s="662"/>
    </row>
    <row r="178" spans="1:13" ht="15.75" thickBot="1">
      <c r="B178" s="159"/>
      <c r="C178" s="157"/>
      <c r="D178" s="297"/>
      <c r="E178" s="268">
        <f>ROUNDUP(E177,-1)</f>
        <v>0</v>
      </c>
      <c r="F178" s="183"/>
      <c r="G178" s="159"/>
      <c r="H178" s="159"/>
      <c r="I178" s="159"/>
      <c r="J178" s="196"/>
      <c r="K178" s="195"/>
      <c r="L178" s="159"/>
      <c r="M178" s="662"/>
    </row>
    <row r="179" spans="1:13" s="161" customFormat="1">
      <c r="M179" s="662"/>
    </row>
    <row r="180" spans="1:13">
      <c r="A180" s="868" t="str">
        <f ca="1">IFERROR(HYPERLINK("#"&amp;"ProjectEstimate!A"&amp;(8+MATCH($C180,ProjectEstimate!$A$9:$A$145,0)),CONCATENATE("Go to ",$C180))," ")</f>
        <v xml:space="preserve"> </v>
      </c>
      <c r="B180" s="183"/>
      <c r="C180" s="157">
        <v>701</v>
      </c>
      <c r="D180" s="1243" t="s">
        <v>406</v>
      </c>
      <c r="E180" s="1243"/>
      <c r="F180" s="1243"/>
      <c r="G180" s="1243"/>
      <c r="H180" s="211">
        <f>ROUNDUP(E189,0)</f>
        <v>0</v>
      </c>
      <c r="I180" s="153" t="s">
        <v>1</v>
      </c>
      <c r="J180" s="154">
        <f ca="1">IF(ISBLANK(M180),_xlfn.XLOOKUP(C180,Output[Item '#],Output[Unit Price (Max or Override)]),M180)</f>
        <v>100</v>
      </c>
      <c r="K180" s="199">
        <f ca="1">ROUND(H180*J180, -1)</f>
        <v>0</v>
      </c>
      <c r="L180" s="183"/>
      <c r="M180" s="869"/>
    </row>
    <row r="181" spans="1:13">
      <c r="B181" s="183"/>
      <c r="C181" s="157"/>
      <c r="D181" s="349"/>
      <c r="E181" s="525" t="s">
        <v>15</v>
      </c>
      <c r="F181" s="349"/>
      <c r="G181" s="349"/>
      <c r="H181" s="352"/>
      <c r="I181" s="226"/>
      <c r="J181" s="154"/>
      <c r="K181" s="199"/>
      <c r="L181" s="183"/>
      <c r="M181" s="662"/>
    </row>
    <row r="182" spans="1:13">
      <c r="B182" s="183"/>
      <c r="C182" s="157"/>
      <c r="D182" s="229" t="s">
        <v>1224</v>
      </c>
      <c r="E182" s="227">
        <f>SUM(AREA!I42:L42)</f>
        <v>0</v>
      </c>
      <c r="F182" s="183"/>
      <c r="G182" s="353"/>
      <c r="H182" s="188"/>
      <c r="I182" s="226"/>
      <c r="J182" s="196" t="s">
        <v>1227</v>
      </c>
      <c r="K182" s="199"/>
      <c r="L182" s="183"/>
      <c r="M182" s="662"/>
    </row>
    <row r="183" spans="1:13">
      <c r="B183" s="183"/>
      <c r="C183" s="157"/>
      <c r="D183" s="229" t="s">
        <v>3786</v>
      </c>
      <c r="E183" s="227">
        <f>SUM(AREA!I47:L47)</f>
        <v>0</v>
      </c>
      <c r="F183" s="183"/>
      <c r="G183" s="353"/>
      <c r="H183" s="188"/>
      <c r="I183" s="226"/>
      <c r="J183" s="196" t="s">
        <v>1227</v>
      </c>
      <c r="K183" s="199"/>
      <c r="L183" s="183"/>
      <c r="M183" s="662"/>
    </row>
    <row r="184" spans="1:13">
      <c r="B184" s="183"/>
      <c r="C184" s="157"/>
      <c r="D184" s="229" t="s">
        <v>3787</v>
      </c>
      <c r="E184" s="227">
        <f>SUM(AREA!I52:L52)</f>
        <v>0</v>
      </c>
      <c r="F184" s="183"/>
      <c r="G184" s="353"/>
      <c r="H184" s="188"/>
      <c r="I184" s="226"/>
      <c r="J184" s="196" t="s">
        <v>1227</v>
      </c>
      <c r="K184" s="199"/>
      <c r="L184" s="183"/>
      <c r="M184" s="662"/>
    </row>
    <row r="185" spans="1:13">
      <c r="B185" s="183"/>
      <c r="C185" s="157"/>
      <c r="D185" s="229" t="s">
        <v>3788</v>
      </c>
      <c r="E185" s="227">
        <f>SUM(AREA!I34:L34)</f>
        <v>0</v>
      </c>
      <c r="F185" s="183"/>
      <c r="G185" s="353"/>
      <c r="H185" s="188"/>
      <c r="I185" s="226"/>
      <c r="J185" s="196" t="s">
        <v>1227</v>
      </c>
      <c r="K185" s="199"/>
      <c r="L185" s="183"/>
      <c r="M185" s="662"/>
    </row>
    <row r="186" spans="1:13">
      <c r="B186" s="183"/>
      <c r="C186" s="157"/>
      <c r="D186" s="229" t="s">
        <v>3707</v>
      </c>
      <c r="E186" s="227">
        <f>SUM(AREA!I27:L27)</f>
        <v>0</v>
      </c>
      <c r="F186" s="183"/>
      <c r="G186" s="353"/>
      <c r="H186" s="188"/>
      <c r="I186" s="226"/>
      <c r="J186" s="196" t="s">
        <v>1227</v>
      </c>
      <c r="K186" s="199"/>
      <c r="L186" s="183"/>
      <c r="M186" s="662"/>
    </row>
    <row r="187" spans="1:13">
      <c r="B187" s="183"/>
      <c r="C187" s="157"/>
      <c r="D187" s="229" t="s">
        <v>3789</v>
      </c>
      <c r="E187" s="227">
        <f>SUM(AREA!I29:L29)</f>
        <v>0</v>
      </c>
      <c r="F187" s="183"/>
      <c r="G187" s="353"/>
      <c r="H187" s="188"/>
      <c r="I187" s="226"/>
      <c r="J187" s="196" t="s">
        <v>1227</v>
      </c>
      <c r="K187" s="199"/>
      <c r="L187" s="183"/>
      <c r="M187" s="662"/>
    </row>
    <row r="188" spans="1:13" ht="15.75" thickBot="1">
      <c r="B188" s="183"/>
      <c r="C188" s="295"/>
      <c r="D188" s="282" t="s">
        <v>3790</v>
      </c>
      <c r="E188" s="296">
        <f>SUM(AREA!I22:L22)</f>
        <v>0</v>
      </c>
      <c r="F188" s="183"/>
      <c r="G188" s="353"/>
      <c r="H188" s="188"/>
      <c r="I188" s="200"/>
      <c r="J188" s="196" t="s">
        <v>1227</v>
      </c>
      <c r="K188" s="199"/>
      <c r="L188" s="183"/>
      <c r="M188" s="662"/>
    </row>
    <row r="189" spans="1:13" ht="15.75" thickBot="1">
      <c r="B189" s="183"/>
      <c r="C189" s="157"/>
      <c r="D189" s="297" t="s">
        <v>826</v>
      </c>
      <c r="E189" s="268">
        <f>SUM(E182:E188)</f>
        <v>0</v>
      </c>
      <c r="F189" s="183"/>
      <c r="G189" s="183"/>
      <c r="H189" s="188"/>
      <c r="I189" s="200"/>
      <c r="J189" s="183"/>
      <c r="K189" s="199"/>
      <c r="L189" s="183"/>
      <c r="M189" s="662"/>
    </row>
    <row r="190" spans="1:13">
      <c r="B190" s="183"/>
      <c r="C190" s="157"/>
      <c r="D190" s="122"/>
      <c r="E190" s="122"/>
      <c r="F190" s="122"/>
      <c r="G190" s="200"/>
      <c r="H190" s="221"/>
      <c r="I190" s="200"/>
      <c r="J190" s="154"/>
      <c r="K190" s="199"/>
      <c r="L190" s="183"/>
      <c r="M190" s="662"/>
    </row>
    <row r="191" spans="1:13">
      <c r="A191" s="868" t="str">
        <f ca="1">IFERROR(HYPERLINK("#"&amp;"ProjectEstimate!A"&amp;(8+MATCH($C191,ProjectEstimate!$A$9:$A$145,0)),CONCATENATE("Go to ",$C191))," ")</f>
        <v xml:space="preserve"> </v>
      </c>
      <c r="B191" s="183"/>
      <c r="C191" s="157">
        <v>701.1</v>
      </c>
      <c r="D191" s="1243" t="s">
        <v>407</v>
      </c>
      <c r="E191" s="1243"/>
      <c r="F191" s="1243"/>
      <c r="G191" s="1243"/>
      <c r="H191" s="211">
        <f>ROUNDUP(E196,0)</f>
        <v>0</v>
      </c>
      <c r="I191" s="153" t="s">
        <v>1</v>
      </c>
      <c r="J191" s="154">
        <f ca="1">IF(ISBLANK(M191),_xlfn.XLOOKUP(C191,Output[Item '#],Output[Unit Price (Max or Override)]),M191)</f>
        <v>109</v>
      </c>
      <c r="K191" s="199">
        <f ca="1">ROUND(H191*J191, -1)</f>
        <v>0</v>
      </c>
      <c r="L191" s="183"/>
      <c r="M191" s="869"/>
    </row>
    <row r="192" spans="1:13">
      <c r="B192" s="183"/>
      <c r="C192" s="157"/>
      <c r="D192" s="349"/>
      <c r="E192" s="276"/>
      <c r="F192" s="349"/>
      <c r="G192" s="349"/>
      <c r="H192" s="352"/>
      <c r="I192" s="226"/>
      <c r="J192" s="154"/>
      <c r="K192" s="199"/>
      <c r="L192" s="183"/>
      <c r="M192" s="662"/>
    </row>
    <row r="193" spans="1:16">
      <c r="B193" s="183"/>
      <c r="C193" s="157"/>
      <c r="D193" s="229" t="s">
        <v>1631</v>
      </c>
      <c r="E193" s="191">
        <f>SUMIFS(Roadway!$G$31:$J$31,Roadway!$G$32:$J$32,HIDDEN!C34)</f>
        <v>0</v>
      </c>
      <c r="F193" s="183"/>
      <c r="G193" s="353"/>
      <c r="H193" s="188"/>
      <c r="I193" s="226"/>
      <c r="J193" s="196" t="s">
        <v>1630</v>
      </c>
      <c r="K193" s="199"/>
      <c r="L193" s="183"/>
      <c r="M193" s="662"/>
    </row>
    <row r="194" spans="1:16">
      <c r="B194" s="183"/>
      <c r="C194" s="295"/>
      <c r="D194" s="282" t="s">
        <v>3703</v>
      </c>
      <c r="E194" s="296">
        <f>G194*H194*I194</f>
        <v>0</v>
      </c>
      <c r="F194" s="354" t="s">
        <v>66</v>
      </c>
      <c r="G194" s="355">
        <f>E193</f>
        <v>0</v>
      </c>
      <c r="H194" s="875">
        <v>16</v>
      </c>
      <c r="I194" s="874">
        <v>10</v>
      </c>
      <c r="J194" s="196" t="s">
        <v>1633</v>
      </c>
      <c r="K194" s="199"/>
      <c r="L194" s="183"/>
      <c r="M194" s="662"/>
    </row>
    <row r="195" spans="1:16">
      <c r="B195" s="183"/>
      <c r="C195" s="157"/>
      <c r="D195" s="297" t="s">
        <v>826</v>
      </c>
      <c r="E195" s="332">
        <f>E194</f>
        <v>0</v>
      </c>
      <c r="F195" s="183"/>
      <c r="G195" s="183"/>
      <c r="H195" s="188"/>
      <c r="I195" s="200"/>
      <c r="J195" s="356" t="s">
        <v>1632</v>
      </c>
      <c r="K195" s="199"/>
      <c r="L195" s="183"/>
      <c r="M195" s="662"/>
    </row>
    <row r="196" spans="1:16">
      <c r="B196" s="183"/>
      <c r="C196" s="157"/>
      <c r="D196" s="297"/>
      <c r="E196" s="333">
        <f>G196/H196</f>
        <v>0</v>
      </c>
      <c r="F196" s="202" t="s">
        <v>66</v>
      </c>
      <c r="G196" s="269">
        <f>E195</f>
        <v>0</v>
      </c>
      <c r="H196" s="255">
        <v>9</v>
      </c>
      <c r="I196" s="200"/>
      <c r="J196" s="356"/>
      <c r="K196" s="199"/>
      <c r="L196" s="183"/>
      <c r="M196" s="662"/>
    </row>
    <row r="197" spans="1:16">
      <c r="B197" s="183"/>
      <c r="C197" s="157"/>
      <c r="D197" s="122"/>
      <c r="E197" s="122"/>
      <c r="F197" s="122"/>
      <c r="G197" s="200"/>
      <c r="H197" s="221"/>
      <c r="I197" s="200"/>
      <c r="J197" s="154"/>
      <c r="K197" s="199"/>
      <c r="L197" s="183"/>
      <c r="M197" s="662"/>
    </row>
    <row r="198" spans="1:16">
      <c r="A198" s="868" t="str">
        <f ca="1">IFERROR(HYPERLINK("#"&amp;"ProjectEstimate!A"&amp;(8+MATCH($C198,ProjectEstimate!$A$9:$A$145,0)),CONCATENATE("Go to ",$C198))," ")</f>
        <v xml:space="preserve"> </v>
      </c>
      <c r="B198" s="183"/>
      <c r="C198" s="157">
        <v>701.2</v>
      </c>
      <c r="D198" s="1227" t="s">
        <v>30</v>
      </c>
      <c r="E198" s="1227"/>
      <c r="F198" s="1227"/>
      <c r="G198" s="1227"/>
      <c r="H198" s="152">
        <f>ROUNDUP(E200,0)</f>
        <v>0</v>
      </c>
      <c r="I198" s="153" t="s">
        <v>1</v>
      </c>
      <c r="J198" s="154">
        <f ca="1">IF(ISBLANK(M198),_xlfn.XLOOKUP(C198,Output[Item '#],Output[Unit Price (Max or Override)]),M198)</f>
        <v>135</v>
      </c>
      <c r="K198" s="199">
        <f ca="1">ROUND(H198*J198, -1)</f>
        <v>0</v>
      </c>
      <c r="L198" s="183"/>
      <c r="M198" s="869"/>
    </row>
    <row r="199" spans="1:16" ht="15.75" thickBot="1">
      <c r="B199" s="183"/>
      <c r="C199" s="157"/>
      <c r="D199" s="157"/>
      <c r="E199" s="157"/>
      <c r="F199" s="157"/>
      <c r="G199" s="157"/>
      <c r="H199" s="152"/>
      <c r="I199" s="153"/>
      <c r="J199" s="154"/>
      <c r="K199" s="199"/>
      <c r="L199" s="183"/>
      <c r="M199" s="662"/>
    </row>
    <row r="200" spans="1:16" ht="15.75" thickBot="1">
      <c r="B200" s="183"/>
      <c r="C200" s="157"/>
      <c r="D200" s="186" t="s">
        <v>1238</v>
      </c>
      <c r="E200" s="268">
        <f>G24</f>
        <v>0</v>
      </c>
      <c r="F200" s="200"/>
      <c r="G200" s="183"/>
      <c r="H200" s="183"/>
      <c r="I200" s="183"/>
      <c r="J200" s="196" t="s">
        <v>1227</v>
      </c>
      <c r="K200" s="199"/>
      <c r="L200" s="183"/>
      <c r="M200" s="662"/>
    </row>
    <row r="201" spans="1:16">
      <c r="B201" s="183"/>
      <c r="C201" s="157"/>
      <c r="D201" s="157"/>
      <c r="E201" s="157"/>
      <c r="F201" s="157"/>
      <c r="G201" s="157"/>
      <c r="H201" s="152"/>
      <c r="I201" s="153"/>
      <c r="J201" s="154"/>
      <c r="K201" s="199"/>
      <c r="L201" s="183"/>
      <c r="M201" s="662"/>
    </row>
    <row r="202" spans="1:16">
      <c r="A202" s="868" t="str">
        <f ca="1">IFERROR(HYPERLINK("#"&amp;"ProjectEstimate!A"&amp;(8+MATCH($C202,ProjectEstimate!$A$9:$A$145,0)),CONCATENATE("Go to ",$C202))," ")</f>
        <v xml:space="preserve"> </v>
      </c>
      <c r="B202" s="183"/>
      <c r="C202" s="270">
        <v>702</v>
      </c>
      <c r="D202" s="1227" t="s">
        <v>1423</v>
      </c>
      <c r="E202" s="1227"/>
      <c r="F202" s="1227"/>
      <c r="G202" s="1227"/>
      <c r="H202" s="152">
        <f>ROUNDUP(H220,-1)</f>
        <v>0</v>
      </c>
      <c r="I202" s="153" t="s">
        <v>7</v>
      </c>
      <c r="J202" s="154">
        <f ca="1">IF(ISBLANK(M202),_xlfn.XLOOKUP(C202,Output[Item '#],Output[Unit Price (Max or Override)]),M202)</f>
        <v>293</v>
      </c>
      <c r="K202" s="199">
        <f ca="1">ROUND(H202*J202, -1)</f>
        <v>0</v>
      </c>
      <c r="L202" s="183"/>
      <c r="M202" s="869"/>
    </row>
    <row r="203" spans="1:16">
      <c r="B203" s="183"/>
      <c r="C203" s="270"/>
      <c r="D203" s="157"/>
      <c r="E203" s="525" t="s">
        <v>15</v>
      </c>
      <c r="F203" s="157"/>
      <c r="G203" s="157"/>
      <c r="H203" s="152"/>
      <c r="I203" s="153"/>
      <c r="J203" s="154"/>
      <c r="K203" s="199"/>
      <c r="L203" s="183"/>
      <c r="M203" s="662"/>
    </row>
    <row r="204" spans="1:16">
      <c r="B204" s="183"/>
      <c r="C204" s="270"/>
      <c r="D204" s="229" t="s">
        <v>1648</v>
      </c>
      <c r="E204" s="227">
        <f>SUM(AREA!I46:L46)</f>
        <v>0</v>
      </c>
      <c r="F204" s="157"/>
      <c r="G204" s="157"/>
      <c r="H204" s="152"/>
      <c r="I204" s="153"/>
      <c r="J204" s="154"/>
      <c r="K204" s="199"/>
      <c r="L204" s="183"/>
      <c r="M204" s="662"/>
      <c r="O204" s="157"/>
      <c r="P204" s="276"/>
    </row>
    <row r="205" spans="1:16">
      <c r="B205" s="183"/>
      <c r="C205" s="270"/>
      <c r="D205" s="229" t="s">
        <v>1578</v>
      </c>
      <c r="E205" s="227">
        <f>SUM(AREA!I41:L41)</f>
        <v>0</v>
      </c>
      <c r="F205" s="157"/>
      <c r="G205" s="157"/>
      <c r="H205" s="152"/>
      <c r="I205" s="153"/>
      <c r="J205" s="154"/>
      <c r="K205" s="199"/>
      <c r="L205" s="183"/>
      <c r="M205" s="662"/>
      <c r="O205" s="157"/>
      <c r="P205" s="276"/>
    </row>
    <row r="206" spans="1:16">
      <c r="B206" s="183"/>
      <c r="C206" s="295"/>
      <c r="D206" s="282" t="s">
        <v>3758</v>
      </c>
      <c r="E206" s="296">
        <f>SUM(AREA!I51:L51)</f>
        <v>0</v>
      </c>
      <c r="F206" s="157"/>
      <c r="G206" s="157"/>
      <c r="H206" s="152"/>
      <c r="I206" s="153"/>
      <c r="J206" s="154"/>
      <c r="K206" s="199"/>
      <c r="L206" s="183"/>
      <c r="M206" s="662"/>
      <c r="O206" s="229"/>
      <c r="P206" s="278"/>
    </row>
    <row r="207" spans="1:16">
      <c r="B207" s="183"/>
      <c r="C207" s="157"/>
      <c r="D207" s="297" t="s">
        <v>826</v>
      </c>
      <c r="E207" s="526">
        <f>SUM(E204:E206)</f>
        <v>0</v>
      </c>
      <c r="F207" s="157"/>
      <c r="G207" s="157"/>
      <c r="H207" s="152"/>
      <c r="I207" s="153"/>
      <c r="J207" s="154"/>
      <c r="K207" s="199"/>
      <c r="L207" s="183"/>
      <c r="M207" s="662"/>
      <c r="O207" s="229"/>
      <c r="P207" s="278"/>
    </row>
    <row r="208" spans="1:16">
      <c r="B208" s="183"/>
      <c r="C208" s="157"/>
      <c r="D208" s="229"/>
      <c r="E208" s="278"/>
      <c r="F208" s="157"/>
      <c r="G208" s="157"/>
      <c r="H208" s="152"/>
      <c r="I208" s="153"/>
      <c r="J208" s="154"/>
      <c r="K208" s="199"/>
      <c r="L208" s="183"/>
      <c r="M208" s="662"/>
      <c r="O208" s="229"/>
      <c r="P208" s="278"/>
    </row>
    <row r="209" spans="1:16">
      <c r="B209" s="183"/>
      <c r="C209" s="157"/>
      <c r="D209" s="739" t="s">
        <v>15</v>
      </c>
      <c r="E209" s="739" t="s">
        <v>14</v>
      </c>
      <c r="F209" s="1237" t="s">
        <v>12</v>
      </c>
      <c r="G209" s="1239"/>
      <c r="H209" s="739" t="s">
        <v>13</v>
      </c>
      <c r="I209" s="153"/>
      <c r="J209" s="183"/>
      <c r="K209" s="205"/>
      <c r="L209" s="183"/>
      <c r="M209" s="662"/>
      <c r="O209" s="229"/>
      <c r="P209" s="278"/>
    </row>
    <row r="210" spans="1:16">
      <c r="B210" s="183"/>
      <c r="C210" s="157"/>
      <c r="D210" s="532">
        <f>E207</f>
        <v>0</v>
      </c>
      <c r="E210" s="609">
        <v>3</v>
      </c>
      <c r="F210" s="1229">
        <v>5.6000000000000001E-2</v>
      </c>
      <c r="G210" s="1240"/>
      <c r="H210" s="532">
        <f>D210*E210*F210</f>
        <v>0</v>
      </c>
      <c r="I210" s="153"/>
      <c r="J210" s="183"/>
      <c r="K210" s="205"/>
      <c r="L210" s="183"/>
      <c r="M210" s="662"/>
    </row>
    <row r="211" spans="1:16">
      <c r="B211" s="183"/>
      <c r="C211" s="157"/>
      <c r="D211" s="157"/>
      <c r="E211" s="157"/>
      <c r="F211" s="157"/>
      <c r="G211" s="157"/>
      <c r="H211" s="152"/>
      <c r="I211" s="153"/>
      <c r="J211" s="154"/>
      <c r="K211" s="205"/>
      <c r="L211" s="183"/>
      <c r="M211" s="662"/>
    </row>
    <row r="212" spans="1:16">
      <c r="B212" s="183"/>
      <c r="C212" s="157"/>
      <c r="D212" s="229" t="s">
        <v>1634</v>
      </c>
      <c r="E212" s="191">
        <f>SUMIFS(Roadway!$G$31:$J$31,Roadway!$G$32:$J$32,HIDDEN!C35)</f>
        <v>0</v>
      </c>
      <c r="F212" s="183"/>
      <c r="G212" s="353"/>
      <c r="H212" s="188"/>
      <c r="I212" s="226"/>
      <c r="J212" s="196" t="str">
        <f>"| Roadway Question "&amp;Roadway!B31</f>
        <v>| Roadway Question 14</v>
      </c>
      <c r="K212" s="199"/>
      <c r="L212" s="183"/>
      <c r="M212" s="662"/>
    </row>
    <row r="213" spans="1:16">
      <c r="B213" s="183"/>
      <c r="C213" s="295"/>
      <c r="D213" s="282" t="s">
        <v>3702</v>
      </c>
      <c r="E213" s="527">
        <f>G213*H213*I213</f>
        <v>0</v>
      </c>
      <c r="F213" s="354" t="s">
        <v>66</v>
      </c>
      <c r="G213" s="355">
        <f>E212</f>
        <v>0</v>
      </c>
      <c r="H213" s="875">
        <v>16</v>
      </c>
      <c r="I213" s="874">
        <v>10</v>
      </c>
      <c r="J213" s="196" t="s">
        <v>1635</v>
      </c>
      <c r="K213" s="199"/>
      <c r="L213" s="183"/>
      <c r="M213" s="662"/>
    </row>
    <row r="214" spans="1:16">
      <c r="B214" s="183"/>
      <c r="C214" s="157"/>
      <c r="D214" s="297" t="s">
        <v>826</v>
      </c>
      <c r="E214" s="332">
        <f>E213</f>
        <v>0</v>
      </c>
      <c r="F214" s="183"/>
      <c r="G214" s="183"/>
      <c r="H214" s="188"/>
      <c r="I214" s="200"/>
      <c r="J214" s="335" t="str">
        <f>I213&amp;"-ft back x "&amp;H213&amp;"-ft wide"</f>
        <v>10-ft back x 16-ft wide</v>
      </c>
      <c r="K214" s="199"/>
      <c r="L214" s="183"/>
      <c r="M214" s="662"/>
    </row>
    <row r="215" spans="1:16">
      <c r="B215" s="183"/>
      <c r="C215" s="157"/>
      <c r="D215" s="297"/>
      <c r="E215" s="258">
        <f>G215/H215</f>
        <v>0</v>
      </c>
      <c r="F215" s="202" t="s">
        <v>66</v>
      </c>
      <c r="G215" s="269">
        <f>E214</f>
        <v>0</v>
      </c>
      <c r="H215" s="255">
        <v>9</v>
      </c>
      <c r="I215" s="200"/>
      <c r="J215" s="356"/>
      <c r="K215" s="199"/>
      <c r="L215" s="183"/>
      <c r="M215" s="662"/>
    </row>
    <row r="216" spans="1:16">
      <c r="B216" s="183"/>
      <c r="C216" s="183"/>
      <c r="D216" s="183"/>
      <c r="E216" s="183"/>
      <c r="F216" s="183"/>
      <c r="G216" s="183"/>
      <c r="H216" s="183"/>
      <c r="I216" s="183"/>
      <c r="J216" s="183"/>
      <c r="K216" s="286"/>
      <c r="L216" s="183"/>
      <c r="M216" s="662"/>
    </row>
    <row r="217" spans="1:16">
      <c r="B217" s="183"/>
      <c r="C217" s="183"/>
      <c r="D217" s="739" t="s">
        <v>15</v>
      </c>
      <c r="E217" s="739" t="s">
        <v>14</v>
      </c>
      <c r="F217" s="1237" t="s">
        <v>12</v>
      </c>
      <c r="G217" s="1239"/>
      <c r="H217" s="739" t="s">
        <v>13</v>
      </c>
      <c r="I217" s="183"/>
      <c r="J217" s="183"/>
      <c r="K217" s="286"/>
      <c r="L217" s="183"/>
      <c r="M217" s="662"/>
    </row>
    <row r="218" spans="1:16">
      <c r="B218" s="183"/>
      <c r="C218" s="183"/>
      <c r="D218" s="358">
        <f>E215</f>
        <v>0</v>
      </c>
      <c r="E218" s="609">
        <v>3.5</v>
      </c>
      <c r="F218" s="1229">
        <v>5.6000000000000001E-2</v>
      </c>
      <c r="G218" s="1240"/>
      <c r="H218" s="532">
        <f>D218*E218*F218</f>
        <v>0</v>
      </c>
      <c r="I218" s="183"/>
      <c r="J218" s="183"/>
      <c r="K218" s="286"/>
      <c r="L218" s="183"/>
      <c r="M218" s="662"/>
    </row>
    <row r="219" spans="1:16" ht="15.75" thickBot="1">
      <c r="B219" s="183"/>
      <c r="C219" s="183"/>
      <c r="D219" s="183"/>
      <c r="E219" s="183"/>
      <c r="F219" s="183"/>
      <c r="G219" s="183"/>
      <c r="H219" s="183"/>
      <c r="I219" s="183"/>
      <c r="J219" s="183"/>
      <c r="K219" s="286"/>
      <c r="L219" s="183"/>
      <c r="M219" s="662"/>
    </row>
    <row r="220" spans="1:16" ht="15.75" thickBot="1">
      <c r="B220" s="183"/>
      <c r="C220" s="183"/>
      <c r="D220" s="183"/>
      <c r="E220" s="183"/>
      <c r="F220" s="183"/>
      <c r="G220" s="186" t="s">
        <v>3803</v>
      </c>
      <c r="H220" s="533">
        <f>H210+H218</f>
        <v>0</v>
      </c>
      <c r="I220" s="183"/>
      <c r="J220" s="183"/>
      <c r="K220" s="286"/>
      <c r="L220" s="183"/>
      <c r="M220" s="662"/>
    </row>
    <row r="221" spans="1:16">
      <c r="B221" s="183"/>
      <c r="C221" s="183"/>
      <c r="D221" s="183"/>
      <c r="E221" s="183"/>
      <c r="F221" s="183"/>
      <c r="G221" s="183"/>
      <c r="H221" s="183"/>
      <c r="I221" s="183"/>
      <c r="J221" s="183"/>
      <c r="K221" s="286"/>
      <c r="L221" s="183"/>
      <c r="M221" s="662"/>
    </row>
    <row r="222" spans="1:16">
      <c r="A222" s="868" t="str">
        <f ca="1">IFERROR(HYPERLINK("#"&amp;"ProjectEstimate!A"&amp;(8+MATCH($C222,ProjectEstimate!$A$9:$A$145,0)),CONCATENATE("Go to ",$C222))," ")</f>
        <v xml:space="preserve"> </v>
      </c>
      <c r="B222" s="183"/>
      <c r="C222" s="157">
        <v>704.01</v>
      </c>
      <c r="D222" s="1227" t="s">
        <v>3914</v>
      </c>
      <c r="E222" s="1227"/>
      <c r="F222" s="1227"/>
      <c r="G222" s="1227"/>
      <c r="H222" s="152">
        <f>ROUNDUP(E224,0)</f>
        <v>0</v>
      </c>
      <c r="I222" s="153" t="s">
        <v>1</v>
      </c>
      <c r="J222" s="154">
        <f>IF(ISBLANK(M222),_xlfn.XLOOKUP(C222,Output[Item '#],Output[Unit Price (Max or Override)]),M222)</f>
        <v>55</v>
      </c>
      <c r="K222" s="199">
        <f>ROUND(H222*J222, -1)</f>
        <v>0</v>
      </c>
      <c r="L222" s="183"/>
      <c r="M222" s="869"/>
    </row>
    <row r="223" spans="1:16" ht="15.75" thickBot="1">
      <c r="B223" s="183"/>
      <c r="C223" s="157"/>
      <c r="D223" s="157"/>
      <c r="E223" s="157"/>
      <c r="F223" s="157"/>
      <c r="G223" s="157"/>
      <c r="H223" s="152"/>
      <c r="I223" s="153"/>
      <c r="J223" s="154"/>
      <c r="K223" s="199"/>
      <c r="L223" s="183"/>
      <c r="M223" s="662"/>
    </row>
    <row r="224" spans="1:16" ht="15.75" thickBot="1">
      <c r="B224" s="183"/>
      <c r="C224" s="157"/>
      <c r="D224" s="186" t="s">
        <v>3915</v>
      </c>
      <c r="E224" s="268">
        <f>G22</f>
        <v>0</v>
      </c>
      <c r="F224" s="200"/>
      <c r="G224" s="183"/>
      <c r="H224" s="183"/>
      <c r="I224" s="183"/>
      <c r="J224" s="196" t="s">
        <v>1227</v>
      </c>
      <c r="K224" s="199"/>
      <c r="L224" s="183"/>
      <c r="M224" s="662"/>
    </row>
    <row r="225" spans="1:13">
      <c r="B225" s="183"/>
      <c r="C225" s="157"/>
      <c r="D225" s="157"/>
      <c r="E225" s="157"/>
      <c r="F225" s="157"/>
      <c r="G225" s="157"/>
      <c r="H225" s="152"/>
      <c r="I225" s="153"/>
      <c r="J225" s="154"/>
      <c r="K225" s="199"/>
      <c r="L225" s="183"/>
      <c r="M225" s="662"/>
    </row>
    <row r="226" spans="1:13">
      <c r="A226" s="868" t="str">
        <f ca="1">IFERROR(HYPERLINK("#"&amp;"ProjectEstimate!A"&amp;(8+MATCH($C226,ProjectEstimate!$A$9:$A$145,0)),CONCATENATE("Go to ",$C226))," ")</f>
        <v xml:space="preserve"> </v>
      </c>
      <c r="B226" s="183"/>
      <c r="C226" s="157">
        <v>706</v>
      </c>
      <c r="D226" s="1227" t="s">
        <v>410</v>
      </c>
      <c r="E226" s="1227"/>
      <c r="F226" s="1227"/>
      <c r="G226" s="1227"/>
      <c r="H226" s="152">
        <f>ROUNDUP(E228,0)</f>
        <v>0</v>
      </c>
      <c r="I226" s="153" t="s">
        <v>1</v>
      </c>
      <c r="J226" s="154">
        <f ca="1">IF(ISBLANK(M226),_xlfn.XLOOKUP(C226,Output[Item '#],Output[Unit Price (Max or Override)]),M226)</f>
        <v>521</v>
      </c>
      <c r="K226" s="205">
        <f ca="1">ROUND(H226*J226, -1)</f>
        <v>0</v>
      </c>
      <c r="L226" s="183"/>
      <c r="M226" s="869"/>
    </row>
    <row r="227" spans="1:13" ht="15.75" thickBot="1">
      <c r="B227" s="183"/>
      <c r="C227" s="157"/>
      <c r="D227" s="157"/>
      <c r="E227" s="157"/>
      <c r="F227" s="157"/>
      <c r="G227" s="157"/>
      <c r="H227" s="152"/>
      <c r="I227" s="153"/>
      <c r="J227" s="154"/>
      <c r="K227" s="205"/>
      <c r="L227" s="183"/>
      <c r="M227" s="662"/>
    </row>
    <row r="228" spans="1:13" ht="15.75" thickBot="1">
      <c r="B228" s="183"/>
      <c r="C228" s="157"/>
      <c r="D228" s="186" t="s">
        <v>3916</v>
      </c>
      <c r="E228" s="268">
        <f>SUM(AREA!I24:L24,AREA!I33:L33)</f>
        <v>0</v>
      </c>
      <c r="F228" s="200"/>
      <c r="G228" s="183"/>
      <c r="H228" s="196" t="s">
        <v>3917</v>
      </c>
      <c r="I228" s="183"/>
      <c r="J228" s="159"/>
      <c r="K228" s="205"/>
      <c r="L228" s="183"/>
      <c r="M228" s="662"/>
    </row>
    <row r="229" spans="1:13">
      <c r="B229" s="183"/>
      <c r="C229" s="157"/>
      <c r="D229" s="157"/>
      <c r="E229" s="157"/>
      <c r="F229" s="157"/>
      <c r="G229" s="157"/>
      <c r="H229" s="152"/>
      <c r="I229" s="153"/>
      <c r="J229" s="154"/>
      <c r="K229" s="205"/>
      <c r="L229" s="183"/>
      <c r="M229" s="662"/>
    </row>
    <row r="230" spans="1:13">
      <c r="A230" s="868" t="str">
        <f ca="1">IFERROR(HYPERLINK("#"&amp;"ProjectEstimate!A"&amp;(8+MATCH($C230,ProjectEstimate!$A$9:$A$145,0)),CONCATENATE("Go to ",$C230))," ")</f>
        <v xml:space="preserve"> </v>
      </c>
      <c r="B230" s="183"/>
      <c r="C230" s="157">
        <v>751</v>
      </c>
      <c r="D230" s="1227" t="s">
        <v>33</v>
      </c>
      <c r="E230" s="1227"/>
      <c r="F230" s="1227"/>
      <c r="G230" s="181"/>
      <c r="H230" s="152">
        <f>ROUNDUP(E237,0)</f>
        <v>0</v>
      </c>
      <c r="I230" s="153" t="s">
        <v>4</v>
      </c>
      <c r="J230" s="154">
        <f ca="1">IF(ISBLANK(M230),_xlfn.XLOOKUP(C230,Output[Item '#],Output[Unit Price (Max or Override)]),M230)</f>
        <v>89</v>
      </c>
      <c r="K230" s="199">
        <f ca="1">ROUND(H230*J230, -1)</f>
        <v>0</v>
      </c>
      <c r="L230" s="183"/>
      <c r="M230" s="869"/>
    </row>
    <row r="231" spans="1:13">
      <c r="B231" s="183"/>
      <c r="C231" s="122"/>
      <c r="D231" s="157"/>
      <c r="E231" s="525" t="s">
        <v>15</v>
      </c>
      <c r="F231" s="122"/>
      <c r="G231" s="183"/>
      <c r="H231" s="224"/>
      <c r="I231" s="200"/>
      <c r="J231" s="240"/>
      <c r="K231" s="271"/>
      <c r="L231" s="183"/>
      <c r="M231" s="662"/>
    </row>
    <row r="232" spans="1:13">
      <c r="B232" s="183"/>
      <c r="C232" s="122"/>
      <c r="D232" s="229" t="s">
        <v>1649</v>
      </c>
      <c r="E232" s="340">
        <f>SUM(AREA!I58:L58)</f>
        <v>0</v>
      </c>
      <c r="F232" s="196" t="s">
        <v>1652</v>
      </c>
      <c r="G232" s="183"/>
      <c r="H232" s="224"/>
      <c r="I232" s="200"/>
      <c r="J232" s="240"/>
      <c r="K232" s="271"/>
      <c r="L232" s="183"/>
      <c r="M232" s="662"/>
    </row>
    <row r="233" spans="1:13">
      <c r="B233" s="183"/>
      <c r="C233" s="122"/>
      <c r="D233" s="229" t="s">
        <v>1603</v>
      </c>
      <c r="E233" s="227">
        <f>SUM(AREA!I25:L25)</f>
        <v>0</v>
      </c>
      <c r="F233" s="122"/>
      <c r="G233" s="183"/>
      <c r="H233" s="224"/>
      <c r="I233" s="200"/>
      <c r="J233" s="240"/>
      <c r="K233" s="271"/>
      <c r="L233" s="183"/>
      <c r="M233" s="662"/>
    </row>
    <row r="234" spans="1:13">
      <c r="B234" s="183"/>
      <c r="C234" s="359"/>
      <c r="D234" s="282" t="s">
        <v>1602</v>
      </c>
      <c r="E234" s="296">
        <f>SUM(AREA!I32:L32)</f>
        <v>0</v>
      </c>
      <c r="F234" s="196" t="s">
        <v>1651</v>
      </c>
      <c r="G234" s="200"/>
      <c r="H234" s="221"/>
      <c r="I234" s="183"/>
      <c r="K234" s="271"/>
      <c r="L234" s="183"/>
      <c r="M234" s="662"/>
    </row>
    <row r="235" spans="1:13">
      <c r="B235" s="183"/>
      <c r="C235" s="122"/>
      <c r="D235" s="297" t="s">
        <v>826</v>
      </c>
      <c r="E235" s="357">
        <f>SUM(E232:E234)</f>
        <v>0</v>
      </c>
      <c r="F235" s="122"/>
      <c r="G235" s="200"/>
      <c r="H235" s="221"/>
      <c r="I235" s="183"/>
      <c r="J235" s="196"/>
      <c r="K235" s="271"/>
      <c r="L235" s="183"/>
      <c r="M235" s="662"/>
    </row>
    <row r="236" spans="1:13" ht="15.75" thickBot="1">
      <c r="B236" s="183"/>
      <c r="C236" s="122"/>
      <c r="D236" s="229"/>
      <c r="E236" s="278"/>
      <c r="F236" s="122"/>
      <c r="G236" s="200"/>
      <c r="H236" s="221"/>
      <c r="I236" s="183"/>
      <c r="J236" s="196"/>
      <c r="K236" s="271"/>
      <c r="L236" s="183"/>
      <c r="M236" s="662"/>
    </row>
    <row r="237" spans="1:13" ht="15.75" thickBot="1">
      <c r="B237" s="183"/>
      <c r="C237" s="122"/>
      <c r="D237" s="186" t="s">
        <v>1239</v>
      </c>
      <c r="E237" s="252">
        <f>G237*H237/I237</f>
        <v>0</v>
      </c>
      <c r="F237" s="219" t="s">
        <v>66</v>
      </c>
      <c r="G237" s="300">
        <f>E235</f>
        <v>0</v>
      </c>
      <c r="H237" s="301">
        <f>4/12</f>
        <v>0.33333333333333331</v>
      </c>
      <c r="I237" s="302">
        <v>3</v>
      </c>
      <c r="J237" s="196" t="s">
        <v>1240</v>
      </c>
      <c r="K237" s="271"/>
      <c r="L237" s="183"/>
      <c r="M237" s="662"/>
    </row>
    <row r="238" spans="1:13">
      <c r="B238" s="183"/>
      <c r="C238" s="122"/>
      <c r="D238" s="122"/>
      <c r="E238" s="122"/>
      <c r="F238" s="122"/>
      <c r="G238" s="200"/>
      <c r="H238" s="224"/>
      <c r="I238" s="224"/>
      <c r="J238" s="240"/>
      <c r="K238" s="271"/>
      <c r="L238" s="183"/>
      <c r="M238" s="662"/>
    </row>
    <row r="239" spans="1:13">
      <c r="A239" s="868" t="str">
        <f ca="1">IFERROR(HYPERLINK("#"&amp;"ProjectEstimate!A"&amp;(8+MATCH($C239,ProjectEstimate!$A$9:$A$145,0)),CONCATENATE("Go to ",$C239))," ")</f>
        <v xml:space="preserve"> </v>
      </c>
      <c r="B239" s="183"/>
      <c r="C239" s="157">
        <v>765</v>
      </c>
      <c r="D239" s="1227" t="s">
        <v>34</v>
      </c>
      <c r="E239" s="1227"/>
      <c r="F239" s="1227"/>
      <c r="G239" s="181"/>
      <c r="H239" s="152">
        <f>ROUNDUP(E241,0)</f>
        <v>0</v>
      </c>
      <c r="I239" s="153" t="s">
        <v>1</v>
      </c>
      <c r="J239" s="154">
        <f ca="1">IF(ISBLANK(M239),_xlfn.XLOOKUP(C239,Output[Item '#],Output[Unit Price (Max or Override)]),M239)</f>
        <v>4</v>
      </c>
      <c r="K239" s="199">
        <f ca="1">ROUND(H239*J239, -1)</f>
        <v>0</v>
      </c>
      <c r="L239" s="183"/>
      <c r="M239" s="869"/>
    </row>
    <row r="240" spans="1:13" ht="15.75" thickBot="1">
      <c r="B240" s="183"/>
      <c r="C240" s="122"/>
      <c r="D240" s="122"/>
      <c r="E240" s="122"/>
      <c r="F240" s="122"/>
      <c r="G240" s="200"/>
      <c r="H240" s="224"/>
      <c r="I240" s="224"/>
      <c r="J240" s="240"/>
      <c r="K240" s="271"/>
      <c r="L240" s="183"/>
      <c r="M240" s="662"/>
    </row>
    <row r="241" spans="1:14" ht="15.75" thickBot="1">
      <c r="B241" s="183"/>
      <c r="C241" s="122"/>
      <c r="D241" s="186" t="s">
        <v>1241</v>
      </c>
      <c r="E241" s="268">
        <f>E235</f>
        <v>0</v>
      </c>
      <c r="F241" s="122"/>
      <c r="G241" s="200"/>
      <c r="H241" s="221"/>
      <c r="I241" s="200"/>
      <c r="J241" s="196" t="s">
        <v>1650</v>
      </c>
      <c r="K241" s="271"/>
      <c r="L241" s="183"/>
      <c r="M241" s="662"/>
    </row>
    <row r="242" spans="1:14">
      <c r="B242" s="183"/>
      <c r="C242" s="122"/>
      <c r="D242" s="186"/>
      <c r="E242" s="258"/>
      <c r="F242" s="122"/>
      <c r="G242" s="200"/>
      <c r="H242" s="221"/>
      <c r="I242" s="200"/>
      <c r="J242" s="196"/>
      <c r="K242" s="271"/>
      <c r="L242" s="183"/>
      <c r="M242" s="662"/>
    </row>
    <row r="243" spans="1:14">
      <c r="A243" s="868" t="str">
        <f ca="1">IFERROR(HYPERLINK("#"&amp;"ProjectEstimate!A"&amp;(8+MATCH($C243,ProjectEstimate!$A$9:$A$145,0)),CONCATENATE("Go to ",$C243))," ")</f>
        <v xml:space="preserve"> </v>
      </c>
      <c r="B243" s="183"/>
      <c r="C243" s="157" t="s">
        <v>3749</v>
      </c>
      <c r="D243" s="1227" t="s">
        <v>3750</v>
      </c>
      <c r="E243" s="1227"/>
      <c r="F243" s="1227"/>
      <c r="G243" s="181"/>
      <c r="H243" s="152">
        <f>ROUNDUP(E245,0)</f>
        <v>0</v>
      </c>
      <c r="I243" s="153" t="s">
        <v>2</v>
      </c>
      <c r="J243" s="154">
        <f>IF(ISBLANK(M243),_xlfn.XLOOKUP(C243,Output[Item '#],Output[Unit Price (Max or Override)]),M243)</f>
        <v>15000</v>
      </c>
      <c r="K243" s="205">
        <f>ROUND(H243*J243, -1)</f>
        <v>0</v>
      </c>
      <c r="L243" s="183"/>
      <c r="M243" s="869"/>
    </row>
    <row r="244" spans="1:14" ht="15.75" thickBot="1">
      <c r="B244" s="183"/>
      <c r="C244" s="122"/>
      <c r="D244" s="122"/>
      <c r="E244" s="122"/>
      <c r="F244" s="122"/>
      <c r="G244" s="200"/>
      <c r="H244" s="224"/>
      <c r="I244" s="224"/>
      <c r="J244" s="240"/>
      <c r="K244" s="271"/>
      <c r="L244" s="183"/>
      <c r="M244" s="662"/>
    </row>
    <row r="245" spans="1:14" ht="15.75" thickBot="1">
      <c r="B245" s="183"/>
      <c r="C245" s="122"/>
      <c r="D245" s="186" t="s">
        <v>3751</v>
      </c>
      <c r="E245" s="397">
        <f>Roadway!H50</f>
        <v>0</v>
      </c>
      <c r="F245" s="122"/>
      <c r="G245" s="200"/>
      <c r="H245" s="221"/>
      <c r="I245" s="200"/>
      <c r="J245" s="196" t="str">
        <f>"| Roadway Question "&amp;Roadway!B50</f>
        <v>| Roadway Question 19</v>
      </c>
      <c r="K245" s="271"/>
      <c r="L245" s="183"/>
      <c r="M245" s="662"/>
    </row>
    <row r="246" spans="1:14">
      <c r="M246" s="664"/>
    </row>
    <row r="247" spans="1:14">
      <c r="B247" s="183"/>
      <c r="C247" s="122"/>
      <c r="D247" s="122"/>
      <c r="E247" s="122"/>
      <c r="F247" s="122"/>
      <c r="G247" s="200"/>
      <c r="H247" s="221"/>
      <c r="I247" s="200"/>
      <c r="J247" s="154" t="s">
        <v>826</v>
      </c>
      <c r="K247" s="205">
        <f ca="1">SUM(K11:K245)</f>
        <v>0</v>
      </c>
      <c r="L247" s="183"/>
      <c r="N247" s="497"/>
    </row>
    <row r="248" spans="1:14">
      <c r="B248" s="183"/>
      <c r="C248" s="122"/>
      <c r="D248" s="122"/>
      <c r="E248" s="122"/>
      <c r="F248" s="122"/>
      <c r="G248" s="200"/>
      <c r="H248" s="224"/>
      <c r="I248" s="224"/>
      <c r="J248" s="240"/>
      <c r="K248" s="271"/>
      <c r="L248" s="183"/>
    </row>
  </sheetData>
  <sheetProtection algorithmName="SHA-512" hashValue="0VDtmy48/8Noibf/Ar5lT/LRcWfL2xqFnR9NFW4e5+kymSTpGum/j6ld91GC91kvoPzS6ts+wUH6WolhiIzvxw==" saltValue="I3+sO6vmSwgbysB7ksWokA==" spinCount="100000" sheet="1" objects="1" scenarios="1"/>
  <mergeCells count="61">
    <mergeCell ref="M9:M10"/>
    <mergeCell ref="D222:G222"/>
    <mergeCell ref="A5:A9"/>
    <mergeCell ref="D243:F243"/>
    <mergeCell ref="D131:G131"/>
    <mergeCell ref="D230:F230"/>
    <mergeCell ref="D239:F239"/>
    <mergeCell ref="F217:G217"/>
    <mergeCell ref="F137:G137"/>
    <mergeCell ref="F138:G138"/>
    <mergeCell ref="D140:G140"/>
    <mergeCell ref="D152:G152"/>
    <mergeCell ref="D191:G191"/>
    <mergeCell ref="F218:G218"/>
    <mergeCell ref="D198:G198"/>
    <mergeCell ref="D202:G202"/>
    <mergeCell ref="F209:G209"/>
    <mergeCell ref="F210:G210"/>
    <mergeCell ref="H157:I157"/>
    <mergeCell ref="F158:G158"/>
    <mergeCell ref="H158:I158"/>
    <mergeCell ref="D180:G180"/>
    <mergeCell ref="D166:G166"/>
    <mergeCell ref="F157:G157"/>
    <mergeCell ref="D160:G160"/>
    <mergeCell ref="D58:G58"/>
    <mergeCell ref="D122:G122"/>
    <mergeCell ref="D62:G62"/>
    <mergeCell ref="D72:G72"/>
    <mergeCell ref="D78:G78"/>
    <mergeCell ref="D101:G101"/>
    <mergeCell ref="F109:G109"/>
    <mergeCell ref="F110:G110"/>
    <mergeCell ref="D112:G112"/>
    <mergeCell ref="E98:F98"/>
    <mergeCell ref="E99:F99"/>
    <mergeCell ref="D82:G82"/>
    <mergeCell ref="F129:G129"/>
    <mergeCell ref="H129:I129"/>
    <mergeCell ref="H109:I109"/>
    <mergeCell ref="H110:I110"/>
    <mergeCell ref="F119:G119"/>
    <mergeCell ref="H119:I119"/>
    <mergeCell ref="F128:G128"/>
    <mergeCell ref="H128:I128"/>
    <mergeCell ref="D226:G226"/>
    <mergeCell ref="J2:K2"/>
    <mergeCell ref="J3:K3"/>
    <mergeCell ref="H120:I120"/>
    <mergeCell ref="F120:G120"/>
    <mergeCell ref="D11:F11"/>
    <mergeCell ref="C6:K6"/>
    <mergeCell ref="C7:K7"/>
    <mergeCell ref="D32:G32"/>
    <mergeCell ref="D93:G93"/>
    <mergeCell ref="E94:F94"/>
    <mergeCell ref="E95:F95"/>
    <mergeCell ref="D97:G97"/>
    <mergeCell ref="F2:G2"/>
    <mergeCell ref="F3:G3"/>
    <mergeCell ref="D54:G54"/>
  </mergeCells>
  <conditionalFormatting sqref="D2:D3">
    <cfRule type="expression" dxfId="35" priority="4">
      <formula>D2=""</formula>
    </cfRule>
  </conditionalFormatting>
  <conditionalFormatting sqref="F2:F3">
    <cfRule type="expression" dxfId="34" priority="2">
      <formula>F2=""</formula>
    </cfRule>
  </conditionalFormatting>
  <conditionalFormatting sqref="J2:J3">
    <cfRule type="expression" dxfId="33" priority="1">
      <formula>J2=""</formula>
    </cfRule>
  </conditionalFormatting>
  <pageMargins left="0.75" right="0.75" top="1" bottom="1" header="0.5" footer="0.5"/>
  <pageSetup scale="94" fitToHeight="0" orientation="portrait" r:id="rId1"/>
  <headerFooter alignWithMargins="0">
    <oddHeader>&amp;C&amp;"Arial,Bold Italic"&amp;20DRAFT - TOOL STILL IN PRODUCTION</oddHeader>
    <oddFooter>&amp;C&amp;"Futura Bk BT,Book"Page &amp;P</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tabColor theme="0" tint="-0.249977111117893"/>
    <pageSetUpPr fitToPage="1"/>
  </sheetPr>
  <dimension ref="A1:T176"/>
  <sheetViews>
    <sheetView topLeftCell="A41" zoomScale="80" zoomScaleNormal="80" workbookViewId="0">
      <selection activeCell="H57" sqref="H57"/>
    </sheetView>
  </sheetViews>
  <sheetFormatPr defaultColWidth="9.140625" defaultRowHeight="15"/>
  <cols>
    <col min="1" max="1" width="12.140625" style="159" customWidth="1"/>
    <col min="2" max="2" width="1.7109375" style="161" customWidth="1"/>
    <col min="3" max="3" width="8.7109375" style="161" customWidth="1"/>
    <col min="4" max="5" width="11.28515625" style="161" customWidth="1"/>
    <col min="6" max="6" width="4.140625" style="161" customWidth="1"/>
    <col min="7" max="11" width="11.28515625" style="161" customWidth="1"/>
    <col min="12" max="12" width="1.7109375" style="161" customWidth="1"/>
    <col min="13" max="16384" width="9.140625" style="159"/>
  </cols>
  <sheetData>
    <row r="1" spans="1:14" ht="15.75" thickBot="1"/>
    <row r="2" spans="1:14">
      <c r="B2" s="162"/>
      <c r="C2" s="163" t="s">
        <v>8</v>
      </c>
      <c r="D2" s="866"/>
      <c r="E2" s="163" t="s">
        <v>9</v>
      </c>
      <c r="F2" s="1233"/>
      <c r="G2" s="1233"/>
      <c r="H2" s="273"/>
      <c r="I2" s="149" t="s">
        <v>1613</v>
      </c>
      <c r="J2" s="1220">
        <f>BasicProjectData!$G$17</f>
        <v>0</v>
      </c>
      <c r="K2" s="1220"/>
      <c r="L2" s="164"/>
    </row>
    <row r="3" spans="1:14">
      <c r="B3" s="165"/>
      <c r="C3" s="166" t="s">
        <v>10</v>
      </c>
      <c r="D3" s="867"/>
      <c r="E3" s="166" t="s">
        <v>9</v>
      </c>
      <c r="F3" s="1234"/>
      <c r="G3" s="1234"/>
      <c r="H3" s="159"/>
      <c r="I3" s="150" t="s">
        <v>11</v>
      </c>
      <c r="J3" s="1222">
        <f>BasicProjectData!E7</f>
        <v>0</v>
      </c>
      <c r="K3" s="1222"/>
      <c r="L3" s="167"/>
    </row>
    <row r="4" spans="1:14" ht="15.75" thickBot="1">
      <c r="A4" s="1218" t="s">
        <v>3954</v>
      </c>
      <c r="B4" s="168"/>
      <c r="C4" s="169"/>
      <c r="D4" s="170"/>
      <c r="E4" s="171"/>
      <c r="F4" s="172"/>
      <c r="G4" s="173"/>
      <c r="H4" s="171"/>
      <c r="I4" s="171"/>
      <c r="J4" s="174"/>
      <c r="K4" s="174"/>
      <c r="L4" s="175"/>
    </row>
    <row r="5" spans="1:14" ht="15" customHeight="1">
      <c r="A5" s="1218"/>
      <c r="B5" s="176"/>
      <c r="C5" s="177"/>
      <c r="D5" s="177"/>
      <c r="E5" s="177"/>
      <c r="F5" s="177"/>
      <c r="G5" s="177"/>
      <c r="H5" s="177"/>
      <c r="I5" s="177"/>
      <c r="J5" s="177"/>
      <c r="K5" s="177"/>
      <c r="L5" s="176"/>
      <c r="N5" s="178"/>
    </row>
    <row r="6" spans="1:14" ht="14.25" customHeight="1">
      <c r="A6" s="1218"/>
      <c r="B6" s="179"/>
      <c r="C6" s="1225" t="s">
        <v>1261</v>
      </c>
      <c r="D6" s="1225"/>
      <c r="E6" s="1225"/>
      <c r="F6" s="1225"/>
      <c r="G6" s="1225"/>
      <c r="H6" s="1225"/>
      <c r="I6" s="1225"/>
      <c r="J6" s="1225"/>
      <c r="K6" s="1225"/>
      <c r="L6" s="179"/>
    </row>
    <row r="7" spans="1:14" ht="14.25" customHeight="1">
      <c r="A7" s="1218"/>
      <c r="B7" s="180"/>
      <c r="C7" s="1225" t="s">
        <v>1218</v>
      </c>
      <c r="D7" s="1225"/>
      <c r="E7" s="1225"/>
      <c r="F7" s="1225"/>
      <c r="G7" s="1225"/>
      <c r="H7" s="1225"/>
      <c r="I7" s="1225"/>
      <c r="J7" s="1225"/>
      <c r="K7" s="1225"/>
      <c r="L7" s="180"/>
      <c r="M7" s="1244" t="s">
        <v>3923</v>
      </c>
    </row>
    <row r="8" spans="1:14" ht="14.25" customHeight="1">
      <c r="A8" s="1218"/>
      <c r="B8" s="180"/>
      <c r="C8" s="181"/>
      <c r="D8" s="182"/>
      <c r="E8" s="182"/>
      <c r="F8" s="182"/>
      <c r="G8" s="182"/>
      <c r="H8" s="182"/>
      <c r="I8" s="182"/>
      <c r="J8" s="182"/>
      <c r="K8" s="180"/>
      <c r="L8" s="180"/>
      <c r="M8" s="1245"/>
    </row>
    <row r="9" spans="1:14" ht="14.25" customHeight="1">
      <c r="A9" s="868" t="str">
        <f ca="1">IFERROR(HYPERLINK("#"&amp;"ProjectEstimate!A"&amp;(8+MATCH($C9,ProjectEstimate!$A$9:$A$145,0)),CONCATENATE("Go to ",$C9))," ")</f>
        <v xml:space="preserve"> </v>
      </c>
      <c r="B9" s="183"/>
      <c r="C9" s="157">
        <v>655</v>
      </c>
      <c r="D9" s="1235" t="s">
        <v>386</v>
      </c>
      <c r="E9" s="1235"/>
      <c r="F9" s="1235"/>
      <c r="G9" s="1235"/>
      <c r="H9" s="152">
        <f>E11</f>
        <v>0</v>
      </c>
      <c r="I9" s="153" t="s">
        <v>17</v>
      </c>
      <c r="J9" s="154">
        <f ca="1">IF(ISBLANK(M9),_xlfn.XLOOKUP(C9,Output[Item '#],Output[Unit Price (Max or Override)]),M9)</f>
        <v>137</v>
      </c>
      <c r="K9" s="184">
        <f ca="1">ROUND(H9*J9,-1)</f>
        <v>0</v>
      </c>
      <c r="L9" s="183"/>
      <c r="M9" s="869"/>
    </row>
    <row r="10" spans="1:14" ht="14.25" customHeight="1">
      <c r="A10" s="495"/>
      <c r="B10" s="183"/>
      <c r="C10" s="157"/>
      <c r="D10" s="158"/>
      <c r="E10" s="158"/>
      <c r="F10" s="158"/>
      <c r="G10" s="158"/>
      <c r="H10" s="152"/>
      <c r="I10" s="153"/>
      <c r="J10" s="154"/>
      <c r="K10" s="184"/>
      <c r="L10" s="183"/>
      <c r="M10" s="662"/>
    </row>
    <row r="11" spans="1:14" ht="15" customHeight="1">
      <c r="A11" s="495"/>
      <c r="B11" s="183"/>
      <c r="C11" s="185"/>
      <c r="D11" s="186" t="s">
        <v>3805</v>
      </c>
      <c r="E11" s="189">
        <f>Roadway!G43</f>
        <v>0</v>
      </c>
      <c r="F11" s="40"/>
      <c r="H11" s="40"/>
      <c r="I11" s="40"/>
      <c r="J11" s="196" t="str">
        <f>"| Roadway Question "&amp;Roadway!$B$42</f>
        <v>| Roadway Question 17</v>
      </c>
      <c r="K11" s="188"/>
      <c r="L11" s="183"/>
      <c r="M11" s="662"/>
    </row>
    <row r="12" spans="1:14" ht="14.25" customHeight="1">
      <c r="A12" s="495"/>
      <c r="B12" s="183"/>
      <c r="C12" s="185"/>
      <c r="D12" s="159"/>
      <c r="E12" s="190"/>
      <c r="F12" s="156"/>
      <c r="H12" s="191"/>
      <c r="I12" s="188"/>
      <c r="J12" s="38"/>
      <c r="K12" s="159"/>
      <c r="L12" s="183"/>
      <c r="M12" s="662"/>
    </row>
    <row r="13" spans="1:14" ht="14.25" customHeight="1">
      <c r="A13" s="868" t="str">
        <f ca="1">IFERROR(HYPERLINK("#"&amp;"ProjectEstimate!A"&amp;(8+MATCH($C13,ProjectEstimate!$A$9:$A$145,0)),CONCATENATE("Go to ",$C13))," ")</f>
        <v xml:space="preserve"> </v>
      </c>
      <c r="B13" s="183"/>
      <c r="C13" s="157">
        <v>669</v>
      </c>
      <c r="D13" s="1235" t="s">
        <v>393</v>
      </c>
      <c r="E13" s="1235"/>
      <c r="F13" s="1235"/>
      <c r="G13" s="1235"/>
      <c r="H13" s="152">
        <f>E15</f>
        <v>0</v>
      </c>
      <c r="I13" s="153" t="s">
        <v>17</v>
      </c>
      <c r="J13" s="154">
        <f ca="1">IF(ISBLANK(M13),_xlfn.XLOOKUP(C13,Output[Item '#],Output[Unit Price (Max or Override)]),M13)</f>
        <v>18</v>
      </c>
      <c r="K13" s="192">
        <f ca="1">ROUND(H13*J13,-1)</f>
        <v>0</v>
      </c>
      <c r="L13" s="183"/>
      <c r="M13" s="869"/>
    </row>
    <row r="14" spans="1:14" ht="14.25" customHeight="1">
      <c r="A14" s="495"/>
      <c r="B14" s="183"/>
      <c r="C14" s="157"/>
      <c r="D14" s="158"/>
      <c r="E14" s="158"/>
      <c r="F14" s="158"/>
      <c r="G14" s="158"/>
      <c r="H14" s="152"/>
      <c r="I14" s="153"/>
      <c r="J14" s="154"/>
      <c r="K14" s="192"/>
      <c r="L14" s="183"/>
      <c r="M14" s="662"/>
    </row>
    <row r="15" spans="1:14" ht="14.25" customHeight="1">
      <c r="A15" s="495"/>
      <c r="B15" s="183"/>
      <c r="C15" s="185"/>
      <c r="D15" s="186" t="s">
        <v>1891</v>
      </c>
      <c r="E15" s="189">
        <f>IF(Roadway!G45=HIDDEN!$B$32,Roadway!G44,0)</f>
        <v>0</v>
      </c>
      <c r="F15" s="40"/>
      <c r="H15" s="40"/>
      <c r="I15" s="40"/>
      <c r="J15" s="196" t="str">
        <f>"| Roadway Question "&amp;Roadway!$B$42</f>
        <v>| Roadway Question 17</v>
      </c>
      <c r="K15" s="188"/>
      <c r="L15" s="183"/>
      <c r="M15" s="662"/>
    </row>
    <row r="16" spans="1:14" ht="14.25" customHeight="1">
      <c r="A16" s="495"/>
      <c r="B16" s="183"/>
      <c r="C16" s="185"/>
      <c r="D16" s="159"/>
      <c r="E16" s="190"/>
      <c r="F16" s="156"/>
      <c r="H16" s="191"/>
      <c r="I16" s="188"/>
      <c r="J16" s="38"/>
      <c r="K16" s="159"/>
      <c r="L16" s="183"/>
      <c r="M16" s="662"/>
    </row>
    <row r="17" spans="1:13" ht="14.25" customHeight="1">
      <c r="A17" s="868" t="str">
        <f ca="1">IFERROR(HYPERLINK("#"&amp;"ProjectEstimate!A"&amp;(8+MATCH($C17,ProjectEstimate!$A$9:$A$145,0)),CONCATENATE("Go to ",$C17))," ")</f>
        <v xml:space="preserve"> </v>
      </c>
      <c r="B17" s="183"/>
      <c r="C17" s="157">
        <v>670</v>
      </c>
      <c r="D17" s="1235" t="s">
        <v>394</v>
      </c>
      <c r="E17" s="1235"/>
      <c r="F17" s="1235"/>
      <c r="G17" s="1235"/>
      <c r="H17" s="152">
        <f>E19</f>
        <v>0</v>
      </c>
      <c r="I17" s="153" t="s">
        <v>17</v>
      </c>
      <c r="J17" s="154">
        <f ca="1">IF(ISBLANK(M17),_xlfn.XLOOKUP(C17,Output[Item '#],Output[Unit Price (Max or Override)]),M17)</f>
        <v>95</v>
      </c>
      <c r="K17" s="192">
        <f ca="1">ROUND(H17*J17,-1)</f>
        <v>0</v>
      </c>
      <c r="L17" s="183"/>
      <c r="M17" s="869"/>
    </row>
    <row r="18" spans="1:13" ht="14.25" customHeight="1">
      <c r="A18" s="495"/>
      <c r="B18" s="183"/>
      <c r="C18" s="157"/>
      <c r="D18" s="158"/>
      <c r="E18" s="158"/>
      <c r="F18" s="158"/>
      <c r="G18" s="158"/>
      <c r="H18" s="152"/>
      <c r="I18" s="153"/>
      <c r="J18" s="154"/>
      <c r="K18" s="192"/>
      <c r="L18" s="183"/>
      <c r="M18" s="662"/>
    </row>
    <row r="19" spans="1:13" ht="14.25" customHeight="1">
      <c r="A19" s="495"/>
      <c r="B19" s="183"/>
      <c r="C19" s="185"/>
      <c r="D19" s="186" t="s">
        <v>1892</v>
      </c>
      <c r="E19" s="189">
        <f>IF(Roadway!G45=HIDDEN!$B$34,Roadway!G44,0)</f>
        <v>0</v>
      </c>
      <c r="F19" s="40"/>
      <c r="H19" s="40"/>
      <c r="I19" s="40"/>
      <c r="J19" s="196" t="str">
        <f>"| Roadway Question "&amp;Roadway!$B$42</f>
        <v>| Roadway Question 17</v>
      </c>
      <c r="K19" s="188"/>
      <c r="L19" s="183"/>
      <c r="M19" s="662"/>
    </row>
    <row r="20" spans="1:13" ht="14.25" customHeight="1">
      <c r="A20" s="495"/>
      <c r="B20" s="183"/>
      <c r="C20" s="185"/>
      <c r="D20" s="159"/>
      <c r="E20" s="190"/>
      <c r="F20" s="156"/>
      <c r="H20" s="191"/>
      <c r="I20" s="188"/>
      <c r="J20" s="38"/>
      <c r="K20" s="159"/>
      <c r="L20" s="183"/>
      <c r="M20" s="662"/>
    </row>
    <row r="21" spans="1:13">
      <c r="A21" s="868" t="str">
        <f ca="1">IFERROR(HYPERLINK("#"&amp;"ProjectEstimate!A"&amp;(8+MATCH($C21,ProjectEstimate!$A$9:$A$145,0)),CONCATENATE("Go to ",$C21))," ")</f>
        <v xml:space="preserve"> </v>
      </c>
      <c r="B21" s="183"/>
      <c r="C21" s="157">
        <v>506</v>
      </c>
      <c r="D21" s="1227" t="s">
        <v>40</v>
      </c>
      <c r="E21" s="1227"/>
      <c r="F21" s="1227"/>
      <c r="G21" s="1227"/>
      <c r="H21" s="152">
        <f>ROUNDUP(E26,0)</f>
        <v>0</v>
      </c>
      <c r="I21" s="153" t="s">
        <v>17</v>
      </c>
      <c r="J21" s="154">
        <f ca="1">IF(ISBLANK(M21),_xlfn.XLOOKUP(C21,Output[Item '#],Output[Unit Price (Max or Override)]),M21)</f>
        <v>71</v>
      </c>
      <c r="K21" s="184">
        <f ca="1">ROUND(H21*J21, -1)</f>
        <v>0</v>
      </c>
      <c r="L21" s="183"/>
      <c r="M21" s="869"/>
    </row>
    <row r="22" spans="1:13">
      <c r="A22" s="495"/>
      <c r="B22" s="183"/>
      <c r="C22" s="157"/>
      <c r="D22" s="157"/>
      <c r="E22" s="157"/>
      <c r="F22" s="157"/>
      <c r="G22" s="157"/>
      <c r="H22" s="152"/>
      <c r="I22" s="153"/>
      <c r="J22" s="154"/>
      <c r="K22" s="184"/>
      <c r="L22" s="183"/>
      <c r="M22" s="662"/>
    </row>
    <row r="23" spans="1:13">
      <c r="A23" s="495"/>
      <c r="B23" s="183"/>
      <c r="C23" s="157"/>
      <c r="D23" s="186" t="s">
        <v>1911</v>
      </c>
      <c r="E23" s="187">
        <f>Roadway!I38</f>
        <v>0</v>
      </c>
      <c r="F23" s="40"/>
      <c r="H23" s="152"/>
      <c r="I23" s="153"/>
      <c r="J23" s="154"/>
      <c r="K23" s="199"/>
      <c r="L23" s="183"/>
      <c r="M23" s="662"/>
    </row>
    <row r="24" spans="1:13">
      <c r="A24" s="495"/>
      <c r="B24" s="183"/>
      <c r="C24" s="157"/>
      <c r="D24" s="186" t="s">
        <v>1887</v>
      </c>
      <c r="E24" s="201">
        <f>SUM(AREA!E62:H62)</f>
        <v>0</v>
      </c>
      <c r="F24" s="202"/>
      <c r="H24" s="152"/>
      <c r="I24" s="153"/>
      <c r="J24" s="154"/>
      <c r="K24" s="199"/>
      <c r="L24" s="183"/>
      <c r="M24" s="662"/>
    </row>
    <row r="25" spans="1:13" ht="15.75" thickBot="1">
      <c r="A25" s="495"/>
      <c r="B25" s="183"/>
      <c r="C25" s="157"/>
      <c r="D25" s="186" t="s">
        <v>1243</v>
      </c>
      <c r="E25" s="187">
        <f>G25+H25</f>
        <v>0</v>
      </c>
      <c r="F25" s="202" t="s">
        <v>66</v>
      </c>
      <c r="G25" s="203">
        <f>E23</f>
        <v>0</v>
      </c>
      <c r="H25" s="204">
        <f>E24</f>
        <v>0</v>
      </c>
      <c r="I25" s="183"/>
      <c r="J25" s="154"/>
      <c r="K25" s="205"/>
      <c r="L25" s="183"/>
      <c r="M25" s="663"/>
    </row>
    <row r="26" spans="1:13" ht="15.75" thickBot="1">
      <c r="A26" s="495"/>
      <c r="B26" s="183"/>
      <c r="C26" s="157"/>
      <c r="D26" s="186" t="s">
        <v>1244</v>
      </c>
      <c r="E26" s="206">
        <f>G26*H26</f>
        <v>0</v>
      </c>
      <c r="F26" s="202" t="s">
        <v>66</v>
      </c>
      <c r="G26" s="207">
        <f>E25</f>
        <v>0</v>
      </c>
      <c r="H26" s="931">
        <v>0.75</v>
      </c>
      <c r="I26" s="183"/>
      <c r="J26" s="196" t="str">
        <f>"| Assume "&amp;H26*100&amp;"% is straight"</f>
        <v>| Assume 75% is straight</v>
      </c>
      <c r="K26" s="199"/>
      <c r="L26" s="183"/>
      <c r="M26" s="662"/>
    </row>
    <row r="27" spans="1:13">
      <c r="A27" s="495"/>
      <c r="B27" s="183"/>
      <c r="C27" s="157"/>
      <c r="D27" s="122"/>
      <c r="E27" s="122"/>
      <c r="F27" s="122"/>
      <c r="G27" s="183"/>
      <c r="H27" s="183"/>
      <c r="I27" s="183"/>
      <c r="J27" s="154"/>
      <c r="K27" s="199"/>
      <c r="L27" s="183"/>
      <c r="M27" s="662"/>
    </row>
    <row r="28" spans="1:13">
      <c r="A28" s="495"/>
      <c r="B28" s="183"/>
      <c r="C28" s="157"/>
      <c r="D28" s="157"/>
      <c r="E28" s="157"/>
      <c r="F28" s="157"/>
      <c r="G28" s="157"/>
      <c r="H28" s="152"/>
      <c r="I28" s="153"/>
      <c r="J28" s="154"/>
      <c r="K28" s="199"/>
      <c r="L28" s="183"/>
      <c r="M28" s="662"/>
    </row>
    <row r="29" spans="1:13">
      <c r="A29" s="868" t="str">
        <f ca="1">IFERROR(HYPERLINK("#"&amp;"ProjectEstimate!A"&amp;(8+MATCH($C29,ProjectEstimate!$A$9:$A$145,0)),CONCATENATE("Go to ",$C29))," ")</f>
        <v xml:space="preserve"> </v>
      </c>
      <c r="B29" s="183"/>
      <c r="C29" s="157">
        <v>506.1</v>
      </c>
      <c r="D29" s="1227" t="s">
        <v>41</v>
      </c>
      <c r="E29" s="1227"/>
      <c r="F29" s="1227"/>
      <c r="G29" s="1227"/>
      <c r="H29" s="152">
        <f>ROUNDUP(E31,0)</f>
        <v>0</v>
      </c>
      <c r="I29" s="153" t="s">
        <v>17</v>
      </c>
      <c r="J29" s="154">
        <f ca="1">IF(ISBLANK(M29),_xlfn.XLOOKUP(C29,Output[Item '#],Output[Unit Price (Max or Override)]),M29)</f>
        <v>88</v>
      </c>
      <c r="K29" s="184">
        <f ca="1">ROUND(H29*J29, -1)</f>
        <v>0</v>
      </c>
      <c r="L29" s="183"/>
      <c r="M29" s="869"/>
    </row>
    <row r="30" spans="1:13">
      <c r="A30" s="495"/>
      <c r="B30" s="183"/>
      <c r="C30" s="157"/>
      <c r="D30" s="157"/>
      <c r="E30" s="157"/>
      <c r="F30" s="157"/>
      <c r="G30" s="157"/>
      <c r="H30" s="152"/>
      <c r="I30" s="153"/>
      <c r="J30" s="154"/>
      <c r="K30" s="199"/>
      <c r="L30" s="183"/>
      <c r="M30" s="662"/>
    </row>
    <row r="31" spans="1:13">
      <c r="A31" s="495"/>
      <c r="B31" s="183"/>
      <c r="C31" s="157"/>
      <c r="D31" s="186" t="s">
        <v>1245</v>
      </c>
      <c r="E31" s="189">
        <f>G31*H31</f>
        <v>0</v>
      </c>
      <c r="F31" s="202" t="s">
        <v>66</v>
      </c>
      <c r="G31" s="207">
        <f>E25</f>
        <v>0</v>
      </c>
      <c r="H31" s="208">
        <f>1-H26</f>
        <v>0.25</v>
      </c>
      <c r="I31" s="183"/>
      <c r="J31" s="196" t="str">
        <f>"| Assume "&amp;H31*100&amp;"% is curved"</f>
        <v>| Assume 25% is curved</v>
      </c>
      <c r="K31" s="199"/>
      <c r="L31" s="183"/>
      <c r="M31" s="662"/>
    </row>
    <row r="32" spans="1:13">
      <c r="A32" s="495"/>
      <c r="B32" s="183"/>
      <c r="C32" s="157"/>
      <c r="D32" s="122"/>
      <c r="E32" s="122"/>
      <c r="F32" s="122"/>
      <c r="G32" s="183"/>
      <c r="H32" s="183"/>
      <c r="I32" s="183"/>
      <c r="J32" s="154"/>
      <c r="K32" s="199"/>
      <c r="L32" s="183"/>
      <c r="M32" s="662"/>
    </row>
    <row r="33" spans="1:13">
      <c r="A33" s="868" t="str">
        <f ca="1">IFERROR(HYPERLINK("#"&amp;"ProjectEstimate!A"&amp;(8+MATCH($C33,ProjectEstimate!$A$9:$A$145,0)),CONCATENATE("Go to ",$C33))," ")</f>
        <v xml:space="preserve"> </v>
      </c>
      <c r="B33" s="209"/>
      <c r="C33" s="210">
        <v>580</v>
      </c>
      <c r="D33" s="1243" t="s">
        <v>56</v>
      </c>
      <c r="E33" s="1243"/>
      <c r="F33" s="1243"/>
      <c r="G33" s="1243"/>
      <c r="H33" s="211">
        <f>ROUNDUP(E37,0)</f>
        <v>0</v>
      </c>
      <c r="I33" s="212" t="s">
        <v>17</v>
      </c>
      <c r="J33" s="154">
        <f ca="1">IF(ISBLANK(M33),_xlfn.XLOOKUP(C33,Output[Item '#],Output[Unit Price (Max or Override)]),M33)</f>
        <v>48</v>
      </c>
      <c r="K33" s="192">
        <f ca="1">ROUND(H33*J33, -1)</f>
        <v>0</v>
      </c>
      <c r="L33" s="209"/>
      <c r="M33" s="869"/>
    </row>
    <row r="34" spans="1:13">
      <c r="A34" s="495"/>
      <c r="B34" s="209"/>
      <c r="C34" s="210"/>
      <c r="D34" s="210"/>
      <c r="E34" s="210"/>
      <c r="F34" s="210"/>
      <c r="G34" s="210"/>
      <c r="H34" s="211"/>
      <c r="I34" s="212"/>
      <c r="J34" s="213"/>
      <c r="K34" s="214"/>
      <c r="L34" s="209"/>
      <c r="M34" s="662"/>
    </row>
    <row r="35" spans="1:13">
      <c r="A35" s="495"/>
      <c r="B35" s="183"/>
      <c r="C35" s="157"/>
      <c r="D35" s="186" t="s">
        <v>1908</v>
      </c>
      <c r="E35" s="187">
        <f>SUM(AREA!E67:H67)</f>
        <v>0</v>
      </c>
      <c r="F35" s="210"/>
      <c r="G35" s="210"/>
      <c r="H35" s="211"/>
      <c r="I35" s="212"/>
      <c r="J35" s="213"/>
      <c r="K35" s="214"/>
      <c r="L35" s="183"/>
      <c r="M35" s="662"/>
    </row>
    <row r="36" spans="1:13">
      <c r="A36" s="495"/>
      <c r="B36" s="183"/>
      <c r="C36" s="157"/>
      <c r="D36" s="186" t="s">
        <v>1909</v>
      </c>
      <c r="E36" s="201">
        <f>IF(Roadway!I40=HIDDEN!$B$34,Roadway!I39,0)</f>
        <v>0</v>
      </c>
      <c r="F36" s="210"/>
      <c r="G36" s="210"/>
      <c r="H36" s="211"/>
      <c r="I36" s="212"/>
      <c r="J36" s="213"/>
      <c r="K36" s="214"/>
      <c r="L36" s="183"/>
      <c r="M36" s="662"/>
    </row>
    <row r="37" spans="1:13">
      <c r="A37" s="495"/>
      <c r="B37" s="209"/>
      <c r="C37" s="210"/>
      <c r="D37" s="186" t="s">
        <v>1910</v>
      </c>
      <c r="E37" s="189">
        <f>SUM(E35:E36)</f>
        <v>0</v>
      </c>
      <c r="F37" s="215"/>
      <c r="G37" s="210"/>
      <c r="H37" s="211"/>
      <c r="I37" s="212"/>
      <c r="J37" s="213"/>
      <c r="K37" s="214"/>
      <c r="L37" s="209"/>
      <c r="M37" s="662"/>
    </row>
    <row r="38" spans="1:13">
      <c r="A38" s="495"/>
      <c r="B38" s="209"/>
      <c r="C38" s="210"/>
      <c r="D38" s="215"/>
      <c r="E38" s="215"/>
      <c r="F38" s="215"/>
      <c r="G38" s="216"/>
      <c r="H38" s="217"/>
      <c r="I38" s="216"/>
      <c r="J38" s="213"/>
      <c r="K38" s="214"/>
      <c r="L38" s="209"/>
      <c r="M38" s="662"/>
    </row>
    <row r="39" spans="1:13">
      <c r="A39" s="868" t="str">
        <f ca="1">IFERROR(HYPERLINK("#"&amp;"ProjectEstimate!A"&amp;(8+MATCH($C39,ProjectEstimate!$A$9:$A$145,0)),CONCATENATE("Go to ",$C39))," ")</f>
        <v xml:space="preserve"> </v>
      </c>
      <c r="B39" s="209"/>
      <c r="C39" s="210">
        <v>590</v>
      </c>
      <c r="D39" s="1243" t="s">
        <v>343</v>
      </c>
      <c r="E39" s="1243"/>
      <c r="F39" s="1243"/>
      <c r="G39" s="1243"/>
      <c r="H39" s="211">
        <f>ROUNDUP(E41,0)</f>
        <v>0</v>
      </c>
      <c r="I39" s="212" t="s">
        <v>17</v>
      </c>
      <c r="J39" s="154">
        <f>IF(ISBLANK(M39),_xlfn.XLOOKUP(C39,Output[Item '#],Output[Unit Price (Max or Override)]),M39)</f>
        <v>13</v>
      </c>
      <c r="K39" s="184">
        <f>ROUND(H39*J39, -1)</f>
        <v>0</v>
      </c>
      <c r="L39" s="209"/>
      <c r="M39" s="869"/>
    </row>
    <row r="40" spans="1:13">
      <c r="A40" s="495"/>
      <c r="B40" s="209"/>
      <c r="C40" s="210"/>
      <c r="D40" s="210"/>
      <c r="E40" s="210"/>
      <c r="F40" s="210"/>
      <c r="G40" s="210"/>
      <c r="H40" s="211"/>
      <c r="I40" s="212"/>
      <c r="J40" s="213"/>
      <c r="K40" s="218"/>
      <c r="L40" s="209"/>
      <c r="M40" s="662"/>
    </row>
    <row r="41" spans="1:13">
      <c r="A41" s="495"/>
      <c r="B41" s="209"/>
      <c r="C41" s="210"/>
      <c r="D41" s="186" t="s">
        <v>1913</v>
      </c>
      <c r="E41" s="189">
        <f>IF(Roadway!I40=HIDDEN!$B$32,Roadway!I39,0)</f>
        <v>0</v>
      </c>
      <c r="F41" s="215"/>
      <c r="G41" s="210"/>
      <c r="H41" s="211"/>
      <c r="I41" s="212"/>
      <c r="J41" s="213"/>
      <c r="K41" s="218"/>
      <c r="L41" s="209"/>
      <c r="M41" s="662"/>
    </row>
    <row r="42" spans="1:13">
      <c r="A42" s="495"/>
      <c r="B42" s="209"/>
      <c r="C42" s="210"/>
      <c r="D42" s="215"/>
      <c r="E42" s="215"/>
      <c r="F42" s="215"/>
      <c r="G42" s="216"/>
      <c r="H42" s="217"/>
      <c r="I42" s="216"/>
      <c r="J42" s="213"/>
      <c r="K42" s="218"/>
      <c r="L42" s="209"/>
      <c r="M42" s="662"/>
    </row>
    <row r="43" spans="1:13">
      <c r="A43" s="868" t="str">
        <f ca="1">IFERROR(HYPERLINK("#"&amp;"ProjectEstimate!A"&amp;(8+MATCH($C43,ProjectEstimate!$A$9:$A$145,0)),CONCATENATE("Go to ",$C43))," ")</f>
        <v xml:space="preserve"> </v>
      </c>
      <c r="B43" s="183"/>
      <c r="C43" s="157">
        <v>509</v>
      </c>
      <c r="D43" s="1227" t="s">
        <v>690</v>
      </c>
      <c r="E43" s="1227"/>
      <c r="F43" s="1227"/>
      <c r="G43" s="1227"/>
      <c r="H43" s="152">
        <f>ROUNDUP(E46,0)</f>
        <v>0</v>
      </c>
      <c r="I43" s="153" t="s">
        <v>17</v>
      </c>
      <c r="J43" s="154">
        <f ca="1">IF(ISBLANK(M43),_xlfn.XLOOKUP(C43,Output[Item '#],Output[Unit Price (Max or Override)]),M43)</f>
        <v>87</v>
      </c>
      <c r="K43" s="184">
        <f ca="1">ROUND(H43*J43, -1)</f>
        <v>0</v>
      </c>
      <c r="L43" s="183"/>
      <c r="M43" s="869"/>
    </row>
    <row r="44" spans="1:13">
      <c r="A44" s="495"/>
      <c r="B44" s="183"/>
      <c r="C44" s="157"/>
      <c r="D44" s="157"/>
      <c r="E44" s="157"/>
      <c r="F44" s="157"/>
      <c r="G44" s="157"/>
      <c r="H44" s="152"/>
      <c r="I44" s="153"/>
      <c r="J44" s="154"/>
      <c r="K44" s="199"/>
      <c r="L44" s="183"/>
      <c r="M44" s="662"/>
    </row>
    <row r="45" spans="1:13" ht="15.75" thickBot="1">
      <c r="A45" s="495"/>
      <c r="B45" s="183"/>
      <c r="C45" s="157"/>
      <c r="D45" s="186" t="s">
        <v>1246</v>
      </c>
      <c r="E45" s="187">
        <f>G45*H45</f>
        <v>0</v>
      </c>
      <c r="F45" s="219" t="s">
        <v>66</v>
      </c>
      <c r="G45" s="220">
        <f>CIVIL!$D$9</f>
        <v>0</v>
      </c>
      <c r="H45" s="874">
        <v>13</v>
      </c>
      <c r="I45" s="200"/>
      <c r="J45" s="196" t="s">
        <v>1689</v>
      </c>
      <c r="K45" s="199"/>
      <c r="L45" s="183"/>
      <c r="M45" s="662"/>
    </row>
    <row r="46" spans="1:13" ht="15.75" thickBot="1">
      <c r="A46" s="495"/>
      <c r="B46" s="183"/>
      <c r="C46" s="157"/>
      <c r="D46" s="186" t="s">
        <v>1247</v>
      </c>
      <c r="E46" s="206">
        <f>G46*H46</f>
        <v>0</v>
      </c>
      <c r="F46" s="219" t="s">
        <v>66</v>
      </c>
      <c r="G46" s="207">
        <f>E45</f>
        <v>0</v>
      </c>
      <c r="H46" s="208">
        <f>$H$26</f>
        <v>0.75</v>
      </c>
      <c r="I46" s="200" t="s">
        <v>17</v>
      </c>
      <c r="J46" s="196" t="s">
        <v>1248</v>
      </c>
      <c r="K46" s="199"/>
      <c r="L46" s="183"/>
      <c r="M46" s="662"/>
    </row>
    <row r="47" spans="1:13">
      <c r="A47" s="495"/>
      <c r="B47" s="183"/>
      <c r="C47" s="157"/>
      <c r="D47" s="122"/>
      <c r="E47" s="122"/>
      <c r="F47" s="200"/>
      <c r="G47" s="200"/>
      <c r="H47" s="221"/>
      <c r="I47" s="200"/>
      <c r="J47" s="222" t="s">
        <v>1249</v>
      </c>
      <c r="K47" s="199"/>
      <c r="L47" s="183"/>
      <c r="M47" s="662"/>
    </row>
    <row r="48" spans="1:13">
      <c r="A48" s="495"/>
      <c r="B48" s="183"/>
      <c r="C48" s="157"/>
      <c r="D48" s="157"/>
      <c r="E48" s="157"/>
      <c r="F48" s="157"/>
      <c r="G48" s="157"/>
      <c r="H48" s="152"/>
      <c r="I48" s="153"/>
      <c r="J48" s="154"/>
      <c r="K48" s="199"/>
      <c r="L48" s="183"/>
      <c r="M48" s="662"/>
    </row>
    <row r="49" spans="1:13">
      <c r="A49" s="868" t="str">
        <f ca="1">IFERROR(HYPERLINK("#"&amp;"ProjectEstimate!A"&amp;(8+MATCH($C49,ProjectEstimate!$A$9:$A$145,0)),CONCATENATE("Go to ",$C49))," ")</f>
        <v xml:space="preserve"> </v>
      </c>
      <c r="B49" s="183"/>
      <c r="C49" s="157">
        <v>509.1</v>
      </c>
      <c r="D49" s="1227" t="s">
        <v>1250</v>
      </c>
      <c r="E49" s="1227"/>
      <c r="F49" s="1227"/>
      <c r="G49" s="1227"/>
      <c r="H49" s="152">
        <f>ROUNDUP(E51,0)</f>
        <v>0</v>
      </c>
      <c r="I49" s="153" t="s">
        <v>17</v>
      </c>
      <c r="J49" s="154">
        <f ca="1">IF(ISBLANK(M49),_xlfn.XLOOKUP(C49,Output[Item '#],Output[Unit Price (Max or Override)]),M49)</f>
        <v>101</v>
      </c>
      <c r="K49" s="184">
        <f ca="1">ROUND(H49*J49, -1)</f>
        <v>0</v>
      </c>
      <c r="L49" s="183"/>
      <c r="M49" s="869"/>
    </row>
    <row r="50" spans="1:13" ht="15.75" thickBot="1">
      <c r="A50" s="495"/>
      <c r="B50" s="183"/>
      <c r="C50" s="157"/>
      <c r="D50" s="183"/>
      <c r="E50" s="183"/>
      <c r="F50" s="183"/>
      <c r="G50" s="183"/>
      <c r="H50" s="183"/>
      <c r="I50" s="183"/>
      <c r="J50" s="154"/>
      <c r="K50" s="199"/>
      <c r="L50" s="183"/>
      <c r="M50" s="662"/>
    </row>
    <row r="51" spans="1:13" ht="15.75" thickBot="1">
      <c r="A51" s="495"/>
      <c r="B51" s="183"/>
      <c r="C51" s="157"/>
      <c r="D51" s="186" t="s">
        <v>1251</v>
      </c>
      <c r="E51" s="206">
        <f>G51*H51</f>
        <v>0</v>
      </c>
      <c r="F51" s="219" t="s">
        <v>66</v>
      </c>
      <c r="G51" s="207">
        <f>E45</f>
        <v>0</v>
      </c>
      <c r="H51" s="208">
        <f>$H$31</f>
        <v>0.25</v>
      </c>
      <c r="I51" s="200" t="s">
        <v>17</v>
      </c>
      <c r="J51" s="196" t="s">
        <v>1248</v>
      </c>
      <c r="K51" s="199"/>
      <c r="L51" s="183"/>
      <c r="M51" s="662"/>
    </row>
    <row r="52" spans="1:13">
      <c r="A52" s="495"/>
      <c r="B52" s="183"/>
      <c r="C52" s="157"/>
      <c r="D52" s="122"/>
      <c r="E52" s="122"/>
      <c r="F52" s="122"/>
      <c r="G52" s="200"/>
      <c r="H52" s="221"/>
      <c r="I52" s="200" t="s">
        <v>17</v>
      </c>
      <c r="J52" s="222" t="s">
        <v>1249</v>
      </c>
      <c r="K52" s="199"/>
      <c r="L52" s="183"/>
      <c r="M52" s="662"/>
    </row>
    <row r="53" spans="1:13">
      <c r="A53" s="495"/>
      <c r="B53" s="183"/>
      <c r="C53" s="157"/>
      <c r="D53" s="122"/>
      <c r="E53" s="122"/>
      <c r="F53" s="122"/>
      <c r="G53" s="200"/>
      <c r="H53" s="221"/>
      <c r="I53" s="200"/>
      <c r="J53" s="222"/>
      <c r="K53" s="199"/>
      <c r="L53" s="183"/>
      <c r="M53" s="662"/>
    </row>
    <row r="54" spans="1:13">
      <c r="A54" s="868" t="str">
        <f ca="1">IFERROR(HYPERLINK("#"&amp;"ProjectEstimate!A"&amp;(8+MATCH($C54,ProjectEstimate!$A$9:$A$145,0)),CONCATENATE("Go to ",$C54))," ")</f>
        <v xml:space="preserve"> </v>
      </c>
      <c r="B54" s="183"/>
      <c r="C54" s="157">
        <v>510</v>
      </c>
      <c r="D54" s="1238" t="s">
        <v>330</v>
      </c>
      <c r="E54" s="1238"/>
      <c r="F54" s="1238"/>
      <c r="G54" s="1238"/>
      <c r="H54" s="152">
        <f>ROUNDUP(E62,0)</f>
        <v>0</v>
      </c>
      <c r="I54" s="153" t="s">
        <v>17</v>
      </c>
      <c r="J54" s="154">
        <f ca="1">IF(ISBLANK(M54),_xlfn.XLOOKUP(C54,Output[Item '#],Output[Unit Price (Max or Override)]),M54)</f>
        <v>65</v>
      </c>
      <c r="K54" s="585">
        <f ca="1">ROUND(H54*J54,-1)</f>
        <v>0</v>
      </c>
      <c r="L54" s="183"/>
      <c r="M54" s="869"/>
    </row>
    <row r="55" spans="1:13">
      <c r="A55" s="495"/>
      <c r="B55" s="183"/>
      <c r="C55" s="157"/>
      <c r="D55" s="157"/>
      <c r="E55" s="157"/>
      <c r="F55" s="157"/>
      <c r="G55" s="157"/>
      <c r="H55" s="152"/>
      <c r="I55" s="153"/>
      <c r="J55" s="154"/>
      <c r="K55" s="199"/>
      <c r="L55" s="183"/>
      <c r="M55" s="662"/>
    </row>
    <row r="56" spans="1:13">
      <c r="A56" s="495"/>
      <c r="B56" s="183"/>
      <c r="C56" s="157"/>
      <c r="D56" s="234" t="s">
        <v>1704</v>
      </c>
      <c r="E56" s="200">
        <f>COUNTIF(TrafficControl!$G$16:$J$16,HIDDEN!$C$47)</f>
        <v>0</v>
      </c>
      <c r="F56" s="157"/>
      <c r="G56" s="157"/>
      <c r="H56" s="152"/>
      <c r="I56" s="153"/>
      <c r="J56" s="196" t="s">
        <v>1705</v>
      </c>
      <c r="K56" s="205"/>
      <c r="L56" s="183"/>
      <c r="M56" s="663"/>
    </row>
    <row r="57" spans="1:13">
      <c r="A57" s="495"/>
      <c r="B57" s="183"/>
      <c r="C57" s="157"/>
      <c r="D57" s="234" t="s">
        <v>3659</v>
      </c>
      <c r="E57" s="235">
        <f>G57*H57</f>
        <v>141.37166941154069</v>
      </c>
      <c r="F57" s="219" t="s">
        <v>66</v>
      </c>
      <c r="G57" s="875">
        <v>45</v>
      </c>
      <c r="H57" s="228">
        <f>PI()</f>
        <v>3.1415926535897931</v>
      </c>
      <c r="I57" s="153"/>
      <c r="J57" s="196" t="s">
        <v>1707</v>
      </c>
      <c r="K57" s="205"/>
      <c r="L57" s="183"/>
      <c r="M57" s="663"/>
    </row>
    <row r="58" spans="1:13">
      <c r="A58" s="495"/>
      <c r="B58" s="183"/>
      <c r="C58" s="157"/>
      <c r="D58" s="234" t="s">
        <v>3660</v>
      </c>
      <c r="E58" s="449">
        <f>G58*H58</f>
        <v>0</v>
      </c>
      <c r="F58" s="219" t="s">
        <v>66</v>
      </c>
      <c r="G58" s="251">
        <f>E57</f>
        <v>141.37166941154069</v>
      </c>
      <c r="H58" s="285">
        <f>E56</f>
        <v>0</v>
      </c>
      <c r="I58" s="159"/>
      <c r="J58" s="196" t="s">
        <v>1703</v>
      </c>
      <c r="K58" s="205"/>
      <c r="L58" s="183"/>
      <c r="M58" s="662"/>
    </row>
    <row r="59" spans="1:13">
      <c r="A59" s="495"/>
      <c r="B59" s="183"/>
      <c r="C59" s="157"/>
      <c r="D59" s="157"/>
      <c r="E59" s="157"/>
      <c r="F59" s="157"/>
      <c r="G59" s="157"/>
      <c r="H59" s="152"/>
      <c r="I59" s="153"/>
      <c r="J59" s="154"/>
      <c r="K59" s="205"/>
      <c r="L59" s="183"/>
      <c r="M59" s="662"/>
    </row>
    <row r="60" spans="1:13">
      <c r="A60" s="495"/>
      <c r="B60" s="183"/>
      <c r="C60" s="157"/>
      <c r="D60" s="234" t="s">
        <v>3661</v>
      </c>
      <c r="E60" s="449">
        <f>SUM(AREA!E66:H66)</f>
        <v>0</v>
      </c>
      <c r="F60" s="200"/>
      <c r="G60" s="159"/>
      <c r="H60" s="159"/>
      <c r="I60" s="159"/>
      <c r="J60" s="196" t="str">
        <f>"| From Roadway Question "&amp;Roadway!B13&amp;" &amp; "&amp;Roadway!B14</f>
        <v>| From Roadway Question 5 &amp; 6</v>
      </c>
      <c r="K60" s="205"/>
      <c r="L60" s="183"/>
      <c r="M60" s="662"/>
    </row>
    <row r="61" spans="1:13" ht="15.75" thickBot="1">
      <c r="A61" s="495"/>
      <c r="B61" s="183"/>
      <c r="C61" s="157"/>
      <c r="D61" s="234"/>
      <c r="E61" s="235"/>
      <c r="F61" s="200"/>
      <c r="G61" s="159"/>
      <c r="H61" s="159"/>
      <c r="I61" s="159"/>
      <c r="J61" s="196"/>
      <c r="K61" s="205"/>
      <c r="L61" s="183"/>
      <c r="M61" s="662"/>
    </row>
    <row r="62" spans="1:13" ht="15.75" thickBot="1">
      <c r="A62" s="495"/>
      <c r="B62" s="183"/>
      <c r="C62" s="157"/>
      <c r="D62" s="200" t="s">
        <v>18</v>
      </c>
      <c r="E62" s="450">
        <f>G62+H62</f>
        <v>0</v>
      </c>
      <c r="F62" s="219" t="s">
        <v>66</v>
      </c>
      <c r="G62" s="451">
        <f>E58</f>
        <v>0</v>
      </c>
      <c r="H62" s="452">
        <f>E60</f>
        <v>0</v>
      </c>
      <c r="I62" s="159"/>
      <c r="J62" s="154"/>
      <c r="K62" s="205"/>
      <c r="L62" s="183"/>
      <c r="M62" s="662"/>
    </row>
    <row r="63" spans="1:13">
      <c r="A63" s="495"/>
      <c r="B63" s="183"/>
      <c r="C63" s="157"/>
      <c r="D63" s="157"/>
      <c r="E63" s="157"/>
      <c r="F63" s="157"/>
      <c r="G63" s="157"/>
      <c r="H63" s="152"/>
      <c r="I63" s="153"/>
      <c r="J63" s="222"/>
      <c r="K63" s="199"/>
      <c r="L63" s="183"/>
      <c r="M63" s="662"/>
    </row>
    <row r="64" spans="1:13">
      <c r="A64" s="868" t="str">
        <f ca="1">IFERROR(HYPERLINK("#"&amp;"ProjectEstimate!A"&amp;(8+MATCH($C64,ProjectEstimate!$A$9:$A$145,0)),CONCATENATE("Go to ",$C64))," ")</f>
        <v xml:space="preserve"> </v>
      </c>
      <c r="B64" s="183"/>
      <c r="C64" s="157">
        <v>470</v>
      </c>
      <c r="D64" s="1227" t="s">
        <v>314</v>
      </c>
      <c r="E64" s="1227"/>
      <c r="F64" s="1227"/>
      <c r="G64" s="1227"/>
      <c r="H64" s="152">
        <f>ROUNDUP(I71,0)</f>
        <v>0</v>
      </c>
      <c r="I64" s="181" t="s">
        <v>7</v>
      </c>
      <c r="J64" s="154">
        <f ca="1">IF(ISBLANK(M64),_xlfn.XLOOKUP(C64,Output[Item '#],Output[Unit Price (Max or Override)]),M64)</f>
        <v>383</v>
      </c>
      <c r="K64" s="585">
        <f ca="1">ROUND(H64*J64,-1)</f>
        <v>0</v>
      </c>
      <c r="L64" s="183"/>
      <c r="M64" s="869"/>
    </row>
    <row r="65" spans="1:13">
      <c r="A65" s="495"/>
      <c r="B65" s="183"/>
      <c r="C65" s="157"/>
      <c r="D65" s="157"/>
      <c r="E65" s="157"/>
      <c r="F65" s="157"/>
      <c r="G65" s="157"/>
      <c r="H65" s="152"/>
      <c r="I65" s="153"/>
      <c r="J65" s="154"/>
      <c r="K65" s="199"/>
      <c r="L65" s="183"/>
      <c r="M65" s="662"/>
    </row>
    <row r="66" spans="1:13">
      <c r="A66" s="495"/>
      <c r="B66" s="183"/>
      <c r="C66" s="157"/>
      <c r="D66" s="122"/>
      <c r="E66" s="122"/>
      <c r="F66" s="122"/>
      <c r="G66" s="225" t="s">
        <v>1932</v>
      </c>
      <c r="H66" s="221">
        <f>SUM(AREA!E65:H65)</f>
        <v>0</v>
      </c>
      <c r="I66" s="200" t="s">
        <v>17</v>
      </c>
      <c r="J66" s="196" t="s">
        <v>1227</v>
      </c>
      <c r="K66" s="199"/>
      <c r="L66" s="183"/>
      <c r="M66" s="662"/>
    </row>
    <row r="67" spans="1:13">
      <c r="A67" s="495"/>
      <c r="B67" s="183"/>
      <c r="C67" s="157"/>
      <c r="D67" s="122"/>
      <c r="E67" s="226"/>
      <c r="F67" s="57"/>
      <c r="G67" s="225" t="s">
        <v>1257</v>
      </c>
      <c r="H67" s="227">
        <v>0.51429999999999998</v>
      </c>
      <c r="I67" s="226" t="s">
        <v>3</v>
      </c>
      <c r="J67" s="228"/>
      <c r="K67" s="199"/>
      <c r="L67" s="183"/>
      <c r="M67" s="662"/>
    </row>
    <row r="68" spans="1:13">
      <c r="A68" s="495"/>
      <c r="B68" s="183"/>
      <c r="C68" s="157"/>
      <c r="D68" s="122"/>
      <c r="E68" s="226"/>
      <c r="F68" s="57"/>
      <c r="G68" s="229" t="s">
        <v>1258</v>
      </c>
      <c r="H68" s="227">
        <f>((SUM(H66)*H67))</f>
        <v>0</v>
      </c>
      <c r="I68" s="226" t="s">
        <v>668</v>
      </c>
      <c r="J68" s="228"/>
      <c r="K68" s="199"/>
      <c r="L68" s="183"/>
      <c r="M68" s="662"/>
    </row>
    <row r="69" spans="1:13">
      <c r="A69" s="495"/>
      <c r="B69" s="183"/>
      <c r="C69" s="157"/>
      <c r="D69" s="122"/>
      <c r="E69" s="226"/>
      <c r="F69" s="159"/>
      <c r="G69" s="159"/>
      <c r="H69" s="159"/>
      <c r="I69" s="159"/>
      <c r="J69" s="228"/>
      <c r="K69" s="199"/>
      <c r="L69" s="183"/>
      <c r="M69" s="662"/>
    </row>
    <row r="70" spans="1:13">
      <c r="A70" s="495"/>
      <c r="B70" s="183"/>
      <c r="C70" s="157"/>
      <c r="D70" s="122"/>
      <c r="E70" s="226"/>
      <c r="F70" s="159"/>
      <c r="G70" s="230" t="s">
        <v>1259</v>
      </c>
      <c r="H70" s="230" t="s">
        <v>1260</v>
      </c>
      <c r="I70" s="230" t="s">
        <v>13</v>
      </c>
      <c r="J70" s="228"/>
      <c r="K70" s="199"/>
      <c r="L70" s="183"/>
      <c r="M70" s="662"/>
    </row>
    <row r="71" spans="1:13">
      <c r="A71" s="495"/>
      <c r="B71" s="183"/>
      <c r="C71" s="157"/>
      <c r="D71" s="122"/>
      <c r="E71" s="226"/>
      <c r="F71" s="226"/>
      <c r="G71" s="231">
        <f>H68</f>
        <v>0</v>
      </c>
      <c r="H71" s="232">
        <v>7.4999999999999997E-2</v>
      </c>
      <c r="I71" s="231">
        <f>G71*H71</f>
        <v>0</v>
      </c>
      <c r="J71" s="228"/>
      <c r="K71" s="199"/>
      <c r="L71" s="183"/>
      <c r="M71" s="662"/>
    </row>
    <row r="72" spans="1:13">
      <c r="A72" s="495"/>
      <c r="M72" s="662"/>
    </row>
    <row r="73" spans="1:13">
      <c r="A73" s="868" t="str">
        <f ca="1">IFERROR(HYPERLINK("#"&amp;"ProjectEstimate!A"&amp;(8+MATCH($C73,ProjectEstimate!$A$9:$A$145,0)),CONCATENATE("Go to ",$C73))," ")</f>
        <v xml:space="preserve"> </v>
      </c>
      <c r="B73" s="183"/>
      <c r="C73" s="157">
        <v>520</v>
      </c>
      <c r="D73" s="1227" t="s">
        <v>336</v>
      </c>
      <c r="E73" s="1227"/>
      <c r="F73" s="1227"/>
      <c r="G73" s="1227"/>
      <c r="H73" s="152">
        <f>ROUNDUP(H76,0)</f>
        <v>0</v>
      </c>
      <c r="I73" s="153" t="s">
        <v>17</v>
      </c>
      <c r="J73" s="154">
        <f ca="1">IF(ISBLANK(M73),_xlfn.XLOOKUP(C73,Output[Item '#],Output[Unit Price (Max or Override)]),M73)</f>
        <v>67</v>
      </c>
      <c r="K73" s="184">
        <f ca="1">ROUND(H73*J73, -1)</f>
        <v>0</v>
      </c>
      <c r="L73" s="183"/>
      <c r="M73" s="869"/>
    </row>
    <row r="74" spans="1:13">
      <c r="A74" s="495"/>
      <c r="B74" s="183"/>
      <c r="C74" s="157"/>
      <c r="D74" s="183"/>
      <c r="E74" s="183"/>
      <c r="F74" s="183"/>
      <c r="G74" s="183"/>
      <c r="H74" s="183"/>
      <c r="I74" s="183"/>
      <c r="J74" s="154"/>
      <c r="K74" s="205"/>
      <c r="L74" s="183"/>
      <c r="M74" s="662"/>
    </row>
    <row r="75" spans="1:13">
      <c r="A75" s="495"/>
      <c r="B75" s="183"/>
      <c r="C75" s="157"/>
      <c r="D75" s="183"/>
      <c r="E75" s="183"/>
      <c r="F75" s="122"/>
      <c r="G75" s="200"/>
      <c r="H75" s="223">
        <f>SUM(AREA!E63:H63)</f>
        <v>0</v>
      </c>
      <c r="I75" s="200" t="s">
        <v>17</v>
      </c>
      <c r="J75" s="196" t="s">
        <v>1227</v>
      </c>
      <c r="K75" s="205"/>
      <c r="L75" s="183"/>
      <c r="M75" s="662"/>
    </row>
    <row r="76" spans="1:13">
      <c r="A76" s="495"/>
      <c r="B76" s="183"/>
      <c r="C76" s="157"/>
      <c r="D76" s="122"/>
      <c r="E76" s="122"/>
      <c r="F76" s="122"/>
      <c r="G76" s="200" t="s">
        <v>18</v>
      </c>
      <c r="H76" s="224">
        <f>ROUNDUP(H75,-1)</f>
        <v>0</v>
      </c>
      <c r="I76" s="200" t="s">
        <v>17</v>
      </c>
      <c r="J76" s="154"/>
      <c r="K76" s="205"/>
      <c r="L76" s="183"/>
      <c r="M76" s="662"/>
    </row>
    <row r="77" spans="1:13">
      <c r="A77" s="495"/>
      <c r="B77" s="183"/>
      <c r="C77" s="157"/>
      <c r="D77" s="157"/>
      <c r="E77" s="157"/>
      <c r="F77" s="157"/>
      <c r="G77" s="157"/>
      <c r="H77" s="152"/>
      <c r="I77" s="153"/>
      <c r="J77" s="154"/>
      <c r="K77" s="205"/>
      <c r="L77" s="183"/>
      <c r="M77" s="662"/>
    </row>
    <row r="78" spans="1:13">
      <c r="A78" s="868" t="str">
        <f ca="1">IFERROR(HYPERLINK("#"&amp;"ProjectEstimate!A"&amp;(8+MATCH($C78,ProjectEstimate!$A$9:$A$145,0)),CONCATENATE("Go to ",$C78))," ")</f>
        <v xml:space="preserve"> </v>
      </c>
      <c r="B78" s="183"/>
      <c r="C78" s="157">
        <v>570</v>
      </c>
      <c r="D78" s="1227" t="s">
        <v>337</v>
      </c>
      <c r="E78" s="1227"/>
      <c r="F78" s="1227"/>
      <c r="G78" s="1227"/>
      <c r="H78" s="152">
        <f>ROUNDUP(H81,0)</f>
        <v>0</v>
      </c>
      <c r="I78" s="153" t="s">
        <v>17</v>
      </c>
      <c r="J78" s="154">
        <f ca="1">IF(ISBLANK(M78),_xlfn.XLOOKUP(C78,Output[Item '#],Output[Unit Price (Max or Override)]),M78)</f>
        <v>27</v>
      </c>
      <c r="K78" s="184">
        <f ca="1">ROUND(H78*J78, -1)</f>
        <v>0</v>
      </c>
      <c r="L78" s="183"/>
      <c r="M78" s="869"/>
    </row>
    <row r="79" spans="1:13">
      <c r="A79" s="495"/>
      <c r="B79" s="183"/>
      <c r="C79" s="157"/>
      <c r="D79" s="183"/>
      <c r="E79" s="183"/>
      <c r="F79" s="183"/>
      <c r="G79" s="183"/>
      <c r="H79" s="183"/>
      <c r="I79" s="183"/>
      <c r="J79" s="154"/>
      <c r="K79" s="199"/>
      <c r="L79" s="183"/>
      <c r="M79" s="662"/>
    </row>
    <row r="80" spans="1:13">
      <c r="A80" s="495"/>
      <c r="B80" s="183"/>
      <c r="C80" s="157"/>
      <c r="D80" s="183"/>
      <c r="E80" s="183"/>
      <c r="F80" s="122"/>
      <c r="G80" s="200"/>
      <c r="H80" s="223">
        <f>SUM(AREA!E64:H64)</f>
        <v>0</v>
      </c>
      <c r="I80" s="200" t="s">
        <v>17</v>
      </c>
      <c r="J80" s="196" t="s">
        <v>1227</v>
      </c>
      <c r="K80" s="199"/>
      <c r="L80" s="183"/>
      <c r="M80" s="662"/>
    </row>
    <row r="81" spans="1:14">
      <c r="A81" s="495"/>
      <c r="B81" s="183"/>
      <c r="C81" s="157"/>
      <c r="D81" s="122"/>
      <c r="E81" s="122"/>
      <c r="F81" s="122"/>
      <c r="G81" s="200" t="s">
        <v>18</v>
      </c>
      <c r="H81" s="224">
        <f>ROUNDUP(H80,-1)</f>
        <v>0</v>
      </c>
      <c r="I81" s="200" t="s">
        <v>17</v>
      </c>
      <c r="J81" s="154"/>
      <c r="K81" s="199"/>
      <c r="L81" s="183"/>
      <c r="M81" s="662"/>
    </row>
    <row r="82" spans="1:14">
      <c r="A82" s="495"/>
      <c r="B82" s="183"/>
      <c r="C82" s="157"/>
      <c r="D82" s="157"/>
      <c r="E82" s="157"/>
      <c r="F82" s="157"/>
      <c r="G82" s="157"/>
      <c r="H82" s="152"/>
      <c r="I82" s="153"/>
      <c r="J82" s="154"/>
      <c r="K82" s="199"/>
      <c r="L82" s="183"/>
      <c r="M82" s="662"/>
    </row>
    <row r="83" spans="1:14">
      <c r="A83" s="868" t="str">
        <f ca="1">IFERROR(HYPERLINK("#"&amp;"ProjectEstimate!A"&amp;(8+MATCH($C83,ProjectEstimate!$A$9:$A$145,0)),CONCATENATE("Go to ",$C83))," ")</f>
        <v xml:space="preserve"> </v>
      </c>
      <c r="B83" s="183"/>
      <c r="C83" s="157">
        <v>620.12</v>
      </c>
      <c r="D83" s="1238" t="s">
        <v>1252</v>
      </c>
      <c r="E83" s="1238"/>
      <c r="F83" s="1238"/>
      <c r="G83" s="1238"/>
      <c r="H83" s="152">
        <f>ROUNDUP(E86,0)</f>
        <v>0</v>
      </c>
      <c r="I83" s="153" t="s">
        <v>17</v>
      </c>
      <c r="J83" s="154">
        <f ca="1">IF(ISBLANK(M83),_xlfn.XLOOKUP(C83,Output[Item '#],Output[Unit Price (Max or Override)]),M83)</f>
        <v>38</v>
      </c>
      <c r="K83" s="184">
        <f ca="1">ROUND(H83*J83, -1)</f>
        <v>0</v>
      </c>
      <c r="L83" s="183"/>
      <c r="M83" s="869"/>
    </row>
    <row r="84" spans="1:14">
      <c r="A84" s="495"/>
      <c r="B84" s="183"/>
      <c r="C84" s="157"/>
      <c r="D84" s="157"/>
      <c r="E84" s="157"/>
      <c r="F84" s="157"/>
      <c r="G84" s="157"/>
      <c r="H84" s="152"/>
      <c r="I84" s="153"/>
      <c r="J84" s="154"/>
      <c r="K84" s="199"/>
      <c r="L84" s="183"/>
      <c r="M84" s="662"/>
      <c r="N84" s="233"/>
    </row>
    <row r="85" spans="1:14" ht="15" customHeight="1" thickBot="1">
      <c r="A85" s="495"/>
      <c r="B85" s="183"/>
      <c r="C85" s="185"/>
      <c r="D85" s="186" t="s">
        <v>1895</v>
      </c>
      <c r="E85" s="189">
        <f>Roadway!E43</f>
        <v>0</v>
      </c>
      <c r="F85" s="58"/>
      <c r="H85" s="40"/>
      <c r="I85" s="40"/>
      <c r="J85" s="40"/>
      <c r="K85" s="188"/>
      <c r="L85" s="183"/>
      <c r="M85" s="662"/>
    </row>
    <row r="86" spans="1:14" ht="15.75" thickBot="1">
      <c r="A86" s="495"/>
      <c r="B86" s="183"/>
      <c r="C86" s="157"/>
      <c r="D86" s="234" t="s">
        <v>1896</v>
      </c>
      <c r="E86" s="236">
        <f>G86*H86</f>
        <v>0</v>
      </c>
      <c r="F86" s="202" t="s">
        <v>66</v>
      </c>
      <c r="G86" s="207">
        <f>E85</f>
        <v>0</v>
      </c>
      <c r="H86" s="931">
        <v>0.5</v>
      </c>
      <c r="I86" s="183"/>
      <c r="J86" s="196" t="str">
        <f>"| Assume "&amp;H86*100&amp;"% is straight"</f>
        <v>| Assume 50% is straight</v>
      </c>
      <c r="K86" s="199"/>
      <c r="L86" s="183"/>
      <c r="M86" s="662"/>
    </row>
    <row r="87" spans="1:14">
      <c r="A87" s="495"/>
      <c r="B87" s="183"/>
      <c r="C87" s="185"/>
      <c r="D87" s="159"/>
      <c r="E87" s="190"/>
      <c r="F87" s="237"/>
      <c r="H87" s="191"/>
      <c r="I87" s="188"/>
      <c r="J87" s="38"/>
      <c r="K87" s="159"/>
      <c r="L87" s="183"/>
      <c r="M87" s="662"/>
    </row>
    <row r="88" spans="1:14" ht="27" customHeight="1">
      <c r="A88" s="868" t="str">
        <f ca="1">IFERROR(HYPERLINK("#"&amp;"ProjectEstimate!A"&amp;(8+MATCH($C88,ProjectEstimate!$A$9:$A$145,0)),CONCATENATE("Go to ",$C88))," ")</f>
        <v xml:space="preserve"> </v>
      </c>
      <c r="B88" s="183"/>
      <c r="C88" s="157">
        <v>620.32000000000005</v>
      </c>
      <c r="D88" s="1238" t="s">
        <v>1253</v>
      </c>
      <c r="E88" s="1238"/>
      <c r="F88" s="1238"/>
      <c r="G88" s="1238"/>
      <c r="H88" s="152">
        <f>ROUNDUP(E90,0)</f>
        <v>0</v>
      </c>
      <c r="I88" s="153" t="s">
        <v>17</v>
      </c>
      <c r="J88" s="154">
        <f ca="1">IF(ISBLANK(M88),_xlfn.XLOOKUP(C88,Output[Item '#],Output[Unit Price (Max or Override)]),M88)</f>
        <v>48</v>
      </c>
      <c r="K88" s="184">
        <f ca="1">ROUND(H88*J88, -1)</f>
        <v>0</v>
      </c>
      <c r="L88" s="183"/>
      <c r="M88" s="869"/>
      <c r="N88" s="40"/>
    </row>
    <row r="89" spans="1:14" ht="15.75" thickBot="1">
      <c r="A89" s="495"/>
      <c r="B89" s="183"/>
      <c r="C89" s="157"/>
      <c r="D89" s="157"/>
      <c r="E89" s="157"/>
      <c r="F89" s="157"/>
      <c r="G89" s="157"/>
      <c r="H89" s="152"/>
      <c r="I89" s="153"/>
      <c r="J89" s="154"/>
      <c r="K89" s="199"/>
      <c r="L89" s="183"/>
      <c r="M89" s="662"/>
      <c r="N89" s="40"/>
    </row>
    <row r="90" spans="1:14" ht="15.75" thickBot="1">
      <c r="A90" s="495"/>
      <c r="B90" s="183"/>
      <c r="C90" s="157"/>
      <c r="D90" s="234" t="s">
        <v>1897</v>
      </c>
      <c r="E90" s="236">
        <f>G90*H90</f>
        <v>0</v>
      </c>
      <c r="F90" s="202" t="s">
        <v>66</v>
      </c>
      <c r="G90" s="207">
        <f>E85</f>
        <v>0</v>
      </c>
      <c r="H90" s="208">
        <f>1-H86</f>
        <v>0.5</v>
      </c>
      <c r="I90" s="183"/>
      <c r="J90" s="196" t="s">
        <v>1248</v>
      </c>
      <c r="K90" s="199"/>
      <c r="L90" s="183"/>
      <c r="M90" s="662"/>
    </row>
    <row r="91" spans="1:14">
      <c r="A91" s="495"/>
      <c r="B91" s="183"/>
      <c r="C91" s="157"/>
      <c r="D91" s="157"/>
      <c r="E91" s="157"/>
      <c r="F91" s="157"/>
      <c r="G91" s="157"/>
      <c r="H91" s="152"/>
      <c r="I91" s="153"/>
      <c r="J91" s="222" t="s">
        <v>1249</v>
      </c>
      <c r="K91" s="199"/>
      <c r="L91" s="183"/>
      <c r="M91" s="662"/>
    </row>
    <row r="92" spans="1:14">
      <c r="A92" s="868" t="str">
        <f ca="1">IFERROR(HYPERLINK("#"&amp;"ProjectEstimate!A"&amp;(8+MATCH($C92,ProjectEstimate!$A$9:$A$145,0)),CONCATENATE("Go to ",$C92))," ")</f>
        <v xml:space="preserve"> </v>
      </c>
      <c r="B92" s="183"/>
      <c r="C92" s="157">
        <v>630.1</v>
      </c>
      <c r="D92" s="1238" t="s">
        <v>357</v>
      </c>
      <c r="E92" s="1238"/>
      <c r="F92" s="1238"/>
      <c r="G92" s="1238"/>
      <c r="H92" s="152">
        <f>E94</f>
        <v>0</v>
      </c>
      <c r="I92" s="153" t="s">
        <v>17</v>
      </c>
      <c r="J92" s="154">
        <f ca="1">IF(ISBLANK(M92),_xlfn.XLOOKUP(C92,Output[Item '#],Output[Unit Price (Max or Override)]),M92)</f>
        <v>3</v>
      </c>
      <c r="K92" s="238">
        <f ca="1">ROUND(H92*J92,-1)</f>
        <v>0</v>
      </c>
      <c r="L92" s="183"/>
      <c r="M92" s="869"/>
    </row>
    <row r="93" spans="1:14">
      <c r="A93" s="495"/>
      <c r="B93" s="183"/>
      <c r="C93" s="185"/>
      <c r="D93" s="186" t="s">
        <v>1894</v>
      </c>
      <c r="E93" s="187">
        <f>Roadway!E44</f>
        <v>0</v>
      </c>
      <c r="F93" s="58"/>
      <c r="G93" s="200" t="str">
        <f>IF(ISBLANK(Roadway!E45),"",Roadway!E45)</f>
        <v/>
      </c>
      <c r="H93" s="40"/>
      <c r="I93" s="40"/>
      <c r="J93" s="40"/>
      <c r="K93" s="188"/>
      <c r="L93" s="183"/>
      <c r="M93" s="662"/>
    </row>
    <row r="94" spans="1:14" ht="15" customHeight="1">
      <c r="A94" s="495"/>
      <c r="B94" s="183"/>
      <c r="C94" s="185"/>
      <c r="D94" s="234" t="s">
        <v>1893</v>
      </c>
      <c r="E94" s="189">
        <f>IF(G93=HIDDEN!$B$32,EDGING!E93,0)</f>
        <v>0</v>
      </c>
      <c r="F94" s="58"/>
      <c r="H94" s="40"/>
      <c r="I94" s="40"/>
      <c r="J94" s="40"/>
      <c r="K94" s="188"/>
      <c r="L94" s="183"/>
      <c r="M94" s="662"/>
    </row>
    <row r="95" spans="1:14">
      <c r="A95" s="495"/>
      <c r="B95" s="183"/>
      <c r="C95" s="185"/>
      <c r="D95" s="159"/>
      <c r="E95" s="190"/>
      <c r="F95" s="237"/>
      <c r="H95" s="191"/>
      <c r="I95" s="188"/>
      <c r="J95" s="38"/>
      <c r="K95" s="159"/>
      <c r="L95" s="183"/>
      <c r="M95" s="662"/>
    </row>
    <row r="96" spans="1:14">
      <c r="A96" s="868" t="str">
        <f ca="1">IFERROR(HYPERLINK("#"&amp;"ProjectEstimate!A"&amp;(8+MATCH($C96,ProjectEstimate!$A$9:$A$145,0)),CONCATENATE("Go to ",$C96))," ")</f>
        <v xml:space="preserve"> </v>
      </c>
      <c r="B96" s="183"/>
      <c r="C96" s="157">
        <v>630</v>
      </c>
      <c r="D96" s="1235" t="s">
        <v>356</v>
      </c>
      <c r="E96" s="1235"/>
      <c r="F96" s="1235"/>
      <c r="G96" s="1235"/>
      <c r="H96" s="152">
        <f>E98</f>
        <v>0</v>
      </c>
      <c r="I96" s="153" t="s">
        <v>17</v>
      </c>
      <c r="J96" s="154">
        <f ca="1">IF(ISBLANK(M96),_xlfn.XLOOKUP(C96,Output[Item '#],Output[Unit Price (Max or Override)]),M96)</f>
        <v>36</v>
      </c>
      <c r="K96" s="238">
        <f ca="1">ROUND(H96*J96,-1)</f>
        <v>0</v>
      </c>
      <c r="L96" s="183"/>
      <c r="M96" s="869"/>
    </row>
    <row r="97" spans="1:20">
      <c r="A97" s="495"/>
      <c r="B97" s="183"/>
      <c r="C97" s="157"/>
      <c r="D97" s="158"/>
      <c r="E97" s="158"/>
      <c r="F97" s="239"/>
      <c r="G97" s="158"/>
      <c r="H97" s="152"/>
      <c r="I97" s="153"/>
      <c r="J97" s="154"/>
      <c r="K97" s="238"/>
      <c r="L97" s="183"/>
      <c r="M97" s="662"/>
    </row>
    <row r="98" spans="1:20" ht="15" customHeight="1">
      <c r="A98" s="495"/>
      <c r="B98" s="183"/>
      <c r="C98" s="185"/>
      <c r="D98" s="186" t="s">
        <v>1898</v>
      </c>
      <c r="E98" s="189">
        <f>IF(G93=HIDDEN!$B$34,EDGING!E93,0)</f>
        <v>0</v>
      </c>
      <c r="F98" s="58"/>
      <c r="H98" s="40"/>
      <c r="I98" s="40"/>
      <c r="J98" s="40"/>
      <c r="K98" s="188"/>
      <c r="L98" s="183"/>
      <c r="M98" s="662"/>
    </row>
    <row r="99" spans="1:20">
      <c r="A99" s="495"/>
      <c r="B99" s="183"/>
      <c r="C99" s="157"/>
      <c r="D99" s="157"/>
      <c r="E99" s="157"/>
      <c r="F99" s="157"/>
      <c r="G99" s="157"/>
      <c r="H99" s="152"/>
      <c r="I99" s="153"/>
      <c r="J99" s="222"/>
      <c r="K99" s="199"/>
      <c r="L99" s="183"/>
      <c r="M99" s="662"/>
    </row>
    <row r="100" spans="1:20">
      <c r="A100" s="495"/>
      <c r="B100" s="183"/>
      <c r="C100" s="310" t="str">
        <f>IF(Roadway!$E$43&gt;0,"Impact Attenuators, terminal end treatments and/or transitions may be required at the beginning/end of guardrail.","")</f>
        <v/>
      </c>
      <c r="D100" s="122"/>
      <c r="E100" s="122"/>
      <c r="F100" s="200"/>
      <c r="G100" s="200"/>
      <c r="H100" s="200"/>
      <c r="I100" s="196"/>
      <c r="J100" s="240"/>
      <c r="K100" s="199"/>
      <c r="L100" s="183"/>
      <c r="M100" s="662"/>
    </row>
    <row r="101" spans="1:20">
      <c r="A101" s="495"/>
      <c r="B101" s="183"/>
      <c r="C101" s="310" t="str">
        <f>IF(Roadway!$E$43&gt;0,"Use the User-Inputs page to include the appropriate treatments in the 627 Item Series.","")</f>
        <v/>
      </c>
      <c r="D101" s="122"/>
      <c r="E101" s="122"/>
      <c r="F101" s="200"/>
      <c r="G101" s="200"/>
      <c r="H101" s="200"/>
      <c r="I101" s="196"/>
      <c r="J101" s="240"/>
      <c r="K101" s="199"/>
      <c r="L101" s="183"/>
      <c r="M101" s="662"/>
    </row>
    <row r="102" spans="1:20">
      <c r="A102" s="495"/>
      <c r="B102" s="183"/>
      <c r="C102" s="157"/>
      <c r="D102" s="122"/>
      <c r="E102" s="122"/>
      <c r="F102" s="200"/>
      <c r="G102" s="200"/>
      <c r="H102" s="200"/>
      <c r="I102" s="196"/>
      <c r="J102" s="240"/>
      <c r="K102" s="199"/>
      <c r="L102" s="183"/>
      <c r="M102" s="662"/>
    </row>
    <row r="103" spans="1:20">
      <c r="A103" s="868" t="str">
        <f ca="1">IFERROR(HYPERLINK("#"&amp;"ProjectEstimate!A"&amp;(8+MATCH($C103,ProjectEstimate!$A$9:$A$145,0)),CONCATENATE("Go to ",$C103))," ")</f>
        <v xml:space="preserve"> </v>
      </c>
      <c r="B103" s="183"/>
      <c r="C103" s="157">
        <v>629.1</v>
      </c>
      <c r="D103" s="1248" t="s">
        <v>353</v>
      </c>
      <c r="E103" s="1248"/>
      <c r="F103" s="1248"/>
      <c r="G103" s="1248"/>
      <c r="H103" s="152">
        <f>E105</f>
        <v>0</v>
      </c>
      <c r="I103" s="153" t="s">
        <v>17</v>
      </c>
      <c r="J103" s="154">
        <f ca="1">IF(ISBLANK(M103),_xlfn.XLOOKUP(C103,Output[Item '#],Output[Unit Price (Max or Override)]),M103)</f>
        <v>281</v>
      </c>
      <c r="K103" s="238">
        <f ca="1">ROUND(H103*J103, -1)</f>
        <v>0</v>
      </c>
      <c r="L103" s="183"/>
      <c r="M103" s="869"/>
      <c r="T103" s="178"/>
    </row>
    <row r="104" spans="1:20">
      <c r="A104" s="495"/>
      <c r="B104" s="183"/>
      <c r="C104" s="157"/>
      <c r="D104" s="157"/>
      <c r="E104" s="157"/>
      <c r="F104" s="157"/>
      <c r="G104" s="157"/>
      <c r="H104" s="152"/>
      <c r="I104" s="153"/>
      <c r="J104" s="154"/>
      <c r="K104" s="241"/>
      <c r="L104" s="183"/>
      <c r="M104" s="662"/>
    </row>
    <row r="105" spans="1:20">
      <c r="A105" s="495"/>
      <c r="B105" s="183"/>
      <c r="C105" s="157"/>
      <c r="D105" s="51" t="s">
        <v>1888</v>
      </c>
      <c r="E105" s="235">
        <f>Roadway!F43</f>
        <v>0</v>
      </c>
      <c r="F105" s="157"/>
      <c r="G105" s="157"/>
      <c r="H105" s="152"/>
      <c r="I105" s="153"/>
      <c r="J105" s="196" t="s">
        <v>1227</v>
      </c>
      <c r="K105" s="241"/>
      <c r="L105" s="183"/>
      <c r="M105" s="662"/>
    </row>
    <row r="106" spans="1:20">
      <c r="A106" s="495"/>
      <c r="B106" s="183"/>
      <c r="C106" s="157"/>
      <c r="D106" s="157"/>
      <c r="E106" s="157"/>
      <c r="F106" s="157"/>
      <c r="G106" s="157"/>
      <c r="H106" s="152"/>
      <c r="I106" s="153"/>
      <c r="J106" s="154"/>
      <c r="K106" s="205"/>
      <c r="L106" s="183"/>
      <c r="M106" s="662"/>
    </row>
    <row r="107" spans="1:20" ht="28.5" customHeight="1">
      <c r="A107" s="868" t="str">
        <f ca="1">IFERROR(HYPERLINK("#"&amp;"ProjectEstimate!A"&amp;(8+MATCH($C107,ProjectEstimate!$A$9:$A$145,0)),CONCATENATE("Go to ",$C107))," ")</f>
        <v xml:space="preserve"> </v>
      </c>
      <c r="B107" s="183"/>
      <c r="C107" s="242">
        <v>645.048</v>
      </c>
      <c r="D107" s="1248" t="s">
        <v>373</v>
      </c>
      <c r="E107" s="1248"/>
      <c r="F107" s="1248"/>
      <c r="G107" s="1248"/>
      <c r="H107" s="152">
        <f>E109</f>
        <v>0</v>
      </c>
      <c r="I107" s="153" t="s">
        <v>17</v>
      </c>
      <c r="J107" s="154">
        <f ca="1">IF(ISBLANK(M107),_xlfn.XLOOKUP(C107,Output[Item '#],Output[Unit Price (Max or Override)]),M107)</f>
        <v>81</v>
      </c>
      <c r="K107" s="184">
        <f ca="1">ROUND(H107*J107, -1)</f>
        <v>0</v>
      </c>
      <c r="L107" s="183"/>
      <c r="M107" s="869"/>
      <c r="N107" s="178"/>
      <c r="O107" s="178"/>
      <c r="P107" s="178"/>
      <c r="Q107" s="178"/>
      <c r="R107" s="178"/>
      <c r="S107" s="178"/>
      <c r="T107" s="178"/>
    </row>
    <row r="108" spans="1:20">
      <c r="A108" s="495"/>
      <c r="B108" s="183"/>
      <c r="C108" s="157"/>
      <c r="D108" s="157"/>
      <c r="E108" s="157"/>
      <c r="F108" s="157"/>
      <c r="G108" s="157"/>
      <c r="H108" s="152"/>
      <c r="I108" s="153"/>
      <c r="J108" s="154"/>
      <c r="K108" s="205"/>
      <c r="L108" s="183"/>
      <c r="M108" s="662"/>
    </row>
    <row r="109" spans="1:20" ht="15" customHeight="1">
      <c r="A109" s="495"/>
      <c r="B109" s="183"/>
      <c r="C109" s="185"/>
      <c r="D109" s="186" t="s">
        <v>1890</v>
      </c>
      <c r="E109" s="189">
        <f>Roadway!H43</f>
        <v>0</v>
      </c>
      <c r="F109" s="40"/>
      <c r="H109" s="40"/>
      <c r="I109" s="40"/>
      <c r="J109" s="40"/>
      <c r="K109" s="188"/>
      <c r="L109" s="183"/>
      <c r="M109" s="662"/>
    </row>
    <row r="110" spans="1:20">
      <c r="A110" s="495"/>
      <c r="B110" s="183"/>
      <c r="C110" s="185"/>
      <c r="D110" s="159"/>
      <c r="E110" s="190"/>
      <c r="F110" s="156"/>
      <c r="H110" s="191"/>
      <c r="I110" s="188"/>
      <c r="J110" s="38"/>
      <c r="K110" s="159"/>
      <c r="L110" s="183"/>
      <c r="M110" s="662"/>
    </row>
    <row r="111" spans="1:20" ht="21.75" customHeight="1">
      <c r="A111" s="868" t="str">
        <f ca="1">IFERROR(HYPERLINK("#"&amp;"ProjectEstimate!A"&amp;(8+MATCH($C111,ProjectEstimate!$A$9:$A$145,0)),CONCATENATE("Go to ",$C111))," ")</f>
        <v xml:space="preserve"> </v>
      </c>
      <c r="B111" s="183"/>
      <c r="C111" s="157">
        <v>665</v>
      </c>
      <c r="D111" s="1248" t="s">
        <v>390</v>
      </c>
      <c r="E111" s="1248"/>
      <c r="F111" s="1248"/>
      <c r="G111" s="1248"/>
      <c r="H111" s="152">
        <f>E113</f>
        <v>0</v>
      </c>
      <c r="I111" s="153" t="s">
        <v>17</v>
      </c>
      <c r="J111" s="154">
        <f ca="1">IF(ISBLANK(M111),_xlfn.XLOOKUP(C111,Output[Item '#],Output[Unit Price (Max or Override)]),M111)</f>
        <v>31</v>
      </c>
      <c r="K111" s="192">
        <f ca="1">ROUND(H111*J111,-1)</f>
        <v>0</v>
      </c>
      <c r="L111" s="183"/>
      <c r="M111" s="869"/>
    </row>
    <row r="112" spans="1:20">
      <c r="A112" s="495"/>
      <c r="B112" s="183"/>
      <c r="C112" s="185"/>
      <c r="D112" s="186" t="s">
        <v>3804</v>
      </c>
      <c r="E112" s="235">
        <f>Roadway!H44</f>
        <v>0</v>
      </c>
      <c r="F112" s="40"/>
      <c r="G112" s="200" t="str">
        <f>IF(ISBLANK(Roadway!H45),"",Roadway!H45)</f>
        <v/>
      </c>
      <c r="H112" s="40"/>
      <c r="I112" s="40"/>
      <c r="J112" s="40"/>
      <c r="K112" s="188"/>
      <c r="L112" s="183"/>
      <c r="M112" s="662"/>
    </row>
    <row r="113" spans="1:13" ht="15" customHeight="1">
      <c r="A113" s="495"/>
      <c r="B113" s="183"/>
      <c r="C113" s="185"/>
      <c r="D113" s="186" t="s">
        <v>1902</v>
      </c>
      <c r="E113" s="189">
        <f>IF(G112=HIDDEN!$B$32,EDGING!E112,0)</f>
        <v>0</v>
      </c>
      <c r="F113" s="40"/>
      <c r="H113" s="40"/>
      <c r="I113" s="40"/>
      <c r="J113" s="40"/>
      <c r="K113" s="188"/>
      <c r="L113" s="183"/>
      <c r="M113" s="662"/>
    </row>
    <row r="114" spans="1:13">
      <c r="A114" s="495"/>
      <c r="B114" s="183"/>
      <c r="C114" s="185"/>
      <c r="D114" s="159"/>
      <c r="E114" s="190"/>
      <c r="F114" s="156"/>
      <c r="H114" s="191"/>
      <c r="I114" s="188"/>
      <c r="J114" s="38"/>
      <c r="K114" s="159"/>
      <c r="L114" s="183"/>
      <c r="M114" s="662"/>
    </row>
    <row r="115" spans="1:13" ht="24.75" customHeight="1">
      <c r="A115" s="868" t="str">
        <f ca="1">IFERROR(HYPERLINK("#"&amp;"ProjectEstimate!A"&amp;(8+MATCH($C115,ProjectEstimate!$A$9:$A$145,0)),CONCATENATE("Go to ",$C115))," ")</f>
        <v xml:space="preserve"> </v>
      </c>
      <c r="B115" s="183"/>
      <c r="C115" s="157">
        <v>666</v>
      </c>
      <c r="D115" s="1248" t="s">
        <v>391</v>
      </c>
      <c r="E115" s="1248"/>
      <c r="F115" s="1248"/>
      <c r="G115" s="1248"/>
      <c r="H115" s="152">
        <f>E117</f>
        <v>0</v>
      </c>
      <c r="I115" s="153" t="s">
        <v>17</v>
      </c>
      <c r="J115" s="154">
        <f ca="1">IF(ISBLANK(M115),_xlfn.XLOOKUP(C115,Output[Item '#],Output[Unit Price (Max or Override)]),M115)</f>
        <v>81</v>
      </c>
      <c r="K115" s="192">
        <f ca="1">ROUND(H115*J115,-1)</f>
        <v>0</v>
      </c>
      <c r="L115" s="183"/>
      <c r="M115" s="869"/>
    </row>
    <row r="116" spans="1:13">
      <c r="A116" s="495"/>
      <c r="B116" s="183"/>
      <c r="C116" s="157"/>
      <c r="D116" s="158"/>
      <c r="E116" s="158"/>
      <c r="F116" s="158"/>
      <c r="G116" s="158"/>
      <c r="H116" s="152"/>
      <c r="I116" s="153"/>
      <c r="J116" s="154"/>
      <c r="K116" s="192"/>
      <c r="L116" s="183"/>
      <c r="M116" s="662"/>
    </row>
    <row r="117" spans="1:13" ht="15" customHeight="1">
      <c r="A117" s="495"/>
      <c r="B117" s="183"/>
      <c r="C117" s="185"/>
      <c r="D117" s="186" t="s">
        <v>1903</v>
      </c>
      <c r="E117" s="189">
        <f>IF(G112=HIDDEN!$B$34,EDGING!E112,0)</f>
        <v>0</v>
      </c>
      <c r="F117" s="40"/>
      <c r="H117" s="40"/>
      <c r="I117" s="40"/>
      <c r="J117" s="40"/>
      <c r="K117" s="188"/>
      <c r="L117" s="183"/>
      <c r="M117" s="662"/>
    </row>
    <row r="118" spans="1:13">
      <c r="A118" s="495"/>
      <c r="B118" s="183"/>
      <c r="C118" s="185"/>
      <c r="D118" s="159"/>
      <c r="E118" s="190"/>
      <c r="F118" s="156"/>
      <c r="H118" s="191"/>
      <c r="I118" s="188"/>
      <c r="J118" s="38"/>
      <c r="K118" s="159"/>
      <c r="L118" s="183"/>
      <c r="M118" s="662"/>
    </row>
    <row r="119" spans="1:13">
      <c r="A119" s="868" t="str">
        <f ca="1">IFERROR(HYPERLINK("#"&amp;"ProjectEstimate!A"&amp;(8+MATCH($C119,ProjectEstimate!$A$9:$A$145,0)),CONCATENATE("Go to ",$C119))," ")</f>
        <v xml:space="preserve"> </v>
      </c>
      <c r="B119" s="183"/>
      <c r="C119" s="157">
        <v>685</v>
      </c>
      <c r="D119" s="1227" t="s">
        <v>396</v>
      </c>
      <c r="E119" s="1227"/>
      <c r="F119" s="1227"/>
      <c r="G119" s="1227"/>
      <c r="H119" s="152">
        <f>ROUNDUP(E127+E135,0)</f>
        <v>0</v>
      </c>
      <c r="I119" s="153" t="s">
        <v>4</v>
      </c>
      <c r="J119" s="154">
        <f ca="1">IF(ISBLANK(M119),_xlfn.XLOOKUP(C119,Output[Item '#],Output[Unit Price (Max or Override)]),M119)</f>
        <v>1435</v>
      </c>
      <c r="K119" s="184">
        <f ca="1">ROUND(H119*J119, -1)</f>
        <v>0</v>
      </c>
      <c r="L119" s="183"/>
      <c r="M119" s="869"/>
    </row>
    <row r="120" spans="1:13">
      <c r="A120" s="495"/>
      <c r="B120" s="183"/>
      <c r="C120" s="157"/>
      <c r="D120" s="157"/>
      <c r="E120" s="157"/>
      <c r="F120" s="157"/>
      <c r="G120" s="157"/>
      <c r="H120" s="152"/>
      <c r="I120" s="153"/>
      <c r="J120" s="154"/>
      <c r="K120" s="199"/>
      <c r="L120" s="183"/>
      <c r="M120" s="662"/>
    </row>
    <row r="121" spans="1:13">
      <c r="A121" s="495"/>
      <c r="B121" s="183"/>
      <c r="C121" s="157"/>
      <c r="D121" s="38" t="s">
        <v>1905</v>
      </c>
      <c r="E121" s="189">
        <f>Roadway!F38</f>
        <v>0</v>
      </c>
      <c r="F121" s="40"/>
      <c r="H121" s="152"/>
      <c r="I121" s="153"/>
      <c r="J121" s="196"/>
      <c r="K121" s="205"/>
      <c r="L121" s="183"/>
      <c r="M121" s="662"/>
    </row>
    <row r="122" spans="1:13">
      <c r="A122" s="495"/>
      <c r="B122" s="183"/>
      <c r="C122" s="157"/>
      <c r="D122" s="229" t="s">
        <v>1675</v>
      </c>
      <c r="E122" s="243">
        <f>Roadway!F37</f>
        <v>0</v>
      </c>
      <c r="F122" s="157"/>
      <c r="G122" s="157"/>
      <c r="H122" s="152"/>
      <c r="I122" s="153"/>
      <c r="J122" s="196" t="s">
        <v>1227</v>
      </c>
      <c r="K122" s="205"/>
      <c r="L122" s="183"/>
      <c r="M122" s="662"/>
    </row>
    <row r="123" spans="1:13">
      <c r="A123" s="495"/>
      <c r="B123" s="183"/>
      <c r="C123" s="157"/>
      <c r="D123" s="229" t="s">
        <v>1673</v>
      </c>
      <c r="E123" s="244">
        <v>2</v>
      </c>
      <c r="F123" s="157"/>
      <c r="G123" s="157"/>
      <c r="H123" s="152"/>
      <c r="I123" s="153"/>
      <c r="J123" s="196" t="s">
        <v>1674</v>
      </c>
      <c r="K123" s="205"/>
      <c r="L123" s="183"/>
      <c r="M123" s="662"/>
    </row>
    <row r="124" spans="1:13">
      <c r="A124" s="495"/>
      <c r="B124" s="183"/>
      <c r="C124" s="157"/>
      <c r="D124" s="229" t="s">
        <v>1676</v>
      </c>
      <c r="E124" s="245">
        <f>G124*H124+G125*H125*I125</f>
        <v>2.5</v>
      </c>
      <c r="F124" s="246" t="s">
        <v>66</v>
      </c>
      <c r="G124" s="207">
        <f>SUM(E122:E123)</f>
        <v>2</v>
      </c>
      <c r="H124" s="247">
        <v>1.5</v>
      </c>
      <c r="I124" s="153"/>
      <c r="J124" s="196" t="s">
        <v>1677</v>
      </c>
      <c r="K124" s="241"/>
      <c r="L124" s="183"/>
      <c r="M124" s="662"/>
    </row>
    <row r="125" spans="1:13">
      <c r="A125" s="495"/>
      <c r="B125" s="183"/>
      <c r="C125" s="157"/>
      <c r="D125" s="229"/>
      <c r="E125" s="235"/>
      <c r="F125" s="157"/>
      <c r="G125" s="248">
        <v>0.5</v>
      </c>
      <c r="H125" s="247">
        <f>G124</f>
        <v>2</v>
      </c>
      <c r="I125" s="249">
        <f>0.5*G124-H124</f>
        <v>-0.5</v>
      </c>
      <c r="J125" s="196" t="s">
        <v>1678</v>
      </c>
      <c r="K125" s="241"/>
      <c r="L125" s="183"/>
      <c r="M125" s="662"/>
    </row>
    <row r="126" spans="1:13" ht="15.75" thickBot="1">
      <c r="A126" s="495"/>
      <c r="B126" s="183"/>
      <c r="C126" s="157"/>
      <c r="D126" s="229" t="s">
        <v>1255</v>
      </c>
      <c r="E126" s="250">
        <f>G126*H126*I126</f>
        <v>0</v>
      </c>
      <c r="F126" s="246" t="s">
        <v>66</v>
      </c>
      <c r="G126" s="207">
        <f>SUM(E122:E123)</f>
        <v>2</v>
      </c>
      <c r="H126" s="251">
        <f>Roadway!G20</f>
        <v>0</v>
      </c>
      <c r="I126" s="204">
        <v>2.5</v>
      </c>
      <c r="J126" s="196" t="s">
        <v>1256</v>
      </c>
      <c r="K126" s="241"/>
      <c r="L126" s="183"/>
      <c r="M126" s="662"/>
    </row>
    <row r="127" spans="1:13" ht="15.75" thickBot="1">
      <c r="A127" s="495"/>
      <c r="B127" s="183"/>
      <c r="C127" s="157"/>
      <c r="D127" s="229"/>
      <c r="E127" s="252">
        <f>G127*H127/I127</f>
        <v>0</v>
      </c>
      <c r="F127" s="246" t="s">
        <v>66</v>
      </c>
      <c r="G127" s="253">
        <f>E124</f>
        <v>2.5</v>
      </c>
      <c r="H127" s="254">
        <f>E126</f>
        <v>0</v>
      </c>
      <c r="I127" s="255">
        <v>27</v>
      </c>
      <c r="J127" s="196"/>
      <c r="K127" s="241"/>
      <c r="L127" s="183"/>
      <c r="M127" s="662"/>
    </row>
    <row r="128" spans="1:13">
      <c r="A128" s="495"/>
      <c r="B128" s="183"/>
      <c r="C128" s="157"/>
      <c r="D128" s="157"/>
      <c r="E128" s="157"/>
      <c r="F128" s="157"/>
      <c r="G128" s="157"/>
      <c r="H128" s="152"/>
      <c r="I128" s="153"/>
      <c r="J128" s="154"/>
      <c r="K128" s="241"/>
      <c r="L128" s="183"/>
      <c r="M128" s="662"/>
    </row>
    <row r="129" spans="1:20">
      <c r="A129" s="495"/>
      <c r="B129" s="183"/>
      <c r="C129" s="257" t="s">
        <v>1682</v>
      </c>
      <c r="D129" s="186"/>
      <c r="E129" s="258"/>
      <c r="F129" s="122"/>
      <c r="G129" s="200"/>
      <c r="H129" s="221"/>
      <c r="I129" s="200"/>
      <c r="J129" s="196"/>
      <c r="K129" s="259"/>
      <c r="L129" s="183"/>
      <c r="M129" s="662"/>
    </row>
    <row r="130" spans="1:20">
      <c r="A130" s="495"/>
      <c r="B130" s="183"/>
      <c r="C130" s="157"/>
      <c r="D130" s="229" t="s">
        <v>1254</v>
      </c>
      <c r="E130" s="235">
        <f>Roadway!F38+IF(Roadway!F40=HIDDEN!B34,Roadway!F39,0)</f>
        <v>0</v>
      </c>
      <c r="F130" s="157"/>
      <c r="G130" s="157"/>
      <c r="H130" s="152"/>
      <c r="I130" s="153"/>
      <c r="J130" s="196" t="s">
        <v>3710</v>
      </c>
      <c r="K130" s="205"/>
      <c r="L130" s="183"/>
      <c r="M130" s="662"/>
    </row>
    <row r="131" spans="1:20">
      <c r="A131" s="495"/>
      <c r="B131" s="183"/>
      <c r="C131" s="157"/>
      <c r="D131" s="229" t="s">
        <v>1683</v>
      </c>
      <c r="E131" s="260">
        <f>G131*H131</f>
        <v>0.75</v>
      </c>
      <c r="F131" s="246" t="s">
        <v>66</v>
      </c>
      <c r="G131" s="207">
        <v>1.5</v>
      </c>
      <c r="H131" s="204">
        <v>0.5</v>
      </c>
      <c r="I131" s="153"/>
      <c r="J131" s="196" t="s">
        <v>1685</v>
      </c>
      <c r="K131" s="205"/>
      <c r="L131" s="183"/>
      <c r="M131" s="662"/>
    </row>
    <row r="132" spans="1:20">
      <c r="A132" s="495"/>
      <c r="B132" s="183"/>
      <c r="C132" s="122"/>
      <c r="D132" s="186" t="s">
        <v>1684</v>
      </c>
      <c r="E132" s="260">
        <f>G132*H132</f>
        <v>2.1875</v>
      </c>
      <c r="F132" s="246" t="s">
        <v>66</v>
      </c>
      <c r="G132" s="207">
        <f>0.5*SUM(E122:E123)+0.75</f>
        <v>1.75</v>
      </c>
      <c r="H132" s="204">
        <v>1.25</v>
      </c>
      <c r="I132" s="200"/>
      <c r="J132" s="196" t="s">
        <v>1686</v>
      </c>
      <c r="K132" s="259"/>
      <c r="L132" s="183"/>
      <c r="M132" s="662"/>
    </row>
    <row r="133" spans="1:20">
      <c r="A133" s="495"/>
      <c r="B133" s="183"/>
      <c r="C133" s="122"/>
      <c r="D133" s="186"/>
      <c r="E133" s="258"/>
      <c r="F133" s="122"/>
      <c r="G133" s="200"/>
      <c r="H133" s="221"/>
      <c r="I133" s="200"/>
      <c r="J133" s="196" t="s">
        <v>1687</v>
      </c>
      <c r="K133" s="259"/>
      <c r="L133" s="183"/>
      <c r="M133" s="662"/>
    </row>
    <row r="134" spans="1:20" ht="15.75" thickBot="1">
      <c r="A134" s="495"/>
      <c r="B134" s="183"/>
      <c r="C134" s="122"/>
      <c r="D134" s="229" t="s">
        <v>1688</v>
      </c>
      <c r="E134" s="250">
        <f>G134*(H134+I134)</f>
        <v>0</v>
      </c>
      <c r="F134" s="246" t="s">
        <v>66</v>
      </c>
      <c r="G134" s="207">
        <f>E130</f>
        <v>0</v>
      </c>
      <c r="H134" s="261">
        <f>E131</f>
        <v>0.75</v>
      </c>
      <c r="I134" s="262">
        <f>E132</f>
        <v>2.1875</v>
      </c>
      <c r="J134" s="196"/>
      <c r="K134" s="259"/>
      <c r="L134" s="183"/>
      <c r="M134" s="662"/>
    </row>
    <row r="135" spans="1:20" ht="15.75" thickBot="1">
      <c r="A135" s="495"/>
      <c r="B135" s="183"/>
      <c r="C135" s="122"/>
      <c r="D135" s="186"/>
      <c r="E135" s="252">
        <f>G135/H135</f>
        <v>0</v>
      </c>
      <c r="F135" s="246" t="s">
        <v>66</v>
      </c>
      <c r="G135" s="263">
        <f>E134</f>
        <v>0</v>
      </c>
      <c r="H135" s="255">
        <v>27</v>
      </c>
      <c r="J135" s="196"/>
      <c r="K135" s="259"/>
      <c r="L135" s="183"/>
      <c r="M135" s="662"/>
    </row>
    <row r="136" spans="1:20">
      <c r="A136" s="495"/>
      <c r="B136" s="183"/>
      <c r="C136" s="122"/>
      <c r="D136" s="186"/>
      <c r="E136" s="687"/>
      <c r="F136" s="246"/>
      <c r="G136" s="263"/>
      <c r="H136" s="255"/>
      <c r="J136" s="196"/>
      <c r="K136" s="259"/>
      <c r="L136" s="183"/>
      <c r="M136" s="662"/>
    </row>
    <row r="137" spans="1:20" ht="24" customHeight="1">
      <c r="A137" s="868" t="str">
        <f ca="1">IFERROR(HYPERLINK("#"&amp;"ProjectEstimate!A"&amp;(8+MATCH($C137,ProjectEstimate!$A$9:$A$145,0)),CONCATENATE("Go to ",$C137))," ")</f>
        <v xml:space="preserve"> </v>
      </c>
      <c r="B137" s="183"/>
      <c r="C137" s="157">
        <v>690</v>
      </c>
      <c r="D137" s="1248" t="s">
        <v>397</v>
      </c>
      <c r="E137" s="1248"/>
      <c r="F137" s="1248"/>
      <c r="G137" s="1248"/>
      <c r="H137" s="152">
        <f>E140</f>
        <v>0</v>
      </c>
      <c r="I137" s="153" t="s">
        <v>17</v>
      </c>
      <c r="J137" s="154">
        <f ca="1">IF(ISBLANK(M137),_xlfn.XLOOKUP(C137,Output[Item '#],Output[Unit Price (Max or Override)]),M137)</f>
        <v>1400</v>
      </c>
      <c r="K137" s="238">
        <f ca="1">ROUND(H137*J137, -1)</f>
        <v>0</v>
      </c>
      <c r="L137" s="183"/>
      <c r="M137" s="869"/>
      <c r="T137" s="178"/>
    </row>
    <row r="138" spans="1:20">
      <c r="A138" s="495"/>
      <c r="B138" s="183"/>
      <c r="C138" s="157"/>
      <c r="D138" s="256"/>
      <c r="E138" s="256"/>
      <c r="F138" s="256"/>
      <c r="G138" s="256"/>
      <c r="H138" s="152"/>
      <c r="I138" s="153"/>
      <c r="J138" s="154"/>
      <c r="K138" s="238"/>
      <c r="L138" s="183"/>
      <c r="M138" s="662"/>
      <c r="T138" s="178"/>
    </row>
    <row r="139" spans="1:20">
      <c r="A139" s="495"/>
      <c r="B139" s="183"/>
      <c r="C139" s="157"/>
      <c r="D139" s="38" t="s">
        <v>1904</v>
      </c>
      <c r="E139" s="235">
        <f>Roadway!F39</f>
        <v>0</v>
      </c>
      <c r="F139" s="40"/>
      <c r="G139" s="200" t="str">
        <f>IF(ISBLANK(Roadway!F40),"",Roadway!F40)</f>
        <v/>
      </c>
      <c r="H139" s="152"/>
      <c r="I139" s="153"/>
      <c r="J139" s="196"/>
      <c r="K139" s="205"/>
      <c r="L139" s="183"/>
      <c r="M139" s="662"/>
    </row>
    <row r="140" spans="1:20">
      <c r="A140" s="495"/>
      <c r="B140" s="183"/>
      <c r="C140" s="157"/>
      <c r="D140" s="38" t="s">
        <v>1906</v>
      </c>
      <c r="E140" s="189">
        <f>IF(G139=HIDDEN!$B$34,EDGING!E139,0)</f>
        <v>0</v>
      </c>
      <c r="F140" s="157"/>
      <c r="G140" s="157"/>
      <c r="H140" s="152"/>
      <c r="I140" s="153"/>
      <c r="J140" s="196" t="s">
        <v>1227</v>
      </c>
      <c r="K140" s="241"/>
      <c r="L140" s="183"/>
      <c r="M140" s="662"/>
    </row>
    <row r="141" spans="1:20">
      <c r="A141" s="495"/>
      <c r="B141" s="183"/>
      <c r="C141" s="157"/>
      <c r="D141" s="157"/>
      <c r="E141" s="157"/>
      <c r="F141" s="157"/>
      <c r="G141" s="157"/>
      <c r="H141" s="152"/>
      <c r="I141" s="153"/>
      <c r="J141" s="154"/>
      <c r="K141" s="241"/>
      <c r="L141" s="183"/>
      <c r="M141" s="662"/>
    </row>
    <row r="142" spans="1:20" ht="24" customHeight="1">
      <c r="A142" s="868" t="str">
        <f ca="1">IFERROR(HYPERLINK("#"&amp;"ProjectEstimate!A"&amp;(8+MATCH($C142,ProjectEstimate!$A$9:$A$145,0)),CONCATENATE("Go to ",$C142))," ")</f>
        <v xml:space="preserve"> </v>
      </c>
      <c r="B142" s="183"/>
      <c r="C142" s="157">
        <v>691</v>
      </c>
      <c r="D142" s="1248" t="s">
        <v>399</v>
      </c>
      <c r="E142" s="1248"/>
      <c r="F142" s="1248"/>
      <c r="G142" s="1248"/>
      <c r="H142" s="152">
        <f>E144</f>
        <v>0</v>
      </c>
      <c r="I142" s="153" t="s">
        <v>17</v>
      </c>
      <c r="J142" s="154">
        <f ca="1">IF(ISBLANK(M142),_xlfn.XLOOKUP(C142,Output[Item '#],Output[Unit Price (Max or Override)]),M142)</f>
        <v>324</v>
      </c>
      <c r="K142" s="238">
        <f ca="1">ROUND(H142*J142, -1)</f>
        <v>0</v>
      </c>
      <c r="L142" s="183"/>
      <c r="M142" s="869"/>
      <c r="T142" s="178"/>
    </row>
    <row r="143" spans="1:20">
      <c r="A143" s="495"/>
      <c r="B143" s="183"/>
      <c r="C143" s="157"/>
      <c r="D143" s="38" t="s">
        <v>1904</v>
      </c>
      <c r="E143" s="235">
        <f>Roadway!E39</f>
        <v>0</v>
      </c>
      <c r="F143" s="40"/>
      <c r="G143" s="200" t="str">
        <f>IF(ISBLANK(Roadway!E40),"",Roadway!E40)</f>
        <v/>
      </c>
      <c r="H143" s="152"/>
      <c r="I143" s="153"/>
      <c r="J143" s="196"/>
      <c r="K143" s="205"/>
      <c r="L143" s="183"/>
      <c r="M143" s="662"/>
    </row>
    <row r="144" spans="1:20">
      <c r="A144" s="495"/>
      <c r="B144" s="183"/>
      <c r="C144" s="157"/>
      <c r="D144" s="38" t="s">
        <v>1907</v>
      </c>
      <c r="E144" s="189">
        <f>IF(G143=HIDDEN!$B$34,E143,0)</f>
        <v>0</v>
      </c>
      <c r="F144" s="157"/>
      <c r="G144" s="157"/>
      <c r="H144" s="152"/>
      <c r="I144" s="153"/>
      <c r="J144" s="196" t="s">
        <v>1227</v>
      </c>
      <c r="K144" s="241"/>
      <c r="L144" s="183"/>
      <c r="M144" s="662"/>
    </row>
    <row r="145" spans="1:20">
      <c r="A145" s="495"/>
      <c r="B145" s="183"/>
      <c r="C145" s="157"/>
      <c r="D145" s="157"/>
      <c r="E145" s="157"/>
      <c r="F145" s="157"/>
      <c r="G145" s="157"/>
      <c r="H145" s="152"/>
      <c r="I145" s="153"/>
      <c r="J145" s="154"/>
      <c r="K145" s="205"/>
      <c r="L145" s="183"/>
      <c r="M145" s="662"/>
    </row>
    <row r="146" spans="1:20">
      <c r="A146" s="868" t="str">
        <f ca="1">IFERROR(HYPERLINK("#"&amp;"ProjectEstimate!A"&amp;(8+MATCH($C146,ProjectEstimate!$A$9:$A$145,0)),CONCATENATE("Go to ",$C146))," ")</f>
        <v xml:space="preserve"> </v>
      </c>
      <c r="B146" s="183"/>
      <c r="C146" s="157">
        <v>692</v>
      </c>
      <c r="D146" s="1227" t="s">
        <v>1655</v>
      </c>
      <c r="E146" s="1227"/>
      <c r="F146" s="1227"/>
      <c r="G146" s="1227"/>
      <c r="H146" s="152">
        <f>E148</f>
        <v>0</v>
      </c>
      <c r="I146" s="153" t="s">
        <v>17</v>
      </c>
      <c r="J146" s="154">
        <f>IF(ISBLANK(M146),_xlfn.XLOOKUP(C146,Output[Item '#],Output[Unit Price (Max or Override)]),M146)</f>
        <v>250</v>
      </c>
      <c r="K146" s="184">
        <f>ROUND(H146*J146, -1)</f>
        <v>0</v>
      </c>
      <c r="L146" s="183"/>
      <c r="M146" s="869"/>
      <c r="T146" s="178"/>
    </row>
    <row r="147" spans="1:20">
      <c r="A147" s="495"/>
      <c r="B147" s="183"/>
      <c r="C147" s="157"/>
      <c r="D147" s="157"/>
      <c r="E147" s="157"/>
      <c r="F147" s="157"/>
      <c r="G147" s="157"/>
      <c r="H147" s="152"/>
      <c r="I147" s="153"/>
      <c r="J147" s="154"/>
      <c r="K147" s="205"/>
      <c r="L147" s="183"/>
      <c r="M147" s="662"/>
    </row>
    <row r="148" spans="1:20">
      <c r="A148" s="495"/>
      <c r="B148" s="183"/>
      <c r="C148" s="157"/>
      <c r="D148" s="229" t="s">
        <v>1905</v>
      </c>
      <c r="E148" s="189">
        <f>Roadway!E38</f>
        <v>0</v>
      </c>
      <c r="F148" s="40"/>
      <c r="H148" s="152"/>
      <c r="I148" s="153"/>
      <c r="J148" s="196"/>
      <c r="K148" s="241"/>
      <c r="L148" s="183"/>
      <c r="M148" s="662"/>
    </row>
    <row r="149" spans="1:20">
      <c r="A149" s="495"/>
      <c r="B149" s="183"/>
      <c r="C149" s="157"/>
      <c r="D149" s="157"/>
      <c r="E149" s="157"/>
      <c r="F149" s="157"/>
      <c r="G149" s="157"/>
      <c r="H149" s="152"/>
      <c r="I149" s="153"/>
      <c r="J149" s="154"/>
      <c r="K149" s="205"/>
      <c r="L149" s="183"/>
      <c r="M149" s="662"/>
    </row>
    <row r="150" spans="1:20" ht="24" customHeight="1">
      <c r="A150" s="868" t="str">
        <f ca="1">IFERROR(HYPERLINK("#"&amp;"ProjectEstimate!A"&amp;(8+MATCH($C150,ProjectEstimate!$A$9:$A$145,0)),CONCATENATE("Go to ",$C150))," ")</f>
        <v xml:space="preserve"> </v>
      </c>
      <c r="B150" s="183"/>
      <c r="C150" s="157">
        <v>769</v>
      </c>
      <c r="D150" s="1248" t="s">
        <v>443</v>
      </c>
      <c r="E150" s="1248"/>
      <c r="F150" s="1248"/>
      <c r="G150" s="1248"/>
      <c r="H150" s="152">
        <f>E152</f>
        <v>0</v>
      </c>
      <c r="I150" s="153" t="s">
        <v>17</v>
      </c>
      <c r="J150" s="154">
        <f ca="1">IF(ISBLANK(M150),_xlfn.XLOOKUP(C150,Output[Item '#],Output[Unit Price (Max or Override)]),M150)</f>
        <v>12</v>
      </c>
      <c r="K150" s="192">
        <f ca="1">ROUND(H150*J150, -1)</f>
        <v>0</v>
      </c>
      <c r="L150" s="183"/>
      <c r="M150" s="869"/>
      <c r="T150" s="178"/>
    </row>
    <row r="151" spans="1:20">
      <c r="A151" s="495"/>
      <c r="B151" s="183"/>
      <c r="C151" s="157"/>
      <c r="D151" s="157"/>
      <c r="E151" s="157"/>
      <c r="F151" s="157"/>
      <c r="G151" s="157"/>
      <c r="H151" s="152"/>
      <c r="I151" s="153"/>
      <c r="J151" s="154"/>
      <c r="K151" s="205"/>
      <c r="L151" s="183"/>
      <c r="M151" s="662"/>
    </row>
    <row r="152" spans="1:20">
      <c r="A152" s="495"/>
      <c r="B152" s="183"/>
      <c r="C152" s="157"/>
      <c r="D152" s="51" t="s">
        <v>1886</v>
      </c>
      <c r="E152" s="235">
        <f>EDGING!E98+EDGING!E86+EDGING!E90</f>
        <v>0</v>
      </c>
      <c r="F152" s="157"/>
      <c r="G152" s="157"/>
      <c r="H152" s="152"/>
      <c r="I152" s="153"/>
      <c r="J152" s="196" t="s">
        <v>1889</v>
      </c>
      <c r="K152" s="205"/>
      <c r="L152" s="183"/>
      <c r="M152" s="662"/>
    </row>
    <row r="153" spans="1:20">
      <c r="A153" s="495"/>
      <c r="B153" s="183"/>
      <c r="C153" s="157"/>
      <c r="D153" s="157"/>
      <c r="E153" s="157"/>
      <c r="F153" s="157"/>
      <c r="G153" s="157"/>
      <c r="H153" s="152"/>
      <c r="I153" s="153"/>
      <c r="J153" s="154"/>
      <c r="K153" s="205"/>
      <c r="L153" s="183"/>
      <c r="M153" s="662"/>
    </row>
    <row r="154" spans="1:20" ht="27.75" customHeight="1">
      <c r="A154" s="868" t="str">
        <f ca="1">IFERROR(HYPERLINK("#"&amp;"ProjectEstimate!A"&amp;(8+MATCH($C154,ProjectEstimate!$A$9:$A$145,0)),CONCATENATE("Go to ",$C154))," ")</f>
        <v xml:space="preserve"> </v>
      </c>
      <c r="B154" s="183"/>
      <c r="C154" s="157">
        <v>901</v>
      </c>
      <c r="D154" s="1248" t="s">
        <v>624</v>
      </c>
      <c r="E154" s="1248"/>
      <c r="F154" s="1248"/>
      <c r="G154" s="1248"/>
      <c r="H154" s="152">
        <f>CEILING(E163,5)</f>
        <v>0</v>
      </c>
      <c r="I154" s="153" t="s">
        <v>4</v>
      </c>
      <c r="J154" s="154">
        <f ca="1">IF(ISBLANK(M154),_xlfn.XLOOKUP(C154,Output[Item '#],Output[Unit Price (Max or Override)]),M154)</f>
        <v>1922</v>
      </c>
      <c r="K154" s="184">
        <f ca="1">ROUND(H154*J154, -1)</f>
        <v>0</v>
      </c>
      <c r="L154" s="183"/>
      <c r="M154" s="869"/>
    </row>
    <row r="155" spans="1:20">
      <c r="A155" s="495"/>
      <c r="B155" s="183"/>
      <c r="C155" s="157"/>
      <c r="D155" s="256"/>
      <c r="E155" s="256"/>
      <c r="F155" s="256"/>
      <c r="G155" s="256"/>
      <c r="H155" s="152"/>
      <c r="I155" s="153"/>
      <c r="J155" s="154"/>
      <c r="K155" s="241"/>
      <c r="L155" s="183"/>
      <c r="M155" s="662"/>
    </row>
    <row r="156" spans="1:20">
      <c r="A156" s="495"/>
      <c r="B156" s="183"/>
      <c r="C156" s="257" t="s">
        <v>1681</v>
      </c>
      <c r="D156" s="186"/>
      <c r="E156" s="258"/>
      <c r="F156" s="122"/>
      <c r="G156" s="200"/>
      <c r="H156" s="221"/>
      <c r="I156" s="200"/>
      <c r="J156" s="196"/>
      <c r="K156" s="259"/>
      <c r="L156" s="183"/>
      <c r="M156" s="662"/>
    </row>
    <row r="157" spans="1:20">
      <c r="A157" s="495"/>
      <c r="B157" s="183"/>
      <c r="C157" s="157"/>
      <c r="D157" s="229" t="s">
        <v>1254</v>
      </c>
      <c r="E157" s="235">
        <f>Roadway!G38+IF(Roadway!G40=HIDDEN!B34,Roadway!G39,0)</f>
        <v>0</v>
      </c>
      <c r="F157" s="157"/>
      <c r="G157" s="157"/>
      <c r="H157" s="152"/>
      <c r="I157" s="153"/>
      <c r="J157" s="196" t="s">
        <v>3709</v>
      </c>
      <c r="K157" s="241"/>
      <c r="L157" s="183"/>
      <c r="M157" s="662"/>
    </row>
    <row r="158" spans="1:20">
      <c r="A158" s="495"/>
      <c r="B158" s="183"/>
      <c r="C158" s="157"/>
      <c r="D158" s="229" t="s">
        <v>1675</v>
      </c>
      <c r="E158" s="243">
        <f>Roadway!G37</f>
        <v>0</v>
      </c>
      <c r="F158" s="157"/>
      <c r="G158" s="157"/>
      <c r="H158" s="152"/>
      <c r="I158" s="153"/>
      <c r="J158" s="196" t="s">
        <v>1227</v>
      </c>
      <c r="K158" s="241"/>
      <c r="L158" s="183"/>
      <c r="M158" s="662"/>
    </row>
    <row r="159" spans="1:20">
      <c r="A159" s="495"/>
      <c r="B159" s="183"/>
      <c r="C159" s="157"/>
      <c r="D159" s="229" t="s">
        <v>1673</v>
      </c>
      <c r="E159" s="244">
        <v>2</v>
      </c>
      <c r="F159" s="157"/>
      <c r="G159" s="157"/>
      <c r="H159" s="152"/>
      <c r="I159" s="153"/>
      <c r="J159" s="196" t="s">
        <v>1674</v>
      </c>
      <c r="K159" s="241"/>
      <c r="L159" s="183"/>
      <c r="M159" s="662"/>
    </row>
    <row r="160" spans="1:20">
      <c r="A160" s="495"/>
      <c r="B160" s="183"/>
      <c r="C160" s="157"/>
      <c r="D160" s="229" t="s">
        <v>1676</v>
      </c>
      <c r="E160" s="245">
        <f>G160*H160+G161*H161*I161</f>
        <v>2</v>
      </c>
      <c r="F160" s="246" t="s">
        <v>66</v>
      </c>
      <c r="G160" s="207">
        <f>SUM(E158:E159)</f>
        <v>2</v>
      </c>
      <c r="H160" s="264">
        <v>1</v>
      </c>
      <c r="I160" s="153"/>
      <c r="J160" s="196" t="s">
        <v>1677</v>
      </c>
      <c r="K160" s="241"/>
      <c r="L160" s="183"/>
      <c r="M160" s="662"/>
    </row>
    <row r="161" spans="1:14">
      <c r="A161" s="495"/>
      <c r="B161" s="183"/>
      <c r="C161" s="157"/>
      <c r="D161" s="229"/>
      <c r="E161" s="235"/>
      <c r="F161" s="246"/>
      <c r="G161" s="248">
        <v>0.5</v>
      </c>
      <c r="H161" s="247">
        <f>G160</f>
        <v>2</v>
      </c>
      <c r="I161" s="249" t="b">
        <f>IF(E158&gt;3,2,IF(E158&gt;2,1.67,IF(E158&gt;0,1)))</f>
        <v>0</v>
      </c>
      <c r="J161" s="196" t="s">
        <v>1678</v>
      </c>
      <c r="K161" s="241"/>
      <c r="L161" s="183"/>
      <c r="M161" s="662"/>
    </row>
    <row r="162" spans="1:14" ht="15.75" thickBot="1">
      <c r="A162" s="495"/>
      <c r="B162" s="183"/>
      <c r="C162" s="157"/>
      <c r="D162" s="229" t="s">
        <v>1255</v>
      </c>
      <c r="E162" s="250">
        <f>G162*H162*I162</f>
        <v>0</v>
      </c>
      <c r="F162" s="246" t="s">
        <v>66</v>
      </c>
      <c r="G162" s="207">
        <f>SUM(E158:E159)</f>
        <v>2</v>
      </c>
      <c r="H162" s="251">
        <f>Roadway!G37</f>
        <v>0</v>
      </c>
      <c r="I162" s="204">
        <v>2.5</v>
      </c>
      <c r="J162" s="196" t="s">
        <v>1256</v>
      </c>
      <c r="K162" s="241"/>
      <c r="L162" s="183"/>
      <c r="M162" s="662"/>
      <c r="N162" s="265"/>
    </row>
    <row r="163" spans="1:14" ht="15.75" thickBot="1">
      <c r="A163" s="495"/>
      <c r="B163" s="183"/>
      <c r="C163" s="157"/>
      <c r="D163" s="229"/>
      <c r="E163" s="252">
        <f>G163*H163/I163</f>
        <v>0</v>
      </c>
      <c r="F163" s="246" t="s">
        <v>66</v>
      </c>
      <c r="G163" s="266">
        <f>E160</f>
        <v>2</v>
      </c>
      <c r="H163" s="267">
        <f>E157</f>
        <v>0</v>
      </c>
      <c r="I163" s="255">
        <v>27</v>
      </c>
      <c r="J163" s="196"/>
      <c r="K163" s="205"/>
      <c r="L163" s="183"/>
      <c r="M163" s="662"/>
    </row>
    <row r="164" spans="1:14">
      <c r="A164" s="495"/>
      <c r="B164" s="183"/>
      <c r="C164" s="157"/>
      <c r="D164" s="157"/>
      <c r="E164" s="157"/>
      <c r="F164" s="157"/>
      <c r="G164" s="157"/>
      <c r="H164" s="152"/>
      <c r="I164" s="153"/>
      <c r="J164" s="154"/>
      <c r="K164" s="241"/>
      <c r="L164" s="183"/>
      <c r="M164" s="662"/>
    </row>
    <row r="165" spans="1:14">
      <c r="A165" s="868" t="str">
        <f ca="1">IFERROR(HYPERLINK("#"&amp;"ProjectEstimate!A"&amp;(8+MATCH($C165,ProjectEstimate!$A$9:$A$145,0)),CONCATENATE("Go to ",$C165))," ")</f>
        <v xml:space="preserve"> </v>
      </c>
      <c r="B165" s="183"/>
      <c r="C165" s="157">
        <v>970</v>
      </c>
      <c r="D165" s="1248" t="s">
        <v>666</v>
      </c>
      <c r="E165" s="1248"/>
      <c r="F165" s="1248"/>
      <c r="G165" s="1248"/>
      <c r="H165" s="152">
        <f>CEILING(E168,5)</f>
        <v>0</v>
      </c>
      <c r="I165" s="153" t="s">
        <v>1</v>
      </c>
      <c r="J165" s="154">
        <f ca="1">IF(ISBLANK(M165),_xlfn.XLOOKUP(C165,Output[Item '#],Output[Unit Price (Max or Override)]),M165)</f>
        <v>11</v>
      </c>
      <c r="K165" s="184">
        <f ca="1">ROUND(H165*J165, -1)</f>
        <v>0</v>
      </c>
      <c r="L165" s="183"/>
      <c r="M165" s="869"/>
    </row>
    <row r="166" spans="1:14">
      <c r="A166" s="495"/>
      <c r="B166" s="183"/>
      <c r="C166" s="257" t="s">
        <v>1681</v>
      </c>
      <c r="D166" s="186"/>
      <c r="E166" s="258"/>
      <c r="F166" s="122"/>
      <c r="G166" s="200"/>
      <c r="H166" s="221"/>
      <c r="I166" s="200"/>
      <c r="J166" s="196"/>
      <c r="K166" s="259"/>
      <c r="L166" s="183"/>
      <c r="M166" s="662"/>
    </row>
    <row r="167" spans="1:14" ht="15.75" thickBot="1">
      <c r="A167" s="495"/>
      <c r="B167" s="183"/>
      <c r="C167" s="157"/>
      <c r="D167" s="229" t="s">
        <v>1679</v>
      </c>
      <c r="E167" s="245">
        <f>G167*H167</f>
        <v>0</v>
      </c>
      <c r="F167" s="246" t="s">
        <v>66</v>
      </c>
      <c r="G167" s="207">
        <f>E158</f>
        <v>0</v>
      </c>
      <c r="H167" s="204">
        <f>E157</f>
        <v>0</v>
      </c>
      <c r="I167" s="153"/>
      <c r="J167" s="196" t="s">
        <v>1680</v>
      </c>
      <c r="K167" s="241"/>
      <c r="L167" s="183"/>
      <c r="M167" s="662"/>
    </row>
    <row r="168" spans="1:14" ht="15.75" thickBot="1">
      <c r="A168" s="495"/>
      <c r="B168" s="183"/>
      <c r="C168" s="157"/>
      <c r="D168" s="229"/>
      <c r="E168" s="268">
        <f>G168/H168</f>
        <v>0</v>
      </c>
      <c r="F168" s="246" t="s">
        <v>66</v>
      </c>
      <c r="G168" s="269">
        <f>E167</f>
        <v>0</v>
      </c>
      <c r="H168" s="255">
        <v>9</v>
      </c>
      <c r="I168" s="204"/>
      <c r="J168" s="196"/>
      <c r="K168" s="241"/>
      <c r="L168" s="183"/>
      <c r="M168" s="662"/>
    </row>
    <row r="169" spans="1:14">
      <c r="A169" s="495"/>
      <c r="B169" s="183"/>
      <c r="C169" s="157"/>
      <c r="D169" s="157"/>
      <c r="E169" s="157"/>
      <c r="F169" s="157"/>
      <c r="G169" s="157"/>
      <c r="H169" s="152"/>
      <c r="I169" s="153"/>
      <c r="J169" s="154"/>
      <c r="K169" s="205"/>
      <c r="L169" s="183"/>
      <c r="M169" s="662"/>
    </row>
    <row r="170" spans="1:14" ht="26.25" customHeight="1">
      <c r="A170" s="868" t="str">
        <f ca="1">IFERROR(HYPERLINK("#"&amp;"ProjectEstimate!A"&amp;(8+MATCH($C170,ProjectEstimate!$A$9:$A$145,0)),CONCATENATE("Go to ",$C170))," ")</f>
        <v xml:space="preserve"> </v>
      </c>
      <c r="B170" s="183"/>
      <c r="C170" s="270">
        <v>996.51</v>
      </c>
      <c r="D170" s="1248" t="s">
        <v>1672</v>
      </c>
      <c r="E170" s="1248"/>
      <c r="F170" s="1248"/>
      <c r="G170" s="1248"/>
      <c r="H170" s="152">
        <f>ROUNDUP(E174,0)</f>
        <v>0</v>
      </c>
      <c r="I170" s="153" t="s">
        <v>3</v>
      </c>
      <c r="J170" s="154">
        <f>IF(ISBLANK(M170),_xlfn.XLOOKUP(C170,Output[Item '#],Output[Unit Price (Max or Override)]),M170)</f>
        <v>75</v>
      </c>
      <c r="K170" s="184">
        <f>ROUND(H170*J170, -1)</f>
        <v>0</v>
      </c>
      <c r="L170" s="183"/>
      <c r="M170" s="869"/>
    </row>
    <row r="171" spans="1:14">
      <c r="B171" s="183"/>
      <c r="C171" s="122"/>
      <c r="D171" s="186"/>
      <c r="E171" s="258"/>
      <c r="F171" s="122"/>
      <c r="G171" s="200"/>
      <c r="H171" s="221"/>
      <c r="I171" s="200"/>
      <c r="J171" s="196"/>
      <c r="K171" s="271"/>
      <c r="L171" s="183"/>
      <c r="M171" s="662"/>
    </row>
    <row r="172" spans="1:14">
      <c r="B172" s="183"/>
      <c r="C172" s="157"/>
      <c r="D172" s="229" t="s">
        <v>1254</v>
      </c>
      <c r="E172" s="235">
        <f>Roadway!H38</f>
        <v>0</v>
      </c>
      <c r="F172" s="157"/>
      <c r="G172" s="157"/>
      <c r="H172" s="152"/>
      <c r="I172" s="153"/>
      <c r="J172" s="196" t="s">
        <v>1227</v>
      </c>
      <c r="K172" s="205"/>
      <c r="L172" s="183"/>
      <c r="M172" s="662"/>
    </row>
    <row r="173" spans="1:14" ht="15.75" thickBot="1">
      <c r="B173" s="183"/>
      <c r="C173" s="157"/>
      <c r="D173" s="51" t="s">
        <v>1720</v>
      </c>
      <c r="E173" s="235">
        <f>G173+H173</f>
        <v>4</v>
      </c>
      <c r="F173" s="246" t="s">
        <v>66</v>
      </c>
      <c r="G173" s="203">
        <f>Roadway!H37</f>
        <v>0</v>
      </c>
      <c r="H173" s="874">
        <v>4</v>
      </c>
      <c r="J173" s="196" t="s">
        <v>1722</v>
      </c>
      <c r="K173" s="205"/>
      <c r="L173" s="183"/>
      <c r="M173" s="662"/>
      <c r="N173" s="265"/>
    </row>
    <row r="174" spans="1:14" ht="15.75" thickBot="1">
      <c r="B174" s="183"/>
      <c r="C174" s="157"/>
      <c r="D174" s="229"/>
      <c r="E174" s="272">
        <f>G174*H174</f>
        <v>0</v>
      </c>
      <c r="F174" s="246" t="s">
        <v>66</v>
      </c>
      <c r="G174" s="207">
        <f>E172</f>
        <v>0</v>
      </c>
      <c r="H174" s="204">
        <f>E173</f>
        <v>4</v>
      </c>
      <c r="I174" s="204"/>
      <c r="J174" s="196" t="s">
        <v>1721</v>
      </c>
      <c r="K174" s="205"/>
      <c r="L174" s="183"/>
      <c r="M174" s="662"/>
    </row>
    <row r="175" spans="1:14">
      <c r="B175" s="183"/>
      <c r="C175" s="157"/>
      <c r="D175" s="157"/>
      <c r="E175" s="157"/>
      <c r="F175" s="157"/>
      <c r="G175" s="157"/>
      <c r="H175" s="152"/>
      <c r="I175" s="153"/>
      <c r="J175" s="154"/>
      <c r="K175" s="205"/>
      <c r="L175" s="183"/>
      <c r="M175" s="664"/>
    </row>
    <row r="176" spans="1:14">
      <c r="B176" s="183"/>
      <c r="C176" s="122"/>
      <c r="D176" s="122"/>
      <c r="E176" s="122"/>
      <c r="F176" s="122"/>
      <c r="G176" s="200"/>
      <c r="H176" s="221"/>
      <c r="I176" s="200"/>
      <c r="J176" s="154" t="s">
        <v>826</v>
      </c>
      <c r="K176" s="205">
        <f ca="1">SUM(K9:K170)</f>
        <v>0</v>
      </c>
      <c r="L176" s="183"/>
      <c r="M176" s="497"/>
    </row>
  </sheetData>
  <sheetProtection algorithmName="SHA-512" hashValue="38bSBNaN4rDNbNymNP9N8DMckU3lBFMhMcEL6ezBTced8/zI1jA9wst14zHLRWSoBzasmrRay6B4FthtK/6SHg==" saltValue="QiinN2OZ4/BimlnmpySjTA==" spinCount="100000" sheet="1" objects="1" scenarios="1"/>
  <mergeCells count="37">
    <mergeCell ref="M7:M8"/>
    <mergeCell ref="D83:G83"/>
    <mergeCell ref="D88:G88"/>
    <mergeCell ref="D64:G64"/>
    <mergeCell ref="D21:G21"/>
    <mergeCell ref="D29:G29"/>
    <mergeCell ref="D43:G43"/>
    <mergeCell ref="D49:G49"/>
    <mergeCell ref="D54:G54"/>
    <mergeCell ref="D39:G39"/>
    <mergeCell ref="D33:G33"/>
    <mergeCell ref="D9:G9"/>
    <mergeCell ref="D13:G13"/>
    <mergeCell ref="D17:G17"/>
    <mergeCell ref="D170:G170"/>
    <mergeCell ref="D73:G73"/>
    <mergeCell ref="D119:G119"/>
    <mergeCell ref="D78:G78"/>
    <mergeCell ref="D146:G146"/>
    <mergeCell ref="D154:G154"/>
    <mergeCell ref="D165:G165"/>
    <mergeCell ref="D107:G107"/>
    <mergeCell ref="D111:G111"/>
    <mergeCell ref="D115:G115"/>
    <mergeCell ref="D150:G150"/>
    <mergeCell ref="D142:G142"/>
    <mergeCell ref="D137:G137"/>
    <mergeCell ref="D103:G103"/>
    <mergeCell ref="D92:G92"/>
    <mergeCell ref="D96:G96"/>
    <mergeCell ref="A4:A8"/>
    <mergeCell ref="F2:G2"/>
    <mergeCell ref="F3:G3"/>
    <mergeCell ref="C6:K6"/>
    <mergeCell ref="C7:K7"/>
    <mergeCell ref="J2:K2"/>
    <mergeCell ref="J3:K3"/>
  </mergeCells>
  <conditionalFormatting sqref="D2:D3">
    <cfRule type="expression" dxfId="32" priority="5">
      <formula>D2=""</formula>
    </cfRule>
  </conditionalFormatting>
  <conditionalFormatting sqref="F2:F3">
    <cfRule type="expression" dxfId="31" priority="3">
      <formula>F2=""</formula>
    </cfRule>
  </conditionalFormatting>
  <conditionalFormatting sqref="J2:J3">
    <cfRule type="expression" dxfId="30" priority="1">
      <formula>J2=""</formula>
    </cfRule>
  </conditionalFormatting>
  <pageMargins left="0.75" right="0.75" top="1" bottom="1" header="0.5" footer="0.5"/>
  <pageSetup scale="95" fitToHeight="0" orientation="portrait" r:id="rId1"/>
  <headerFooter alignWithMargins="0">
    <oddHeader>&amp;C&amp;"Arial,Bold Italic"&amp;20DRAFT - TOOL STILL IN PRODUCTION</oddHeader>
    <oddFooter>&amp;C&amp;"Futura Bk BT,Book"Page &amp;P</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tabColor theme="0" tint="-0.249977111117893"/>
    <pageSetUpPr fitToPage="1"/>
  </sheetPr>
  <dimension ref="A1:U255"/>
  <sheetViews>
    <sheetView zoomScale="70" zoomScaleNormal="70" workbookViewId="0">
      <selection activeCell="S41" sqref="S41"/>
    </sheetView>
  </sheetViews>
  <sheetFormatPr defaultColWidth="9.140625" defaultRowHeight="15"/>
  <cols>
    <col min="1" max="1" width="15.42578125" style="159" customWidth="1"/>
    <col min="2" max="2" width="1.7109375" style="161" customWidth="1"/>
    <col min="3" max="3" width="8.7109375" style="161" customWidth="1"/>
    <col min="4" max="5" width="11.28515625" style="161" customWidth="1"/>
    <col min="6" max="6" width="4.140625" style="161" customWidth="1"/>
    <col min="7" max="8" width="11.28515625" style="161" customWidth="1"/>
    <col min="9" max="9" width="10.140625" style="161" customWidth="1"/>
    <col min="10" max="10" width="15.42578125" style="161" customWidth="1"/>
    <col min="11" max="11" width="19" style="161" customWidth="1"/>
    <col min="12" max="12" width="1.7109375" style="161" customWidth="1"/>
    <col min="13" max="13" width="9.140625" style="159"/>
    <col min="14" max="14" width="41.42578125" style="159" customWidth="1"/>
    <col min="15" max="16384" width="9.140625" style="159"/>
  </cols>
  <sheetData>
    <row r="1" spans="1:21" ht="15.75" thickBot="1"/>
    <row r="2" spans="1:21">
      <c r="B2" s="162"/>
      <c r="C2" s="163" t="s">
        <v>8</v>
      </c>
      <c r="D2" s="866"/>
      <c r="E2" s="163" t="s">
        <v>9</v>
      </c>
      <c r="F2" s="1233"/>
      <c r="G2" s="1233"/>
      <c r="H2" s="273"/>
      <c r="I2" s="149" t="s">
        <v>1613</v>
      </c>
      <c r="J2" s="1220">
        <f>BasicProjectData!$G$17</f>
        <v>0</v>
      </c>
      <c r="K2" s="1220"/>
      <c r="L2" s="164"/>
    </row>
    <row r="3" spans="1:21">
      <c r="B3" s="165"/>
      <c r="C3" s="166" t="s">
        <v>10</v>
      </c>
      <c r="D3" s="867"/>
      <c r="E3" s="166" t="s">
        <v>9</v>
      </c>
      <c r="F3" s="1234"/>
      <c r="G3" s="1234"/>
      <c r="H3" s="159"/>
      <c r="I3" s="150" t="s">
        <v>11</v>
      </c>
      <c r="J3" s="1222">
        <f>BasicProjectData!E7</f>
        <v>0</v>
      </c>
      <c r="K3" s="1222"/>
      <c r="L3" s="167"/>
    </row>
    <row r="4" spans="1:21" ht="15.75" thickBot="1">
      <c r="B4" s="168"/>
      <c r="C4" s="169"/>
      <c r="D4" s="170"/>
      <c r="E4" s="171"/>
      <c r="F4" s="172"/>
      <c r="G4" s="173"/>
      <c r="H4" s="171"/>
      <c r="I4" s="171"/>
      <c r="J4" s="174"/>
      <c r="K4" s="174"/>
      <c r="L4" s="175"/>
    </row>
    <row r="5" spans="1:21">
      <c r="B5" s="176"/>
      <c r="C5" s="177"/>
      <c r="D5" s="177"/>
      <c r="E5" s="177"/>
      <c r="F5" s="177"/>
      <c r="G5" s="177"/>
      <c r="H5" s="177"/>
      <c r="I5" s="177"/>
      <c r="J5" s="177"/>
      <c r="K5" s="177"/>
      <c r="L5" s="176"/>
    </row>
    <row r="6" spans="1:21" ht="14.25" customHeight="1">
      <c r="B6" s="179"/>
      <c r="C6" s="1225" t="s">
        <v>1266</v>
      </c>
      <c r="D6" s="1225"/>
      <c r="E6" s="1225"/>
      <c r="F6" s="1225"/>
      <c r="G6" s="1225"/>
      <c r="H6" s="1225"/>
      <c r="I6" s="1225"/>
      <c r="J6" s="1225"/>
      <c r="K6" s="1225"/>
      <c r="L6" s="179"/>
    </row>
    <row r="7" spans="1:21" ht="14.25" customHeight="1">
      <c r="B7" s="180"/>
      <c r="C7" s="1225" t="s">
        <v>1218</v>
      </c>
      <c r="D7" s="1225"/>
      <c r="E7" s="1225"/>
      <c r="F7" s="1225"/>
      <c r="G7" s="1225"/>
      <c r="H7" s="1225"/>
      <c r="I7" s="1225"/>
      <c r="J7" s="1225"/>
      <c r="K7" s="1225"/>
      <c r="L7" s="180"/>
    </row>
    <row r="8" spans="1:21" ht="14.25" customHeight="1">
      <c r="B8" s="180"/>
      <c r="C8" s="181"/>
      <c r="D8" s="182"/>
      <c r="E8" s="182"/>
      <c r="F8" s="182"/>
      <c r="G8" s="182"/>
      <c r="H8" s="360"/>
      <c r="I8" s="182"/>
      <c r="J8" s="182"/>
      <c r="K8" s="180"/>
      <c r="L8" s="180"/>
    </row>
    <row r="9" spans="1:21" ht="14.25" customHeight="1">
      <c r="A9" s="1218" t="s">
        <v>3954</v>
      </c>
      <c r="B9" s="180"/>
      <c r="F9" s="159"/>
      <c r="H9" s="360" t="s">
        <v>1829</v>
      </c>
      <c r="I9" s="360" t="s">
        <v>722</v>
      </c>
      <c r="J9" s="360" t="s">
        <v>1614</v>
      </c>
      <c r="K9" s="360" t="s">
        <v>1615</v>
      </c>
      <c r="L9" s="180"/>
    </row>
    <row r="10" spans="1:21" ht="14.25" customHeight="1">
      <c r="A10" s="1218"/>
      <c r="B10" s="180"/>
      <c r="F10" s="159"/>
      <c r="G10" s="255" t="s">
        <v>1596</v>
      </c>
      <c r="H10" s="361">
        <f>Roadway!G17</f>
        <v>0</v>
      </c>
      <c r="I10" s="204">
        <f>BasicProjectData!G22</f>
        <v>0</v>
      </c>
      <c r="J10" s="362">
        <f>Roadway!G24</f>
        <v>0</v>
      </c>
      <c r="K10" s="362">
        <f>Roadway!G25</f>
        <v>0</v>
      </c>
      <c r="L10" s="180"/>
      <c r="N10" s="40"/>
      <c r="O10" s="57"/>
      <c r="P10" s="57"/>
      <c r="Q10" s="57"/>
      <c r="R10" s="57"/>
      <c r="S10" s="57"/>
      <c r="T10" s="57"/>
      <c r="U10" s="57"/>
    </row>
    <row r="11" spans="1:21" ht="14.25" customHeight="1">
      <c r="A11" s="1218"/>
      <c r="B11" s="180"/>
      <c r="F11" s="159"/>
      <c r="G11" s="255" t="s">
        <v>1597</v>
      </c>
      <c r="H11" s="363">
        <f>Roadway!H17</f>
        <v>0</v>
      </c>
      <c r="I11" s="204">
        <f>BasicProjectData!H22</f>
        <v>0</v>
      </c>
      <c r="J11" s="362">
        <f>Roadway!H24</f>
        <v>0</v>
      </c>
      <c r="K11" s="362">
        <f>Roadway!H25</f>
        <v>0</v>
      </c>
      <c r="L11" s="180"/>
      <c r="N11" s="58"/>
      <c r="O11" s="40"/>
      <c r="P11" s="40"/>
      <c r="Q11" s="40"/>
      <c r="R11" s="40"/>
      <c r="S11" s="40"/>
      <c r="T11" s="40"/>
      <c r="U11" s="40"/>
    </row>
    <row r="12" spans="1:21" ht="14.25" customHeight="1">
      <c r="A12" s="1218"/>
      <c r="B12" s="180"/>
      <c r="C12" s="159"/>
      <c r="D12" s="159"/>
      <c r="E12" s="159"/>
      <c r="F12" s="182"/>
      <c r="G12" s="255" t="s">
        <v>1598</v>
      </c>
      <c r="H12" s="363">
        <f>Roadway!I17</f>
        <v>0</v>
      </c>
      <c r="I12" s="204">
        <f>BasicProjectData!I22</f>
        <v>0</v>
      </c>
      <c r="J12" s="362">
        <f>Roadway!I24</f>
        <v>0</v>
      </c>
      <c r="K12" s="362">
        <f>Roadway!I25</f>
        <v>0</v>
      </c>
      <c r="L12" s="180"/>
      <c r="N12" s="40"/>
      <c r="O12" s="40"/>
      <c r="P12" s="40"/>
      <c r="Q12" s="40"/>
      <c r="R12" s="40"/>
      <c r="S12" s="40"/>
      <c r="T12" s="40"/>
      <c r="U12" s="40"/>
    </row>
    <row r="13" spans="1:21" ht="14.25" customHeight="1">
      <c r="A13" s="1218"/>
      <c r="B13" s="180"/>
      <c r="C13" s="159"/>
      <c r="D13" s="159"/>
      <c r="E13" s="159"/>
      <c r="F13" s="182"/>
      <c r="G13" s="255" t="s">
        <v>1599</v>
      </c>
      <c r="H13" s="363">
        <f>Roadway!J17</f>
        <v>0</v>
      </c>
      <c r="I13" s="204">
        <f>BasicProjectData!J22</f>
        <v>0</v>
      </c>
      <c r="J13" s="362">
        <f>Roadway!J24</f>
        <v>0</v>
      </c>
      <c r="K13" s="362">
        <f>Roadway!J25</f>
        <v>0</v>
      </c>
      <c r="L13" s="180"/>
      <c r="M13" s="1244" t="s">
        <v>3923</v>
      </c>
      <c r="N13" s="40"/>
      <c r="O13" s="40"/>
      <c r="P13" s="40"/>
      <c r="Q13" s="40"/>
      <c r="R13" s="40"/>
      <c r="S13" s="40"/>
      <c r="U13" s="40"/>
    </row>
    <row r="14" spans="1:21" ht="14.25" customHeight="1">
      <c r="A14" s="495"/>
      <c r="B14" s="180"/>
      <c r="C14" s="181"/>
      <c r="D14" s="182"/>
      <c r="E14" s="182"/>
      <c r="F14" s="182"/>
      <c r="G14" s="182"/>
      <c r="H14" s="364"/>
      <c r="I14" s="364"/>
      <c r="J14" s="364"/>
      <c r="K14" s="364"/>
      <c r="L14" s="180"/>
      <c r="M14" s="1245"/>
      <c r="N14" s="40"/>
      <c r="O14" s="40"/>
      <c r="P14" s="40"/>
      <c r="Q14" s="40"/>
      <c r="R14" s="40"/>
      <c r="S14" s="40"/>
      <c r="U14" s="40"/>
    </row>
    <row r="15" spans="1:21" ht="14.25" customHeight="1">
      <c r="A15" s="868" t="str">
        <f ca="1">IFERROR(HYPERLINK("#"&amp;"ProjectEstimate!A"&amp;(8+MATCH($C15,ProjectEstimate!$A$9:$A$145,0)),CONCATENATE("Go to ",$C15))," ")</f>
        <v xml:space="preserve"> </v>
      </c>
      <c r="B15" s="180"/>
      <c r="C15" s="157">
        <v>142</v>
      </c>
      <c r="D15" s="1227" t="s">
        <v>122</v>
      </c>
      <c r="E15" s="1227"/>
      <c r="F15" s="1227"/>
      <c r="G15" s="1227"/>
      <c r="H15" s="152">
        <f>ROUNDUP(E24,-1)</f>
        <v>0</v>
      </c>
      <c r="I15" s="153" t="s">
        <v>4</v>
      </c>
      <c r="J15" s="154">
        <f ca="1">IF(ISBLANK(M15),_xlfn.XLOOKUP(C15,Output[Item '#],Output[Unit Price (Max or Override)]),M15)</f>
        <v>46</v>
      </c>
      <c r="K15" s="205">
        <f ca="1">ROUND(H15*J15,-1)</f>
        <v>0</v>
      </c>
      <c r="L15" s="180"/>
      <c r="M15" s="869"/>
      <c r="N15" s="40"/>
      <c r="O15" s="40"/>
      <c r="P15" s="40"/>
      <c r="Q15" s="40"/>
      <c r="R15" s="40"/>
      <c r="S15" s="40"/>
      <c r="U15" s="40"/>
    </row>
    <row r="16" spans="1:21" ht="14.25" customHeight="1">
      <c r="B16" s="180"/>
      <c r="C16" s="157"/>
      <c r="D16" s="157"/>
      <c r="E16" s="157"/>
      <c r="F16" s="157"/>
      <c r="G16" s="157"/>
      <c r="H16" s="152"/>
      <c r="I16" s="153"/>
      <c r="J16" s="154"/>
      <c r="K16" s="205"/>
      <c r="L16" s="180"/>
      <c r="M16" s="662"/>
      <c r="N16" s="40"/>
      <c r="O16" s="40"/>
      <c r="P16" s="40"/>
      <c r="Q16" s="40"/>
      <c r="R16" s="40"/>
      <c r="S16" s="40"/>
      <c r="U16" s="40"/>
    </row>
    <row r="17" spans="1:21" ht="14.25" customHeight="1">
      <c r="B17" s="180"/>
      <c r="C17" s="157"/>
      <c r="D17" s="366" t="s">
        <v>3772</v>
      </c>
      <c r="E17" s="157"/>
      <c r="F17" s="157"/>
      <c r="G17" s="200" t="s">
        <v>1661</v>
      </c>
      <c r="H17" s="224" t="s">
        <v>1662</v>
      </c>
      <c r="I17" s="200" t="s">
        <v>1660</v>
      </c>
      <c r="J17" s="154"/>
      <c r="K17" s="205"/>
      <c r="L17" s="180"/>
      <c r="M17" s="662"/>
      <c r="N17" s="1076"/>
      <c r="O17" s="1076"/>
      <c r="P17" s="1076"/>
      <c r="Q17" s="1076"/>
      <c r="R17" s="1076"/>
      <c r="S17" s="1076"/>
      <c r="T17" s="1077"/>
      <c r="U17" s="1076"/>
    </row>
    <row r="18" spans="1:21" ht="14.25" customHeight="1">
      <c r="B18" s="180"/>
      <c r="C18" s="157"/>
      <c r="D18" s="229" t="s">
        <v>3696</v>
      </c>
      <c r="E18" s="458">
        <f t="shared" ref="E18:E23" si="0">G18*H18*I18/27</f>
        <v>0</v>
      </c>
      <c r="F18" s="591" t="s">
        <v>66</v>
      </c>
      <c r="G18" s="636">
        <f>(18+36)/12</f>
        <v>4.5</v>
      </c>
      <c r="H18" s="636">
        <f>(12+18)/12</f>
        <v>2.5</v>
      </c>
      <c r="I18" s="204">
        <f>H144</f>
        <v>0</v>
      </c>
      <c r="J18" s="196" t="s">
        <v>3880</v>
      </c>
      <c r="L18" s="180"/>
      <c r="M18" s="662"/>
      <c r="N18" s="1249" t="s">
        <v>3909</v>
      </c>
      <c r="O18" s="1249"/>
      <c r="P18" s="1249"/>
      <c r="Q18" s="1249"/>
      <c r="R18" s="1249"/>
      <c r="S18" s="1249"/>
      <c r="T18" s="1249"/>
      <c r="U18" s="1249"/>
    </row>
    <row r="19" spans="1:21" ht="14.25" customHeight="1">
      <c r="B19" s="180"/>
      <c r="C19" s="157"/>
      <c r="D19" s="229" t="s">
        <v>3697</v>
      </c>
      <c r="E19" s="458">
        <f t="shared" si="0"/>
        <v>0</v>
      </c>
      <c r="F19" s="591" t="s">
        <v>66</v>
      </c>
      <c r="G19" s="636">
        <f>(36+36)/12</f>
        <v>6</v>
      </c>
      <c r="H19" s="636">
        <f>(12+36)/12</f>
        <v>4</v>
      </c>
      <c r="I19" s="204">
        <f>H153</f>
        <v>0</v>
      </c>
      <c r="J19" s="196" t="s">
        <v>3881</v>
      </c>
      <c r="K19" s="205"/>
      <c r="L19" s="180"/>
      <c r="M19" s="662"/>
      <c r="N19" s="1249"/>
      <c r="O19" s="1249"/>
      <c r="P19" s="1249"/>
      <c r="Q19" s="1249"/>
      <c r="R19" s="1249"/>
      <c r="S19" s="1249"/>
      <c r="T19" s="1249"/>
      <c r="U19" s="1249"/>
    </row>
    <row r="20" spans="1:21" ht="14.25" customHeight="1">
      <c r="B20" s="180"/>
      <c r="C20" s="157"/>
      <c r="D20" s="229" t="s">
        <v>3698</v>
      </c>
      <c r="E20" s="458">
        <f t="shared" si="0"/>
        <v>0</v>
      </c>
      <c r="F20" s="591" t="s">
        <v>66</v>
      </c>
      <c r="G20" s="636">
        <f>(72+36)/12</f>
        <v>9</v>
      </c>
      <c r="H20" s="636">
        <f>(12+72)/12</f>
        <v>7</v>
      </c>
      <c r="I20" s="204">
        <f>H162</f>
        <v>0</v>
      </c>
      <c r="J20" s="196" t="s">
        <v>3882</v>
      </c>
      <c r="K20" s="205"/>
      <c r="L20" s="180"/>
      <c r="M20" s="662"/>
      <c r="N20" s="1249" t="s">
        <v>3910</v>
      </c>
      <c r="O20" s="1249"/>
      <c r="P20" s="1249"/>
      <c r="Q20" s="1249"/>
      <c r="R20" s="1249"/>
      <c r="S20" s="1076"/>
      <c r="T20" s="1077"/>
      <c r="U20" s="1076"/>
    </row>
    <row r="21" spans="1:21" ht="14.25" customHeight="1">
      <c r="B21" s="180"/>
      <c r="C21" s="181"/>
      <c r="D21" s="229" t="s">
        <v>3700</v>
      </c>
      <c r="E21" s="458">
        <f t="shared" si="0"/>
        <v>0</v>
      </c>
      <c r="F21" s="591" t="s">
        <v>66</v>
      </c>
      <c r="G21" s="636">
        <f>(5+1*2)+(1*2)</f>
        <v>9</v>
      </c>
      <c r="H21" s="636">
        <f>(3+1*2)+1</f>
        <v>6</v>
      </c>
      <c r="I21" s="204">
        <f>G196</f>
        <v>0</v>
      </c>
      <c r="J21" s="196" t="s">
        <v>3883</v>
      </c>
      <c r="K21" s="364"/>
      <c r="L21" s="180"/>
      <c r="M21" s="662"/>
      <c r="N21" s="1249" t="s">
        <v>3911</v>
      </c>
      <c r="O21" s="1249"/>
      <c r="P21" s="1249"/>
      <c r="Q21" s="1249"/>
      <c r="R21" s="1249"/>
      <c r="S21" s="1076"/>
      <c r="T21" s="1077"/>
      <c r="U21" s="1076"/>
    </row>
    <row r="22" spans="1:21" ht="14.25" customHeight="1">
      <c r="B22" s="180"/>
      <c r="C22" s="181"/>
      <c r="D22" s="229" t="s">
        <v>3699</v>
      </c>
      <c r="E22" s="458">
        <f t="shared" si="0"/>
        <v>0</v>
      </c>
      <c r="F22" s="591" t="s">
        <v>66</v>
      </c>
      <c r="G22" s="636">
        <f>(10+1.5*2)+(1*2)</f>
        <v>15</v>
      </c>
      <c r="H22" s="636">
        <f>(6+1.5*2)+1</f>
        <v>10</v>
      </c>
      <c r="I22" s="204">
        <f>G203</f>
        <v>0</v>
      </c>
      <c r="J22" s="196" t="s">
        <v>3883</v>
      </c>
      <c r="K22" s="364"/>
      <c r="L22" s="180"/>
      <c r="M22" s="662"/>
      <c r="N22" s="1249"/>
      <c r="O22" s="1249"/>
      <c r="P22" s="1249"/>
      <c r="Q22" s="1249"/>
      <c r="R22" s="1249"/>
      <c r="S22" s="1076"/>
      <c r="T22" s="1077"/>
      <c r="U22" s="1076"/>
    </row>
    <row r="23" spans="1:21" ht="14.25" customHeight="1">
      <c r="B23" s="180"/>
      <c r="C23" s="181"/>
      <c r="D23" s="229" t="s">
        <v>3701</v>
      </c>
      <c r="E23" s="458">
        <f t="shared" si="0"/>
        <v>0</v>
      </c>
      <c r="F23" s="591" t="s">
        <v>66</v>
      </c>
      <c r="G23" s="636">
        <f>(20+2*2)+(1*2)</f>
        <v>26</v>
      </c>
      <c r="H23" s="636">
        <f>(10+2*2)+1</f>
        <v>15</v>
      </c>
      <c r="I23" s="204">
        <f>G210</f>
        <v>0</v>
      </c>
      <c r="J23" s="196" t="s">
        <v>3883</v>
      </c>
      <c r="K23" s="364"/>
      <c r="L23" s="180"/>
      <c r="M23" s="662"/>
      <c r="N23" s="1249" t="s">
        <v>3912</v>
      </c>
      <c r="O23" s="1249"/>
      <c r="P23" s="1249"/>
      <c r="Q23" s="1249"/>
      <c r="R23" s="1249"/>
      <c r="S23" s="1076"/>
      <c r="T23" s="1077"/>
      <c r="U23" s="1076"/>
    </row>
    <row r="24" spans="1:21" ht="14.25" customHeight="1">
      <c r="B24" s="180"/>
      <c r="C24" s="181"/>
      <c r="D24" s="229" t="s">
        <v>1877</v>
      </c>
      <c r="E24" s="459">
        <f>SUM(E18:E23)</f>
        <v>0</v>
      </c>
      <c r="F24" s="182"/>
      <c r="G24" s="182"/>
      <c r="H24" s="364"/>
      <c r="I24" s="364"/>
      <c r="J24" s="364"/>
      <c r="K24" s="364"/>
      <c r="L24" s="180"/>
      <c r="M24" s="662"/>
      <c r="N24" s="1249"/>
      <c r="O24" s="1249"/>
      <c r="P24" s="1249"/>
      <c r="Q24" s="1249"/>
      <c r="R24" s="1249"/>
      <c r="S24" s="1076"/>
      <c r="T24" s="1077"/>
      <c r="U24" s="1076"/>
    </row>
    <row r="25" spans="1:21" ht="14.25" customHeight="1">
      <c r="B25" s="180"/>
      <c r="C25" s="181"/>
      <c r="D25" s="229"/>
      <c r="E25" s="182"/>
      <c r="F25" s="182"/>
      <c r="G25" s="182"/>
      <c r="H25" s="364"/>
      <c r="I25" s="364"/>
      <c r="J25" s="364"/>
      <c r="K25" s="364"/>
      <c r="L25" s="180"/>
      <c r="M25" s="662"/>
      <c r="N25" s="1076"/>
      <c r="O25" s="1076"/>
      <c r="P25" s="1076"/>
      <c r="Q25" s="1076"/>
      <c r="R25" s="1076"/>
      <c r="S25" s="1076"/>
      <c r="T25" s="1077"/>
      <c r="U25" s="1076"/>
    </row>
    <row r="26" spans="1:21" ht="14.25" customHeight="1">
      <c r="A26" s="868" t="str">
        <f ca="1">IFERROR(HYPERLINK("#"&amp;"ProjectEstimate!A"&amp;(8+MATCH($C26,ProjectEstimate!$A$9:$A$145,0)),CONCATENATE("Go to ",$C26))," ")</f>
        <v xml:space="preserve"> </v>
      </c>
      <c r="B26" s="180"/>
      <c r="C26" s="157">
        <v>151.19999999999999</v>
      </c>
      <c r="D26" s="1227" t="s">
        <v>52</v>
      </c>
      <c r="E26" s="1227"/>
      <c r="F26" s="1227"/>
      <c r="G26" s="1227"/>
      <c r="H26" s="152">
        <f>ROUNDUP(E38,-1)</f>
        <v>0</v>
      </c>
      <c r="I26" s="153" t="s">
        <v>4</v>
      </c>
      <c r="J26" s="154">
        <f ca="1">IF(ISBLANK(M26),_xlfn.XLOOKUP(C26,Output[Item '#],Output[Unit Price (Max or Override)]),M26)</f>
        <v>64</v>
      </c>
      <c r="K26" s="205">
        <f ca="1">ROUND(H26*J26, -1)</f>
        <v>0</v>
      </c>
      <c r="L26" s="180"/>
      <c r="M26" s="869"/>
      <c r="N26" s="1076"/>
      <c r="O26" s="1076"/>
      <c r="P26" s="1076"/>
      <c r="Q26" s="1076"/>
      <c r="R26" s="1076"/>
      <c r="S26" s="1076"/>
      <c r="T26" s="1077"/>
      <c r="U26" s="1076"/>
    </row>
    <row r="27" spans="1:21" ht="14.25" customHeight="1">
      <c r="B27" s="180"/>
      <c r="C27" s="181"/>
      <c r="D27" s="182"/>
      <c r="E27" s="182"/>
      <c r="F27" s="182"/>
      <c r="G27" s="182"/>
      <c r="H27" s="364"/>
      <c r="I27" s="364"/>
      <c r="J27" s="364"/>
      <c r="K27" s="364"/>
      <c r="L27" s="180"/>
      <c r="M27" s="662"/>
      <c r="N27" s="1076"/>
      <c r="O27" s="1076"/>
      <c r="P27" s="1076"/>
      <c r="Q27" s="1076"/>
      <c r="R27" s="1076"/>
      <c r="S27" s="1076"/>
      <c r="T27" s="1077"/>
      <c r="U27" s="1076"/>
    </row>
    <row r="28" spans="1:21" ht="14.25" customHeight="1">
      <c r="B28" s="180"/>
      <c r="C28" s="181"/>
      <c r="D28" s="366" t="s">
        <v>70</v>
      </c>
      <c r="E28" s="182"/>
      <c r="F28" s="182"/>
      <c r="G28" s="182"/>
      <c r="H28" s="364"/>
      <c r="I28" s="364"/>
      <c r="J28" s="364"/>
      <c r="K28" s="364"/>
      <c r="L28" s="180"/>
      <c r="M28" s="662"/>
      <c r="N28" s="1076"/>
      <c r="O28" s="1076"/>
      <c r="P28" s="1076"/>
      <c r="Q28" s="1076"/>
      <c r="R28" s="1076"/>
      <c r="S28" s="1076"/>
      <c r="T28" s="1077"/>
      <c r="U28" s="1076"/>
    </row>
    <row r="29" spans="1:21" ht="14.25" customHeight="1">
      <c r="B29" s="180"/>
      <c r="C29" s="181"/>
      <c r="D29" s="229" t="s">
        <v>3693</v>
      </c>
      <c r="E29" s="458">
        <f>((H126*((12+36)/12)*1.5)/27)*1.15</f>
        <v>0</v>
      </c>
      <c r="F29" s="182"/>
      <c r="G29" s="196" t="s">
        <v>3884</v>
      </c>
      <c r="H29" s="364"/>
      <c r="I29" s="364"/>
      <c r="J29" s="364"/>
      <c r="K29" s="364"/>
      <c r="L29" s="180"/>
      <c r="M29" s="662"/>
      <c r="N29" s="1076"/>
      <c r="O29" s="1076"/>
      <c r="P29" s="1076"/>
      <c r="Q29" s="1076"/>
      <c r="R29" s="1076"/>
      <c r="S29" s="1076"/>
      <c r="T29" s="1077"/>
      <c r="U29" s="1076"/>
    </row>
    <row r="30" spans="1:21" ht="14.25" customHeight="1">
      <c r="B30" s="180"/>
      <c r="C30" s="181"/>
      <c r="D30" s="182"/>
      <c r="E30" s="182"/>
      <c r="F30" s="182"/>
      <c r="G30" s="182"/>
      <c r="H30" s="364"/>
      <c r="I30" s="364"/>
      <c r="J30" s="364"/>
      <c r="K30" s="364"/>
      <c r="L30" s="180"/>
      <c r="M30" s="662"/>
      <c r="N30" s="1076"/>
      <c r="O30" s="1076"/>
      <c r="P30" s="1076"/>
      <c r="Q30" s="1076"/>
      <c r="R30" s="1076"/>
      <c r="S30" s="1076"/>
      <c r="T30" s="1077"/>
      <c r="U30" s="1076"/>
    </row>
    <row r="31" spans="1:21" ht="14.25" customHeight="1">
      <c r="B31" s="180"/>
      <c r="C31" s="181"/>
      <c r="D31" s="366" t="s">
        <v>3772</v>
      </c>
      <c r="E31" s="182"/>
      <c r="F31" s="182"/>
      <c r="G31" s="182"/>
      <c r="H31" s="364"/>
      <c r="I31" s="364"/>
      <c r="J31" s="364"/>
      <c r="K31" s="364"/>
      <c r="L31" s="180"/>
      <c r="M31" s="662"/>
      <c r="N31" s="1249" t="s">
        <v>3903</v>
      </c>
      <c r="O31" s="1249"/>
      <c r="P31" s="1249"/>
      <c r="Q31" s="1249"/>
      <c r="R31" s="1249"/>
      <c r="S31" s="1249"/>
      <c r="T31" s="1249"/>
      <c r="U31" s="1249"/>
    </row>
    <row r="32" spans="1:21" ht="14.25" customHeight="1">
      <c r="B32" s="180"/>
      <c r="C32" s="181"/>
      <c r="D32" s="229" t="s">
        <v>3696</v>
      </c>
      <c r="E32" s="458">
        <f>((H144*((18+36)/12)*1.5)/27)*1.15</f>
        <v>0</v>
      </c>
      <c r="F32" s="182"/>
      <c r="G32" s="196" t="s">
        <v>3880</v>
      </c>
      <c r="H32" s="364"/>
      <c r="I32" s="364"/>
      <c r="J32" s="364"/>
      <c r="K32" s="364"/>
      <c r="L32" s="180"/>
      <c r="M32" s="662"/>
      <c r="N32" s="1249"/>
      <c r="O32" s="1249"/>
      <c r="P32" s="1249"/>
      <c r="Q32" s="1249"/>
      <c r="R32" s="1249"/>
      <c r="S32" s="1249"/>
      <c r="T32" s="1249"/>
      <c r="U32" s="1249"/>
    </row>
    <row r="33" spans="1:21" ht="14.25" customHeight="1">
      <c r="B33" s="180"/>
      <c r="C33" s="181"/>
      <c r="D33" s="229" t="s">
        <v>3697</v>
      </c>
      <c r="E33" s="458">
        <f>((H153*((36+36)/12)*1.5)/27)*1.15</f>
        <v>0</v>
      </c>
      <c r="F33" s="182"/>
      <c r="G33" s="196" t="s">
        <v>3881</v>
      </c>
      <c r="H33" s="364"/>
      <c r="I33" s="364"/>
      <c r="J33" s="364"/>
      <c r="K33" s="364"/>
      <c r="L33" s="180"/>
      <c r="M33" s="662"/>
      <c r="N33" s="1078"/>
      <c r="O33" s="1078"/>
      <c r="P33" s="1078"/>
      <c r="Q33" s="1078"/>
      <c r="R33" s="1078"/>
      <c r="S33" s="1077"/>
      <c r="T33" s="1077"/>
      <c r="U33" s="1076"/>
    </row>
    <row r="34" spans="1:21" ht="14.25" customHeight="1">
      <c r="B34" s="180"/>
      <c r="C34" s="181"/>
      <c r="D34" s="229" t="s">
        <v>3698</v>
      </c>
      <c r="E34" s="458">
        <f>((H162*((72+36)/12)*1.5)/27)*1.15</f>
        <v>0</v>
      </c>
      <c r="F34" s="182"/>
      <c r="G34" s="196" t="s">
        <v>3882</v>
      </c>
      <c r="H34" s="364"/>
      <c r="I34" s="364"/>
      <c r="J34" s="364"/>
      <c r="K34" s="364"/>
      <c r="L34" s="180"/>
      <c r="M34" s="662"/>
      <c r="N34" s="1078"/>
      <c r="O34" s="1078"/>
      <c r="P34" s="1078"/>
      <c r="Q34" s="1078"/>
      <c r="R34" s="1078"/>
      <c r="S34" s="1077"/>
      <c r="T34" s="1077"/>
      <c r="U34" s="1076"/>
    </row>
    <row r="35" spans="1:21" ht="14.25" customHeight="1">
      <c r="B35" s="180"/>
      <c r="C35" s="181"/>
      <c r="D35" s="229" t="s">
        <v>3700</v>
      </c>
      <c r="E35" s="458">
        <f>(G196*G21*1.5)*1.15</f>
        <v>0</v>
      </c>
      <c r="F35" s="182"/>
      <c r="G35" s="196" t="s">
        <v>3883</v>
      </c>
      <c r="H35" s="182"/>
      <c r="I35" s="182"/>
      <c r="J35" s="182"/>
      <c r="L35" s="180"/>
      <c r="M35" s="662"/>
      <c r="N35" s="1078" t="s">
        <v>3891</v>
      </c>
      <c r="O35" s="1078"/>
      <c r="P35" s="1078"/>
      <c r="Q35" s="1078"/>
      <c r="R35" s="1078"/>
      <c r="S35" s="1077"/>
      <c r="T35" s="1077"/>
      <c r="U35" s="1076"/>
    </row>
    <row r="36" spans="1:21" ht="14.25" customHeight="1">
      <c r="B36" s="180"/>
      <c r="C36" s="181"/>
      <c r="D36" s="229" t="s">
        <v>3699</v>
      </c>
      <c r="E36" s="458">
        <f>(G197*G22*1.5)*1.15</f>
        <v>0</v>
      </c>
      <c r="F36" s="182"/>
      <c r="G36" s="196" t="s">
        <v>3883</v>
      </c>
      <c r="H36" s="364"/>
      <c r="I36" s="364"/>
      <c r="J36" s="364"/>
      <c r="L36" s="180"/>
      <c r="M36" s="662"/>
      <c r="N36" s="1078" t="s">
        <v>3892</v>
      </c>
      <c r="O36" s="1078"/>
      <c r="P36" s="1078"/>
      <c r="Q36" s="1078"/>
      <c r="R36" s="1078"/>
      <c r="S36" s="1077"/>
      <c r="T36" s="1077"/>
      <c r="U36" s="1076"/>
    </row>
    <row r="37" spans="1:21" ht="14.25" customHeight="1">
      <c r="B37" s="180"/>
      <c r="C37" s="181"/>
      <c r="D37" s="229" t="s">
        <v>3701</v>
      </c>
      <c r="E37" s="458">
        <f>(G210*H231*1.5)*1.15</f>
        <v>0</v>
      </c>
      <c r="F37" s="182"/>
      <c r="G37" s="196" t="s">
        <v>3883</v>
      </c>
      <c r="H37" s="364"/>
      <c r="I37" s="364"/>
      <c r="J37" s="364"/>
      <c r="L37" s="180"/>
      <c r="M37" s="662"/>
      <c r="N37" s="1078" t="s">
        <v>3900</v>
      </c>
      <c r="O37" s="1078"/>
      <c r="P37" s="1078"/>
      <c r="Q37" s="1078"/>
      <c r="R37" s="1078"/>
      <c r="S37" s="1077"/>
      <c r="T37" s="1077"/>
      <c r="U37" s="1076"/>
    </row>
    <row r="38" spans="1:21" ht="14.25" customHeight="1">
      <c r="B38" s="180"/>
      <c r="C38" s="181"/>
      <c r="D38" s="229" t="s">
        <v>1877</v>
      </c>
      <c r="E38" s="459">
        <f>SUM(E29:E37)</f>
        <v>0</v>
      </c>
      <c r="F38" s="182"/>
      <c r="G38" s="182"/>
      <c r="H38" s="364"/>
      <c r="I38" s="364"/>
      <c r="J38" s="364"/>
      <c r="K38" s="364"/>
      <c r="L38" s="180"/>
      <c r="M38" s="662"/>
      <c r="N38" s="637"/>
      <c r="O38" s="637"/>
      <c r="P38" s="637"/>
      <c r="Q38" s="637"/>
      <c r="R38" s="637"/>
      <c r="U38" s="40"/>
    </row>
    <row r="39" spans="1:21" ht="14.25" customHeight="1">
      <c r="B39" s="180"/>
      <c r="C39" s="181"/>
      <c r="D39" s="182"/>
      <c r="E39" s="182"/>
      <c r="F39" s="182"/>
      <c r="G39" s="182"/>
      <c r="H39" s="364"/>
      <c r="I39" s="364"/>
      <c r="J39" s="364"/>
      <c r="K39" s="364"/>
      <c r="L39" s="180"/>
      <c r="M39" s="662"/>
      <c r="N39" s="40"/>
      <c r="O39" s="40"/>
      <c r="P39" s="40"/>
      <c r="Q39" s="40"/>
      <c r="R39" s="40"/>
      <c r="S39" s="40"/>
      <c r="U39" s="40"/>
    </row>
    <row r="40" spans="1:21">
      <c r="A40" s="868" t="str">
        <f ca="1">IFERROR(HYPERLINK("#"&amp;"ProjectEstimate!A"&amp;(8+MATCH($C40,ProjectEstimate!$A$9:$A$145,0)),CONCATENATE("Go to ",$C40))," ")</f>
        <v xml:space="preserve"> </v>
      </c>
      <c r="B40" s="183"/>
      <c r="C40" s="157">
        <v>201</v>
      </c>
      <c r="D40" s="1227" t="s">
        <v>155</v>
      </c>
      <c r="E40" s="1227"/>
      <c r="F40" s="1227"/>
      <c r="G40" s="1227"/>
      <c r="H40" s="152">
        <f>ROUNDUP(E57,0)</f>
        <v>0</v>
      </c>
      <c r="I40" s="153" t="s">
        <v>2</v>
      </c>
      <c r="J40" s="154">
        <f ca="1">IF(ISBLANK(M40),_xlfn.XLOOKUP(C40,Output[Item '#],Output[Unit Price (Max or Override)]),M40)</f>
        <v>5565</v>
      </c>
      <c r="K40" s="199">
        <f ca="1">ROUND(H40*J40, -1)</f>
        <v>0</v>
      </c>
      <c r="L40" s="183"/>
      <c r="M40" s="869"/>
      <c r="N40" s="40"/>
    </row>
    <row r="41" spans="1:21">
      <c r="B41" s="183"/>
      <c r="C41" s="157"/>
      <c r="D41" s="157"/>
      <c r="E41" s="157"/>
      <c r="F41" s="157"/>
      <c r="G41" s="157"/>
      <c r="H41" s="152"/>
      <c r="I41" s="365" t="str">
        <f>"(round up)"</f>
        <v>(round up)</v>
      </c>
      <c r="J41" s="154"/>
      <c r="K41" s="199"/>
      <c r="L41" s="183"/>
      <c r="M41" s="662"/>
    </row>
    <row r="42" spans="1:21">
      <c r="B42" s="183"/>
      <c r="C42" s="157"/>
      <c r="D42" s="366" t="s">
        <v>1694</v>
      </c>
      <c r="E42" s="157"/>
      <c r="F42" s="157"/>
      <c r="G42" s="157"/>
      <c r="H42" s="152"/>
      <c r="I42" s="365"/>
      <c r="J42" s="154"/>
      <c r="K42" s="199"/>
      <c r="L42" s="183"/>
      <c r="M42" s="662"/>
    </row>
    <row r="43" spans="1:21">
      <c r="B43" s="183"/>
      <c r="C43" s="157"/>
      <c r="D43" s="229" t="s">
        <v>1642</v>
      </c>
      <c r="E43" s="131">
        <f>ROUNDUP((G43/H43)*I43,0)</f>
        <v>0</v>
      </c>
      <c r="F43" s="202" t="s">
        <v>66</v>
      </c>
      <c r="G43" s="367">
        <f>IF(K10=HIDDEN!$F$19,I10,0)</f>
        <v>0</v>
      </c>
      <c r="H43" s="368">
        <v>250</v>
      </c>
      <c r="I43" s="302">
        <v>2</v>
      </c>
      <c r="J43" s="196" t="str">
        <f>"| "&amp;IF($K$10="New Closed Drainage","Assume 2 new CB every 250'","Not new closed drainage")</f>
        <v>| Not new closed drainage</v>
      </c>
      <c r="K43" s="199"/>
      <c r="L43" s="183"/>
      <c r="M43" s="662"/>
    </row>
    <row r="44" spans="1:21">
      <c r="B44" s="183"/>
      <c r="C44" s="157"/>
      <c r="D44" s="229" t="s">
        <v>1643</v>
      </c>
      <c r="E44" s="131">
        <f>ROUNDUP((G44/H44)*I44,0)</f>
        <v>0</v>
      </c>
      <c r="F44" s="202" t="s">
        <v>66</v>
      </c>
      <c r="G44" s="367">
        <f>IF(K11=HIDDEN!$F$19,I11,0)</f>
        <v>0</v>
      </c>
      <c r="H44" s="368">
        <v>250</v>
      </c>
      <c r="I44" s="302">
        <v>2</v>
      </c>
      <c r="J44" s="196" t="str">
        <f>"| "&amp;IF($K$11="New Closed Drainage","Assume 2 new CB every 250'","Not new closed drainage")</f>
        <v>| Not new closed drainage</v>
      </c>
      <c r="K44" s="199"/>
      <c r="L44" s="183"/>
      <c r="M44" s="662"/>
    </row>
    <row r="45" spans="1:21">
      <c r="B45" s="183"/>
      <c r="C45" s="157"/>
      <c r="D45" s="229" t="s">
        <v>1644</v>
      </c>
      <c r="E45" s="131">
        <f>ROUNDUP((G45/H45)*I45,0)</f>
        <v>0</v>
      </c>
      <c r="F45" s="202" t="s">
        <v>66</v>
      </c>
      <c r="G45" s="367">
        <f>IF(K12=HIDDEN!$F$19,I12,0)</f>
        <v>0</v>
      </c>
      <c r="H45" s="368">
        <v>250</v>
      </c>
      <c r="I45" s="302">
        <v>2</v>
      </c>
      <c r="J45" s="196" t="str">
        <f>"| "&amp;IF($K$12="New Closed Drainage","Assume 2 new CB every 250'","Not new closed drainage")</f>
        <v>| Not new closed drainage</v>
      </c>
      <c r="K45" s="199"/>
      <c r="L45" s="183"/>
      <c r="M45" s="662"/>
    </row>
    <row r="46" spans="1:21">
      <c r="B46" s="183"/>
      <c r="C46" s="157"/>
      <c r="D46" s="229" t="s">
        <v>1645</v>
      </c>
      <c r="E46" s="131">
        <f>ROUNDUP((G46/H46)*I46,0)</f>
        <v>0</v>
      </c>
      <c r="F46" s="202" t="s">
        <v>66</v>
      </c>
      <c r="G46" s="367">
        <f>IF(K13=HIDDEN!$F$19,I13,0)</f>
        <v>0</v>
      </c>
      <c r="H46" s="368">
        <v>250</v>
      </c>
      <c r="I46" s="302">
        <v>2</v>
      </c>
      <c r="J46" s="196" t="str">
        <f>"| "&amp;IF($K$13="New Closed Drainage","Assume 2 new CB every 250'","Not new closed drainage")</f>
        <v>| Not new closed drainage</v>
      </c>
      <c r="K46" s="199"/>
      <c r="L46" s="183"/>
      <c r="M46" s="662"/>
    </row>
    <row r="47" spans="1:21">
      <c r="B47" s="183"/>
      <c r="C47" s="157"/>
      <c r="D47" s="229" t="s">
        <v>1646</v>
      </c>
      <c r="E47" s="369">
        <f>SUM(H10:H13)/2</f>
        <v>0</v>
      </c>
      <c r="F47" s="202"/>
      <c r="G47" s="370" t="s">
        <v>3879</v>
      </c>
      <c r="H47" s="159"/>
      <c r="I47" s="302"/>
      <c r="J47" s="159"/>
      <c r="K47" s="199"/>
      <c r="L47" s="183"/>
      <c r="M47" s="662"/>
    </row>
    <row r="48" spans="1:21">
      <c r="B48" s="183"/>
      <c r="C48" s="157"/>
      <c r="D48" s="229" t="s">
        <v>1719</v>
      </c>
      <c r="E48" s="193">
        <f>SUM(E43:E47)</f>
        <v>0</v>
      </c>
      <c r="F48" s="202"/>
      <c r="G48" s="370"/>
      <c r="H48" s="159"/>
      <c r="I48" s="302"/>
      <c r="J48" s="159"/>
      <c r="K48" s="199"/>
      <c r="L48" s="183"/>
      <c r="M48" s="662"/>
    </row>
    <row r="49" spans="1:14">
      <c r="B49" s="183"/>
      <c r="C49" s="157"/>
      <c r="D49" s="229"/>
      <c r="E49" s="193"/>
      <c r="F49" s="202"/>
      <c r="G49" s="370"/>
      <c r="H49" s="159"/>
      <c r="I49" s="302"/>
      <c r="J49" s="159"/>
      <c r="K49" s="199"/>
      <c r="L49" s="183"/>
      <c r="M49" s="662"/>
    </row>
    <row r="50" spans="1:14">
      <c r="B50" s="183"/>
      <c r="C50" s="157"/>
      <c r="D50" s="366" t="s">
        <v>1695</v>
      </c>
      <c r="E50" s="193"/>
      <c r="F50" s="202"/>
      <c r="G50" s="370"/>
      <c r="H50" s="159"/>
      <c r="I50" s="302"/>
      <c r="J50" s="159"/>
      <c r="K50" s="199"/>
      <c r="L50" s="183"/>
      <c r="M50" s="662"/>
    </row>
    <row r="51" spans="1:14">
      <c r="B51" s="183"/>
      <c r="C51" s="157"/>
      <c r="D51" s="229" t="s">
        <v>1642</v>
      </c>
      <c r="E51" s="131">
        <f>ROUNDUP((G51/H51)*I51,0)</f>
        <v>0</v>
      </c>
      <c r="F51" s="202" t="s">
        <v>66</v>
      </c>
      <c r="G51" s="367">
        <f>IF(K10=HIDDEN!$F$18,I10,0)</f>
        <v>0</v>
      </c>
      <c r="H51" s="368">
        <v>250</v>
      </c>
      <c r="I51" s="302">
        <v>1</v>
      </c>
      <c r="J51" s="196" t="str">
        <f>"| "&amp;IF($K$10="Relocate Drainage","Assume 1 new CB every 250'","No drainage relocations")</f>
        <v>| No drainage relocations</v>
      </c>
      <c r="K51" s="199"/>
      <c r="L51" s="183"/>
      <c r="M51" s="662"/>
    </row>
    <row r="52" spans="1:14">
      <c r="B52" s="183"/>
      <c r="C52" s="157"/>
      <c r="D52" s="229" t="s">
        <v>1643</v>
      </c>
      <c r="E52" s="131">
        <f>ROUNDUP((G52/H52)*I52,0)</f>
        <v>0</v>
      </c>
      <c r="F52" s="202" t="s">
        <v>66</v>
      </c>
      <c r="G52" s="367">
        <f>IF(K11=HIDDEN!$F$18,I11,0)</f>
        <v>0</v>
      </c>
      <c r="H52" s="368">
        <v>250</v>
      </c>
      <c r="I52" s="302">
        <v>1</v>
      </c>
      <c r="J52" s="196" t="str">
        <f>"| "&amp;IF($K$11="Relocate Drainage","Assume 1 new CB every 250'","No drainage relocations")</f>
        <v>| No drainage relocations</v>
      </c>
      <c r="K52" s="199"/>
      <c r="L52" s="183"/>
      <c r="M52" s="662"/>
    </row>
    <row r="53" spans="1:14">
      <c r="B53" s="183"/>
      <c r="C53" s="157"/>
      <c r="D53" s="229" t="s">
        <v>1644</v>
      </c>
      <c r="E53" s="131">
        <f>ROUNDUP((G53/H53)*I53,0)</f>
        <v>0</v>
      </c>
      <c r="F53" s="202" t="s">
        <v>66</v>
      </c>
      <c r="G53" s="367">
        <f>IF(K12=HIDDEN!$F$18,I12,0)</f>
        <v>0</v>
      </c>
      <c r="H53" s="368">
        <v>250</v>
      </c>
      <c r="I53" s="302">
        <v>1</v>
      </c>
      <c r="J53" s="196" t="str">
        <f>"| "&amp;IF($K$12="Relocate Drainage","Assume 1 new CB every 250'","No drainage relocations")</f>
        <v>| No drainage relocations</v>
      </c>
      <c r="K53" s="199"/>
      <c r="L53" s="183"/>
      <c r="M53" s="662"/>
    </row>
    <row r="54" spans="1:14">
      <c r="B54" s="183"/>
      <c r="C54" s="157"/>
      <c r="D54" s="229" t="s">
        <v>1645</v>
      </c>
      <c r="E54" s="131">
        <f>ROUNDUP((G54/H54)*I54,0)</f>
        <v>0</v>
      </c>
      <c r="F54" s="202" t="s">
        <v>66</v>
      </c>
      <c r="G54" s="367">
        <f>IF(K13=HIDDEN!$F$18,I13,0)</f>
        <v>0</v>
      </c>
      <c r="H54" s="368">
        <v>250</v>
      </c>
      <c r="I54" s="302">
        <v>1</v>
      </c>
      <c r="J54" s="196" t="str">
        <f>"| "&amp;IF($K$13="Relocate Drainage","Assume 1 new CB every 250'","No drainage relocations")</f>
        <v>| No drainage relocations</v>
      </c>
      <c r="K54" s="199"/>
      <c r="L54" s="183"/>
      <c r="M54" s="662"/>
    </row>
    <row r="55" spans="1:14">
      <c r="B55" s="183"/>
      <c r="C55" s="157"/>
      <c r="D55" s="229" t="s">
        <v>1719</v>
      </c>
      <c r="E55" s="371">
        <f>SUM(E51:E54)</f>
        <v>0</v>
      </c>
      <c r="F55" s="202"/>
      <c r="G55" s="370"/>
      <c r="H55" s="159"/>
      <c r="I55" s="302"/>
      <c r="J55" s="159"/>
      <c r="K55" s="199"/>
      <c r="L55" s="183"/>
      <c r="M55" s="662"/>
    </row>
    <row r="56" spans="1:14" ht="15.75" thickBot="1">
      <c r="B56" s="183"/>
      <c r="C56" s="157"/>
      <c r="D56" s="229"/>
      <c r="E56" s="193"/>
      <c r="F56" s="202"/>
      <c r="G56" s="370"/>
      <c r="H56" s="159"/>
      <c r="I56" s="302"/>
      <c r="J56" s="159"/>
      <c r="K56" s="199"/>
      <c r="L56" s="183"/>
      <c r="M56" s="662"/>
    </row>
    <row r="57" spans="1:14" ht="15.75" thickBot="1">
      <c r="B57" s="183"/>
      <c r="C57" s="183"/>
      <c r="D57" s="229" t="s">
        <v>1262</v>
      </c>
      <c r="E57" s="372">
        <f>E48+E55</f>
        <v>0</v>
      </c>
      <c r="F57" s="202"/>
      <c r="G57" s="367"/>
      <c r="H57" s="368"/>
      <c r="I57" s="302"/>
      <c r="J57" s="196"/>
      <c r="K57" s="286"/>
      <c r="L57" s="183"/>
      <c r="M57" s="662"/>
      <c r="N57" s="178"/>
    </row>
    <row r="58" spans="1:14">
      <c r="B58" s="183"/>
      <c r="C58" s="183"/>
      <c r="D58" s="131"/>
      <c r="E58" s="131"/>
      <c r="F58" s="131"/>
      <c r="G58" s="191"/>
      <c r="H58" s="191"/>
      <c r="I58" s="226"/>
      <c r="J58" s="228"/>
      <c r="K58" s="286"/>
      <c r="L58" s="183"/>
      <c r="M58" s="662"/>
    </row>
    <row r="59" spans="1:14">
      <c r="A59" s="868" t="str">
        <f ca="1">IFERROR(HYPERLINK("#"&amp;"ProjectEstimate!A"&amp;(8+MATCH($C59,ProjectEstimate!$A$9:$A$145,0)),CONCATENATE("Go to ",$C59))," ")</f>
        <v xml:space="preserve"> </v>
      </c>
      <c r="B59" s="183"/>
      <c r="C59" s="157">
        <v>202</v>
      </c>
      <c r="D59" s="1227" t="s">
        <v>157</v>
      </c>
      <c r="E59" s="1227"/>
      <c r="F59" s="1227"/>
      <c r="G59" s="1227"/>
      <c r="H59" s="152">
        <f>ROUNDUP(E76,0)</f>
        <v>0</v>
      </c>
      <c r="I59" s="153" t="s">
        <v>2</v>
      </c>
      <c r="J59" s="154">
        <f ca="1">IF(ISBLANK(M59),_xlfn.XLOOKUP(C59,Output[Item '#],Output[Unit Price (Max or Override)]),M59)</f>
        <v>6322</v>
      </c>
      <c r="K59" s="199">
        <f ca="1">ROUND(H59*J59, -1)</f>
        <v>0</v>
      </c>
      <c r="L59" s="183"/>
      <c r="M59" s="869"/>
    </row>
    <row r="60" spans="1:14">
      <c r="B60" s="183"/>
      <c r="C60" s="157"/>
      <c r="D60" s="157"/>
      <c r="E60" s="157"/>
      <c r="F60" s="157"/>
      <c r="G60" s="157"/>
      <c r="H60" s="152"/>
      <c r="I60" s="365" t="str">
        <f>"(round up)"</f>
        <v>(round up)</v>
      </c>
      <c r="J60" s="154"/>
      <c r="K60" s="199"/>
      <c r="L60" s="183"/>
      <c r="M60" s="662"/>
    </row>
    <row r="61" spans="1:14">
      <c r="B61" s="183"/>
      <c r="C61" s="157"/>
      <c r="D61" s="366" t="s">
        <v>1694</v>
      </c>
      <c r="E61" s="157"/>
      <c r="F61" s="157"/>
      <c r="G61" s="157"/>
      <c r="H61" s="152"/>
      <c r="I61" s="365"/>
      <c r="J61" s="154"/>
      <c r="K61" s="199"/>
      <c r="L61" s="183"/>
      <c r="M61" s="662"/>
    </row>
    <row r="62" spans="1:14">
      <c r="B62" s="183"/>
      <c r="C62" s="157"/>
      <c r="D62" s="229" t="s">
        <v>1642</v>
      </c>
      <c r="E62" s="131">
        <f>ROUNDUP((G62/H62)*I62,0)</f>
        <v>0</v>
      </c>
      <c r="F62" s="202" t="s">
        <v>66</v>
      </c>
      <c r="G62" s="367">
        <f>IF(K10=HIDDEN!$F$19,I10,0)</f>
        <v>0</v>
      </c>
      <c r="H62" s="368">
        <v>250</v>
      </c>
      <c r="I62" s="302">
        <v>1</v>
      </c>
      <c r="J62" s="196" t="str">
        <f>"| "&amp;IF(G62=0,"No New Closed Drainage","Assume 1 new MH every 250'")</f>
        <v>| No New Closed Drainage</v>
      </c>
      <c r="K62" s="199"/>
      <c r="L62" s="183"/>
      <c r="M62" s="662"/>
    </row>
    <row r="63" spans="1:14">
      <c r="B63" s="183"/>
      <c r="C63" s="157"/>
      <c r="D63" s="229" t="s">
        <v>1643</v>
      </c>
      <c r="E63" s="131">
        <f>ROUNDUP((G63/H63)*I63,0)</f>
        <v>0</v>
      </c>
      <c r="F63" s="202" t="s">
        <v>66</v>
      </c>
      <c r="G63" s="367">
        <f>IF(K11=HIDDEN!$F$19,I11,0)</f>
        <v>0</v>
      </c>
      <c r="H63" s="368">
        <v>250</v>
      </c>
      <c r="I63" s="302">
        <v>1</v>
      </c>
      <c r="J63" s="196" t="str">
        <f>"| "&amp;IF(G63=0,"No New Closed Drainage","Assume 1 new MH every 250'")</f>
        <v>| No New Closed Drainage</v>
      </c>
      <c r="K63" s="199"/>
      <c r="L63" s="183"/>
      <c r="M63" s="662"/>
    </row>
    <row r="64" spans="1:14">
      <c r="B64" s="183"/>
      <c r="C64" s="157"/>
      <c r="D64" s="229" t="s">
        <v>1644</v>
      </c>
      <c r="E64" s="131">
        <f>ROUNDUP((G64/H64)*I64,0)</f>
        <v>0</v>
      </c>
      <c r="F64" s="202" t="s">
        <v>66</v>
      </c>
      <c r="G64" s="367">
        <f>IF(K12=HIDDEN!$F$19,I12,0)</f>
        <v>0</v>
      </c>
      <c r="H64" s="368">
        <v>250</v>
      </c>
      <c r="I64" s="302">
        <v>1</v>
      </c>
      <c r="J64" s="196" t="str">
        <f>"| "&amp;IF(G64=0,"No New Closed Drainage","Assume 1 new MH every 250'")</f>
        <v>| No New Closed Drainage</v>
      </c>
      <c r="K64" s="199"/>
      <c r="L64" s="183"/>
      <c r="M64" s="662"/>
    </row>
    <row r="65" spans="1:13">
      <c r="B65" s="183"/>
      <c r="C65" s="157"/>
      <c r="D65" s="229" t="s">
        <v>1645</v>
      </c>
      <c r="E65" s="131">
        <f>ROUNDUP((G65/H65)*I65,0)</f>
        <v>0</v>
      </c>
      <c r="F65" s="202" t="s">
        <v>66</v>
      </c>
      <c r="G65" s="367">
        <f>IF(K13=HIDDEN!$F$19,I13,0)</f>
        <v>0</v>
      </c>
      <c r="H65" s="368">
        <v>250</v>
      </c>
      <c r="I65" s="302">
        <v>1</v>
      </c>
      <c r="J65" s="196" t="str">
        <f>"| "&amp;IF(G65=0,"No New Closed Drainage","Assume 1 new MH every 250'")</f>
        <v>| No New Closed Drainage</v>
      </c>
      <c r="K65" s="199"/>
      <c r="L65" s="183"/>
      <c r="M65" s="662"/>
    </row>
    <row r="66" spans="1:13">
      <c r="B66" s="183"/>
      <c r="C66" s="157"/>
      <c r="D66" s="229" t="s">
        <v>1733</v>
      </c>
      <c r="E66" s="373">
        <f>ROUNDUP(E47/3,0)</f>
        <v>0</v>
      </c>
      <c r="F66" s="202"/>
      <c r="G66" s="370" t="s">
        <v>1813</v>
      </c>
      <c r="H66" s="368"/>
      <c r="I66" s="302"/>
      <c r="J66" s="196"/>
      <c r="K66" s="199"/>
      <c r="L66" s="183"/>
      <c r="M66" s="662"/>
    </row>
    <row r="67" spans="1:13">
      <c r="B67" s="183"/>
      <c r="C67" s="157"/>
      <c r="D67" s="229" t="s">
        <v>1719</v>
      </c>
      <c r="E67" s="374">
        <f>SUM(E62:E66)</f>
        <v>0</v>
      </c>
      <c r="F67" s="202"/>
      <c r="G67" s="367"/>
      <c r="H67" s="368"/>
      <c r="I67" s="302"/>
      <c r="J67" s="196"/>
      <c r="K67" s="199"/>
      <c r="L67" s="183"/>
      <c r="M67" s="662"/>
    </row>
    <row r="68" spans="1:13">
      <c r="B68" s="183"/>
      <c r="C68" s="157"/>
      <c r="D68" s="229"/>
      <c r="E68" s="131"/>
      <c r="F68" s="202"/>
      <c r="G68" s="367"/>
      <c r="H68" s="368"/>
      <c r="I68" s="302"/>
      <c r="J68" s="196"/>
      <c r="K68" s="199"/>
      <c r="L68" s="183"/>
      <c r="M68" s="662"/>
    </row>
    <row r="69" spans="1:13">
      <c r="B69" s="183"/>
      <c r="C69" s="157"/>
      <c r="D69" s="366" t="s">
        <v>1695</v>
      </c>
      <c r="E69" s="131"/>
      <c r="F69" s="202"/>
      <c r="G69" s="367"/>
      <c r="H69" s="368"/>
      <c r="I69" s="302"/>
      <c r="J69" s="196"/>
      <c r="K69" s="199"/>
      <c r="L69" s="183"/>
      <c r="M69" s="662"/>
    </row>
    <row r="70" spans="1:13">
      <c r="B70" s="183"/>
      <c r="C70" s="157"/>
      <c r="D70" s="229" t="s">
        <v>1642</v>
      </c>
      <c r="E70" s="131">
        <f>ROUNDUP(E51/2,0)</f>
        <v>0</v>
      </c>
      <c r="F70" s="202"/>
      <c r="G70" s="367" t="str">
        <f>"| "&amp;IF(E51=0,"No Relocated Drainage","Assume 1 new MH every 2 CB")</f>
        <v>| No Relocated Drainage</v>
      </c>
      <c r="H70" s="368"/>
      <c r="I70" s="302"/>
      <c r="J70" s="196"/>
      <c r="K70" s="199"/>
      <c r="L70" s="183"/>
      <c r="M70" s="662"/>
    </row>
    <row r="71" spans="1:13">
      <c r="B71" s="183"/>
      <c r="C71" s="157"/>
      <c r="D71" s="229" t="s">
        <v>1643</v>
      </c>
      <c r="E71" s="131">
        <f>ROUNDUP(E52/2,0)</f>
        <v>0</v>
      </c>
      <c r="F71" s="202"/>
      <c r="G71" s="367" t="str">
        <f>"| "&amp;IF(E52=0,"No Relocated Drainage","Assume 1 new MH every 2 CB")</f>
        <v>| No Relocated Drainage</v>
      </c>
      <c r="H71" s="368"/>
      <c r="I71" s="302"/>
      <c r="J71" s="196"/>
      <c r="K71" s="199"/>
      <c r="L71" s="183"/>
      <c r="M71" s="662"/>
    </row>
    <row r="72" spans="1:13">
      <c r="B72" s="183"/>
      <c r="C72" s="157"/>
      <c r="D72" s="229" t="s">
        <v>1644</v>
      </c>
      <c r="E72" s="131">
        <f>ROUNDUP(E53/2,0)</f>
        <v>0</v>
      </c>
      <c r="F72" s="202"/>
      <c r="G72" s="367" t="str">
        <f>"| "&amp;IF(E53=0,"No Relocated Drainage","Assume 1 new MH every 2 CB")</f>
        <v>| No Relocated Drainage</v>
      </c>
      <c r="H72" s="368"/>
      <c r="I72" s="302"/>
      <c r="J72" s="196"/>
      <c r="K72" s="199"/>
      <c r="L72" s="183"/>
      <c r="M72" s="662"/>
    </row>
    <row r="73" spans="1:13">
      <c r="B73" s="183"/>
      <c r="C73" s="157"/>
      <c r="D73" s="229" t="s">
        <v>1645</v>
      </c>
      <c r="E73" s="373">
        <f>ROUNDUP(E54/2,0)</f>
        <v>0</v>
      </c>
      <c r="F73" s="202"/>
      <c r="G73" s="367" t="str">
        <f>"| "&amp;IF(E54=0,"No Relocated Drainage","Assume 1 new MH every 2 CB")</f>
        <v>| No Relocated Drainage</v>
      </c>
      <c r="H73" s="368"/>
      <c r="I73" s="302"/>
      <c r="J73" s="196"/>
      <c r="K73" s="199"/>
      <c r="L73" s="183"/>
      <c r="M73" s="662"/>
    </row>
    <row r="74" spans="1:13">
      <c r="B74" s="183"/>
      <c r="C74" s="157"/>
      <c r="D74" s="229" t="s">
        <v>1719</v>
      </c>
      <c r="E74" s="131">
        <f>SUM(E70:E73)</f>
        <v>0</v>
      </c>
      <c r="F74" s="202"/>
      <c r="G74" s="367"/>
      <c r="H74" s="368"/>
      <c r="I74" s="302"/>
      <c r="J74" s="196"/>
      <c r="K74" s="199"/>
      <c r="L74" s="183"/>
      <c r="M74" s="662"/>
    </row>
    <row r="75" spans="1:13" ht="15.75" thickBot="1">
      <c r="B75" s="183"/>
      <c r="C75" s="157"/>
      <c r="D75" s="229"/>
      <c r="E75" s="131"/>
      <c r="F75" s="202"/>
      <c r="G75" s="375"/>
      <c r="H75" s="368"/>
      <c r="I75" s="302"/>
      <c r="J75" s="196"/>
      <c r="K75" s="199"/>
      <c r="L75" s="183"/>
      <c r="M75" s="662"/>
    </row>
    <row r="76" spans="1:13" ht="15.75" thickBot="1">
      <c r="B76" s="183"/>
      <c r="C76" s="183"/>
      <c r="D76" s="229" t="s">
        <v>1877</v>
      </c>
      <c r="E76" s="376">
        <f>E67+E74</f>
        <v>0</v>
      </c>
      <c r="F76" s="196"/>
      <c r="G76" s="196"/>
      <c r="H76" s="196"/>
      <c r="I76" s="196"/>
      <c r="J76" s="196"/>
      <c r="K76" s="286"/>
      <c r="L76" s="183"/>
      <c r="M76" s="662"/>
    </row>
    <row r="77" spans="1:13">
      <c r="B77" s="183"/>
      <c r="C77" s="157"/>
      <c r="D77" s="122"/>
      <c r="E77" s="122"/>
      <c r="F77" s="122"/>
      <c r="G77" s="200"/>
      <c r="H77" s="224"/>
      <c r="I77" s="200"/>
      <c r="J77" s="154"/>
      <c r="K77" s="199"/>
      <c r="L77" s="183"/>
      <c r="M77" s="662"/>
    </row>
    <row r="78" spans="1:13">
      <c r="A78" s="868" t="str">
        <f ca="1">IFERROR(HYPERLINK("#"&amp;"ProjectEstimate!A"&amp;(8+MATCH($C78,ProjectEstimate!$A$9:$A$145,0)),CONCATENATE("Go to ",$C78))," ")</f>
        <v xml:space="preserve"> </v>
      </c>
      <c r="B78" s="183"/>
      <c r="C78" s="157">
        <v>220</v>
      </c>
      <c r="D78" s="1227" t="s">
        <v>172</v>
      </c>
      <c r="E78" s="1227"/>
      <c r="F78" s="1227"/>
      <c r="G78" s="1227"/>
      <c r="H78" s="152">
        <f>ROUNDUP(E84,0)</f>
        <v>0</v>
      </c>
      <c r="I78" s="153" t="s">
        <v>2</v>
      </c>
      <c r="J78" s="154">
        <f ca="1">IF(ISBLANK(M78),_xlfn.XLOOKUP(C78,Output[Item '#],Output[Unit Price (Max or Override)]),M78)</f>
        <v>534</v>
      </c>
      <c r="K78" s="199">
        <f ca="1">ROUND(H78*J78, -1)</f>
        <v>0</v>
      </c>
      <c r="L78" s="183"/>
      <c r="M78" s="869"/>
    </row>
    <row r="79" spans="1:13">
      <c r="B79" s="183"/>
      <c r="C79" s="183"/>
      <c r="D79" s="226"/>
      <c r="E79" s="226"/>
      <c r="F79" s="226"/>
      <c r="G79" s="285"/>
      <c r="H79" s="285"/>
      <c r="I79" s="365" t="str">
        <f>"(round up)"</f>
        <v>(round up)</v>
      </c>
      <c r="J79" s="228"/>
      <c r="K79" s="286"/>
      <c r="L79" s="183"/>
      <c r="M79" s="662"/>
    </row>
    <row r="80" spans="1:13">
      <c r="B80" s="183"/>
      <c r="C80" s="183"/>
      <c r="D80" s="229" t="s">
        <v>1642</v>
      </c>
      <c r="E80" s="131">
        <f>ROUNDUP((G80/H80)*I80,0)</f>
        <v>0</v>
      </c>
      <c r="F80" s="202" t="s">
        <v>66</v>
      </c>
      <c r="G80" s="367">
        <f>IF(K10=HIDDEN!$F$17,I10,0)</f>
        <v>0</v>
      </c>
      <c r="H80" s="368">
        <v>250</v>
      </c>
      <c r="I80" s="302">
        <v>3</v>
      </c>
      <c r="J80" s="196" t="str">
        <f>"| "&amp;IF(K10=HIDDEN!$F$17,"Assume 3 adj every 250'","Drainage not adjusted")</f>
        <v>| Drainage not adjusted</v>
      </c>
      <c r="K80" s="286"/>
      <c r="L80" s="183"/>
      <c r="M80" s="662"/>
    </row>
    <row r="81" spans="1:13">
      <c r="B81" s="183"/>
      <c r="C81" s="183"/>
      <c r="D81" s="229" t="s">
        <v>1643</v>
      </c>
      <c r="E81" s="131">
        <f>ROUNDUP((G81/H81)*I81,0)</f>
        <v>0</v>
      </c>
      <c r="F81" s="202" t="s">
        <v>66</v>
      </c>
      <c r="G81" s="367">
        <f>IF(K11=HIDDEN!$F$17,I11,0)</f>
        <v>0</v>
      </c>
      <c r="H81" s="368">
        <v>250</v>
      </c>
      <c r="I81" s="302">
        <v>3</v>
      </c>
      <c r="J81" s="196" t="str">
        <f>"| "&amp;IF(K11=HIDDEN!$F$17,"Assume 3 adj every 250'","Drainage not adjusted")</f>
        <v>| Drainage not adjusted</v>
      </c>
      <c r="K81" s="286"/>
      <c r="L81" s="183"/>
      <c r="M81" s="662"/>
    </row>
    <row r="82" spans="1:13">
      <c r="B82" s="183"/>
      <c r="C82" s="183"/>
      <c r="D82" s="229" t="s">
        <v>1644</v>
      </c>
      <c r="E82" s="131">
        <f>ROUNDUP((G82/H82)*I82,0)</f>
        <v>0</v>
      </c>
      <c r="F82" s="202" t="s">
        <v>66</v>
      </c>
      <c r="G82" s="367">
        <f>IF(K12=HIDDEN!$F$17,I12,0)</f>
        <v>0</v>
      </c>
      <c r="H82" s="368">
        <v>250</v>
      </c>
      <c r="I82" s="302">
        <v>3</v>
      </c>
      <c r="J82" s="196" t="str">
        <f>"| "&amp;IF(K12=HIDDEN!$F$17,"Assume 3 adj every 250'","Drainage not adjusted")</f>
        <v>| Drainage not adjusted</v>
      </c>
      <c r="K82" s="286"/>
      <c r="L82" s="183"/>
      <c r="M82" s="662"/>
    </row>
    <row r="83" spans="1:13" ht="15.75" thickBot="1">
      <c r="B83" s="183"/>
      <c r="C83" s="183"/>
      <c r="D83" s="229" t="s">
        <v>1645</v>
      </c>
      <c r="E83" s="373">
        <f>ROUNDUP((G83/H83)*I83,0)</f>
        <v>0</v>
      </c>
      <c r="F83" s="202" t="s">
        <v>66</v>
      </c>
      <c r="G83" s="367">
        <f>IF(K13=HIDDEN!$F$17,I13,0)</f>
        <v>0</v>
      </c>
      <c r="H83" s="368">
        <v>250</v>
      </c>
      <c r="I83" s="302">
        <v>3</v>
      </c>
      <c r="J83" s="196" t="str">
        <f>"| "&amp;IF(K13=HIDDEN!$F$17,"Assume 3 adj every 250'","Drainage not adjusted")</f>
        <v>| Drainage not adjusted</v>
      </c>
      <c r="K83" s="286"/>
      <c r="L83" s="183"/>
      <c r="M83" s="662"/>
    </row>
    <row r="84" spans="1:13" ht="15.75" thickBot="1">
      <c r="B84" s="183"/>
      <c r="C84" s="183"/>
      <c r="D84" s="229" t="s">
        <v>1877</v>
      </c>
      <c r="E84" s="377">
        <f>SUM(E80:E83)</f>
        <v>0</v>
      </c>
      <c r="F84" s="183"/>
      <c r="G84" s="131"/>
      <c r="H84" s="378"/>
      <c r="I84" s="131"/>
      <c r="J84" s="183"/>
      <c r="K84" s="286"/>
      <c r="L84" s="183"/>
      <c r="M84" s="662"/>
    </row>
    <row r="85" spans="1:13">
      <c r="B85" s="183"/>
      <c r="C85" s="183"/>
      <c r="D85" s="131"/>
      <c r="E85" s="131"/>
      <c r="F85" s="131"/>
      <c r="G85" s="191"/>
      <c r="H85" s="191"/>
      <c r="I85" s="226"/>
      <c r="J85" s="228"/>
      <c r="K85" s="286"/>
      <c r="L85" s="183"/>
      <c r="M85" s="662"/>
    </row>
    <row r="86" spans="1:13">
      <c r="A86" s="868" t="str">
        <f ca="1">IFERROR(HYPERLINK("#"&amp;"ProjectEstimate!A"&amp;(8+MATCH($C86,ProjectEstimate!$A$9:$A$145,0)),CONCATENATE("Go to ",$C86))," ")</f>
        <v xml:space="preserve"> </v>
      </c>
      <c r="B86" s="183"/>
      <c r="C86" s="157">
        <v>220.3</v>
      </c>
      <c r="D86" s="1227" t="s">
        <v>174</v>
      </c>
      <c r="E86" s="1227"/>
      <c r="F86" s="1227"/>
      <c r="G86" s="1227"/>
      <c r="H86" s="152">
        <f>ROUNDUP(E90,0)</f>
        <v>0</v>
      </c>
      <c r="I86" s="153" t="s">
        <v>2</v>
      </c>
      <c r="J86" s="154">
        <f ca="1">IF(ISBLANK(M86),_xlfn.XLOOKUP(C86,Output[Item '#],Output[Unit Price (Max or Override)]),M86)</f>
        <v>1244</v>
      </c>
      <c r="K86" s="199">
        <f ca="1">ROUND(H86*J86, -1)</f>
        <v>0</v>
      </c>
      <c r="L86" s="183"/>
      <c r="M86" s="869"/>
    </row>
    <row r="87" spans="1:13">
      <c r="B87" s="183"/>
      <c r="C87" s="183"/>
      <c r="D87" s="226"/>
      <c r="E87" s="226"/>
      <c r="F87" s="226"/>
      <c r="G87" s="285"/>
      <c r="H87" s="285"/>
      <c r="I87" s="365" t="str">
        <f>"(round up)"</f>
        <v>(round up)</v>
      </c>
      <c r="J87" s="228"/>
      <c r="K87" s="286"/>
      <c r="L87" s="183"/>
      <c r="M87" s="662"/>
    </row>
    <row r="88" spans="1:13">
      <c r="B88" s="183"/>
      <c r="C88" s="183"/>
      <c r="D88" s="229" t="s">
        <v>1647</v>
      </c>
      <c r="E88" s="193">
        <f>E55</f>
        <v>0</v>
      </c>
      <c r="F88" s="226"/>
      <c r="G88" s="370" t="s">
        <v>1830</v>
      </c>
      <c r="H88" s="285"/>
      <c r="I88" s="285"/>
      <c r="J88" s="228"/>
      <c r="K88" s="286"/>
      <c r="L88" s="183"/>
      <c r="M88" s="662"/>
    </row>
    <row r="89" spans="1:13" ht="15.75" thickBot="1">
      <c r="B89" s="183"/>
      <c r="C89" s="157"/>
      <c r="D89" s="229" t="s">
        <v>1646</v>
      </c>
      <c r="E89" s="369">
        <f>SUMIF(J10:J13,HIDDEN!$F$15,DRAINAGE!H10:H13)/2</f>
        <v>0</v>
      </c>
      <c r="F89" s="202"/>
      <c r="G89" s="370" t="s">
        <v>3878</v>
      </c>
      <c r="H89" s="159"/>
      <c r="I89" s="302"/>
      <c r="J89" s="159"/>
      <c r="K89" s="199"/>
      <c r="L89" s="183"/>
      <c r="M89" s="662"/>
    </row>
    <row r="90" spans="1:13" ht="15.75" thickBot="1">
      <c r="B90" s="183"/>
      <c r="C90" s="183"/>
      <c r="D90" s="229" t="s">
        <v>1877</v>
      </c>
      <c r="E90" s="376">
        <f>SUM(E88:E89)</f>
        <v>0</v>
      </c>
      <c r="F90" s="183"/>
      <c r="G90" s="183"/>
      <c r="H90" s="183"/>
      <c r="I90" s="183"/>
      <c r="J90" s="196"/>
      <c r="K90" s="286"/>
      <c r="L90" s="183"/>
      <c r="M90" s="662"/>
    </row>
    <row r="91" spans="1:13">
      <c r="B91" s="183"/>
      <c r="C91" s="183"/>
      <c r="D91" s="183"/>
      <c r="E91" s="183"/>
      <c r="F91" s="183"/>
      <c r="G91" s="183"/>
      <c r="H91" s="183"/>
      <c r="I91" s="183"/>
      <c r="J91" s="183"/>
      <c r="K91" s="286"/>
      <c r="L91" s="183"/>
      <c r="M91" s="662"/>
    </row>
    <row r="92" spans="1:13">
      <c r="A92" s="868" t="str">
        <f ca="1">IFERROR(HYPERLINK("#"&amp;"ProjectEstimate!A"&amp;(8+MATCH($C92,ProjectEstimate!$A$9:$A$145,0)),CONCATENATE("Go to ",$C92))," ")</f>
        <v xml:space="preserve"> </v>
      </c>
      <c r="B92" s="183"/>
      <c r="C92" s="157">
        <v>220.7</v>
      </c>
      <c r="D92" s="1227" t="s">
        <v>177</v>
      </c>
      <c r="E92" s="1227"/>
      <c r="F92" s="1227"/>
      <c r="G92" s="1227"/>
      <c r="H92" s="152">
        <f>E94</f>
        <v>0</v>
      </c>
      <c r="I92" s="153" t="s">
        <v>2</v>
      </c>
      <c r="J92" s="154">
        <f ca="1">IF(ISBLANK(M92),_xlfn.XLOOKUP(C92,Output[Item '#],Output[Unit Price (Max or Override)]),M92)</f>
        <v>521</v>
      </c>
      <c r="K92" s="199">
        <f ca="1">ROUND(H92*J92, -1)</f>
        <v>0</v>
      </c>
      <c r="L92" s="183"/>
      <c r="M92" s="869"/>
    </row>
    <row r="93" spans="1:13" ht="15.75" thickBot="1">
      <c r="B93" s="183"/>
      <c r="C93" s="183"/>
      <c r="D93" s="226"/>
      <c r="E93" s="226"/>
      <c r="F93" s="226"/>
      <c r="G93" s="285"/>
      <c r="H93" s="285"/>
      <c r="I93" s="365" t="str">
        <f>"(round up)"</f>
        <v>(round up)</v>
      </c>
      <c r="J93" s="228"/>
      <c r="K93" s="286"/>
      <c r="L93" s="183"/>
      <c r="M93" s="662"/>
    </row>
    <row r="94" spans="1:13" ht="15.75" thickBot="1">
      <c r="B94" s="183"/>
      <c r="C94" s="183"/>
      <c r="D94" s="229" t="s">
        <v>1877</v>
      </c>
      <c r="E94" s="376">
        <f>E84/2</f>
        <v>0</v>
      </c>
      <c r="F94" s="183"/>
      <c r="G94" s="196" t="s">
        <v>3668</v>
      </c>
      <c r="H94" s="183"/>
      <c r="I94" s="183"/>
      <c r="J94" s="159"/>
      <c r="K94" s="286"/>
      <c r="L94" s="183"/>
      <c r="M94" s="662"/>
    </row>
    <row r="95" spans="1:13">
      <c r="B95" s="183"/>
      <c r="C95" s="183"/>
      <c r="D95" s="183"/>
      <c r="E95" s="183"/>
      <c r="F95" s="183"/>
      <c r="G95" s="183"/>
      <c r="H95" s="183"/>
      <c r="I95" s="183"/>
      <c r="J95" s="183"/>
      <c r="K95" s="286"/>
      <c r="L95" s="183"/>
      <c r="M95" s="662"/>
    </row>
    <row r="96" spans="1:13">
      <c r="B96" s="183"/>
      <c r="C96" s="183"/>
      <c r="D96" s="131"/>
      <c r="E96" s="131"/>
      <c r="F96" s="131"/>
      <c r="G96" s="191"/>
      <c r="H96" s="191"/>
      <c r="I96" s="226"/>
      <c r="J96" s="228"/>
      <c r="K96" s="286"/>
      <c r="L96" s="183"/>
      <c r="M96" s="662"/>
    </row>
    <row r="97" spans="1:13" ht="26.25" customHeight="1">
      <c r="A97" s="868" t="str">
        <f ca="1">IFERROR(HYPERLINK("#"&amp;"ProjectEstimate!A"&amp;(8+MATCH($C97,ProjectEstimate!$A$9:$A$145,0)),CONCATENATE("Go to ",$C97))," ")</f>
        <v xml:space="preserve"> </v>
      </c>
      <c r="B97" s="183"/>
      <c r="C97" s="157">
        <v>222.3</v>
      </c>
      <c r="D97" s="1248" t="s">
        <v>29</v>
      </c>
      <c r="E97" s="1248"/>
      <c r="F97" s="1248"/>
      <c r="G97" s="1248"/>
      <c r="H97" s="152">
        <f>E102</f>
        <v>0</v>
      </c>
      <c r="I97" s="153" t="s">
        <v>2</v>
      </c>
      <c r="J97" s="154">
        <f ca="1">IF(ISBLANK(M97),_xlfn.XLOOKUP(C97,Output[Item '#],Output[Unit Price (Max or Override)]),M97)</f>
        <v>1149</v>
      </c>
      <c r="K97" s="199">
        <f ca="1">ROUND(H97*J97, -1)</f>
        <v>0</v>
      </c>
      <c r="L97" s="183"/>
      <c r="M97" s="869"/>
    </row>
    <row r="98" spans="1:13">
      <c r="B98" s="183"/>
      <c r="C98" s="157"/>
      <c r="D98" s="157"/>
      <c r="E98" s="157"/>
      <c r="F98" s="157"/>
      <c r="G98" s="157"/>
      <c r="H98" s="152"/>
      <c r="I98" s="153"/>
      <c r="J98" s="154"/>
      <c r="K98" s="199"/>
      <c r="L98" s="183"/>
      <c r="M98" s="662"/>
    </row>
    <row r="99" spans="1:13">
      <c r="B99" s="183"/>
      <c r="C99" s="157"/>
      <c r="D99" s="229" t="s">
        <v>1263</v>
      </c>
      <c r="E99" s="193">
        <f>E57</f>
        <v>0</v>
      </c>
      <c r="F99" s="157"/>
      <c r="G99" s="196" t="s">
        <v>3822</v>
      </c>
      <c r="H99" s="152"/>
      <c r="I99" s="153"/>
      <c r="J99" s="154"/>
      <c r="K99" s="199"/>
      <c r="L99" s="183"/>
      <c r="M99" s="662"/>
    </row>
    <row r="100" spans="1:13">
      <c r="B100" s="183"/>
      <c r="C100" s="157"/>
      <c r="D100" s="229" t="s">
        <v>1875</v>
      </c>
      <c r="E100" s="193">
        <f>E76</f>
        <v>0</v>
      </c>
      <c r="F100" s="157"/>
      <c r="G100" s="196" t="s">
        <v>3823</v>
      </c>
      <c r="H100" s="152"/>
      <c r="I100" s="153"/>
      <c r="J100" s="154"/>
      <c r="K100" s="199"/>
      <c r="L100" s="183"/>
      <c r="M100" s="662"/>
    </row>
    <row r="101" spans="1:13" ht="15.75" thickBot="1">
      <c r="B101" s="183"/>
      <c r="C101" s="157"/>
      <c r="D101" s="229" t="s">
        <v>1876</v>
      </c>
      <c r="E101" s="369">
        <f>E90</f>
        <v>0</v>
      </c>
      <c r="F101" s="157"/>
      <c r="G101" s="196" t="s">
        <v>3824</v>
      </c>
      <c r="H101" s="152"/>
      <c r="I101" s="153"/>
      <c r="J101" s="154"/>
      <c r="K101" s="199"/>
      <c r="L101" s="183"/>
      <c r="M101" s="662"/>
    </row>
    <row r="102" spans="1:13" ht="15.75" thickBot="1">
      <c r="B102" s="183"/>
      <c r="C102" s="157"/>
      <c r="D102" s="229" t="s">
        <v>1877</v>
      </c>
      <c r="E102" s="372">
        <f>SUM(E99:E101)</f>
        <v>0</v>
      </c>
      <c r="F102" s="157"/>
      <c r="G102" s="157"/>
      <c r="H102" s="152"/>
      <c r="I102" s="153"/>
      <c r="J102" s="154"/>
      <c r="K102" s="199"/>
      <c r="L102" s="183"/>
      <c r="M102" s="662"/>
    </row>
    <row r="103" spans="1:13">
      <c r="B103" s="183"/>
      <c r="C103" s="157"/>
      <c r="D103" s="122"/>
      <c r="E103" s="122"/>
      <c r="F103" s="122"/>
      <c r="G103" s="200"/>
      <c r="H103" s="224"/>
      <c r="I103" s="200"/>
      <c r="J103" s="154"/>
      <c r="K103" s="199"/>
      <c r="L103" s="183"/>
      <c r="M103" s="662"/>
    </row>
    <row r="104" spans="1:13" ht="30.75" customHeight="1">
      <c r="A104" s="868" t="str">
        <f ca="1">IFERROR(HYPERLINK("#"&amp;"ProjectEstimate!A"&amp;(8+MATCH($C104,ProjectEstimate!$A$9:$A$145,0)),CONCATENATE("Go to ",$C104))," ")</f>
        <v xml:space="preserve"> </v>
      </c>
      <c r="B104" s="183"/>
      <c r="C104" s="157">
        <v>223.2</v>
      </c>
      <c r="D104" s="1248" t="s">
        <v>185</v>
      </c>
      <c r="E104" s="1248"/>
      <c r="F104" s="1248"/>
      <c r="G104" s="1248"/>
      <c r="H104" s="152">
        <f>ROUNDUP(H107,0)</f>
        <v>0</v>
      </c>
      <c r="I104" s="153" t="s">
        <v>2</v>
      </c>
      <c r="J104" s="154">
        <f ca="1">IF(ISBLANK(M104),_xlfn.XLOOKUP(C104,Output[Item '#],Output[Unit Price (Max or Override)]),M104)</f>
        <v>111</v>
      </c>
      <c r="K104" s="199">
        <f ca="1">ROUND(H104*J104,-1)</f>
        <v>0</v>
      </c>
      <c r="L104" s="183"/>
      <c r="M104" s="869"/>
    </row>
    <row r="105" spans="1:13" ht="15.75" thickBot="1">
      <c r="B105" s="183"/>
      <c r="C105" s="157"/>
      <c r="D105" s="157"/>
      <c r="E105" s="157"/>
      <c r="F105" s="157"/>
      <c r="G105" s="157"/>
      <c r="H105" s="152"/>
      <c r="I105" s="153"/>
      <c r="J105" s="154"/>
      <c r="K105" s="199"/>
      <c r="L105" s="183"/>
      <c r="M105" s="662"/>
    </row>
    <row r="106" spans="1:13" ht="15.75" thickBot="1">
      <c r="B106" s="183"/>
      <c r="C106" s="157"/>
      <c r="D106" s="229" t="s">
        <v>1877</v>
      </c>
      <c r="E106" s="376">
        <f>E90</f>
        <v>0</v>
      </c>
      <c r="F106" s="183"/>
      <c r="G106" s="196" t="s">
        <v>1874</v>
      </c>
      <c r="H106" s="224"/>
      <c r="I106" s="200"/>
      <c r="J106" s="154"/>
      <c r="K106" s="199"/>
      <c r="L106" s="183"/>
      <c r="M106" s="662"/>
    </row>
    <row r="107" spans="1:13">
      <c r="B107" s="183"/>
      <c r="C107" s="157"/>
      <c r="D107" s="122"/>
      <c r="E107" s="122"/>
      <c r="F107" s="122"/>
      <c r="G107" s="200"/>
      <c r="H107" s="224"/>
      <c r="I107" s="200"/>
      <c r="J107" s="154"/>
      <c r="K107" s="199"/>
      <c r="L107" s="183"/>
      <c r="M107" s="662"/>
    </row>
    <row r="108" spans="1:13">
      <c r="A108" s="868" t="str">
        <f ca="1">IFERROR(HYPERLINK("#"&amp;"ProjectEstimate!A"&amp;(8+MATCH($C108,ProjectEstimate!$A$9:$A$145,0)),CONCATENATE("Go to ",$C108))," ")</f>
        <v xml:space="preserve"> </v>
      </c>
      <c r="B108" s="183"/>
      <c r="C108" s="157">
        <v>227.3</v>
      </c>
      <c r="D108" s="1227" t="s">
        <v>189</v>
      </c>
      <c r="E108" s="1227"/>
      <c r="F108" s="1227"/>
      <c r="G108" s="1227"/>
      <c r="H108" s="152">
        <f>ROUNDUP(E115,-1)</f>
        <v>0</v>
      </c>
      <c r="I108" s="153" t="s">
        <v>4</v>
      </c>
      <c r="J108" s="154">
        <f ca="1">IF(ISBLANK(M108),_xlfn.XLOOKUP(C108,Output[Item '#],Output[Unit Price (Max or Override)]),M108)</f>
        <v>346</v>
      </c>
      <c r="K108" s="199">
        <f ca="1">ROUND(H108*J108, -1)</f>
        <v>0</v>
      </c>
      <c r="L108" s="183"/>
      <c r="M108" s="869"/>
    </row>
    <row r="109" spans="1:13">
      <c r="B109" s="183"/>
      <c r="C109" s="157"/>
      <c r="D109" s="122"/>
      <c r="E109" s="122"/>
      <c r="F109" s="122"/>
      <c r="G109" s="200"/>
      <c r="H109" s="224"/>
      <c r="I109" s="200"/>
      <c r="J109" s="154"/>
      <c r="K109" s="199"/>
      <c r="L109" s="183"/>
      <c r="M109" s="662"/>
    </row>
    <row r="110" spans="1:13">
      <c r="B110" s="183"/>
      <c r="C110" s="157"/>
      <c r="D110" s="366" t="s">
        <v>1695</v>
      </c>
      <c r="E110" s="122"/>
      <c r="F110" s="122"/>
      <c r="G110" s="200"/>
      <c r="H110" s="224"/>
      <c r="I110" s="200"/>
      <c r="J110" s="154"/>
      <c r="K110" s="199"/>
      <c r="L110" s="183"/>
      <c r="M110" s="662"/>
    </row>
    <row r="111" spans="1:13">
      <c r="B111" s="183"/>
      <c r="C111" s="157"/>
      <c r="D111" s="229" t="s">
        <v>1642</v>
      </c>
      <c r="E111" s="458">
        <f>IF(AND(J10=HIDDEN!$F$15)*OR(K10=HIDDEN!$F$18,K10=HIDDEN!$F$17),E80*2,0)</f>
        <v>0</v>
      </c>
      <c r="F111" s="285"/>
      <c r="G111" s="196" t="str">
        <f>"| "&amp;IF(E111=0,"No cleaning of CBs and MHs","Assume 2 CY for every CB and MH adjusted of existing closed drainage system.")</f>
        <v>| No cleaning of CBs and MHs</v>
      </c>
      <c r="H111" s="224"/>
      <c r="I111" s="200"/>
      <c r="J111" s="154"/>
      <c r="K111" s="199"/>
      <c r="L111" s="183"/>
      <c r="M111" s="662"/>
    </row>
    <row r="112" spans="1:13">
      <c r="B112" s="183"/>
      <c r="C112" s="157"/>
      <c r="D112" s="229" t="s">
        <v>1643</v>
      </c>
      <c r="E112" s="458">
        <f>IF(AND(J11=HIDDEN!$F$15)*OR(K11=HIDDEN!$F$18,K11=HIDDEN!$F$17),E81*2,0)</f>
        <v>0</v>
      </c>
      <c r="F112" s="285"/>
      <c r="G112" s="196" t="str">
        <f>"| "&amp;IF(E112=0,"No cleaning of CBs and MHs","Assume 2 CY for every CB and MH adjusted of existing closed drainage system.")</f>
        <v>| No cleaning of CBs and MHs</v>
      </c>
      <c r="H112" s="224"/>
      <c r="I112" s="200"/>
      <c r="J112" s="154"/>
      <c r="K112" s="199"/>
      <c r="L112" s="183"/>
      <c r="M112" s="662"/>
    </row>
    <row r="113" spans="1:14">
      <c r="B113" s="183"/>
      <c r="C113" s="157"/>
      <c r="D113" s="229" t="s">
        <v>1644</v>
      </c>
      <c r="E113" s="458">
        <f>IF(AND(J12=HIDDEN!$F$15)*OR(K12=HIDDEN!$F$18,K12=HIDDEN!$F$17),E82*2,0)</f>
        <v>0</v>
      </c>
      <c r="F113" s="285"/>
      <c r="G113" s="196" t="str">
        <f>"| "&amp;IF(E113=0,"No cleaning of CBs and MHs","Assume 2 CY for every CB and MH adjusted of existing closed drainage system.")</f>
        <v>| No cleaning of CBs and MHs</v>
      </c>
      <c r="H113" s="224"/>
      <c r="I113" s="200"/>
      <c r="J113" s="154"/>
      <c r="K113" s="199"/>
      <c r="L113" s="183"/>
      <c r="M113" s="662"/>
    </row>
    <row r="114" spans="1:14">
      <c r="B114" s="183"/>
      <c r="C114" s="157"/>
      <c r="D114" s="229" t="s">
        <v>1645</v>
      </c>
      <c r="E114" s="458">
        <f>IF(AND(J13=HIDDEN!$F$15)*OR(K13=HIDDEN!$F$18,K13=HIDDEN!$F$17),E83*2,0)</f>
        <v>0</v>
      </c>
      <c r="F114" s="285"/>
      <c r="G114" s="196" t="str">
        <f>"| "&amp;IF(E114=0,"No cleaning of CBs and MHs","Assume 2 CY for every CB and MH adjusted of existing closed drainage system.")</f>
        <v>| No cleaning of CBs and MHs</v>
      </c>
      <c r="H114" s="224"/>
      <c r="I114" s="200"/>
      <c r="J114" s="154"/>
      <c r="K114" s="199"/>
      <c r="L114" s="183"/>
      <c r="M114" s="662"/>
    </row>
    <row r="115" spans="1:14">
      <c r="B115" s="183"/>
      <c r="C115" s="157"/>
      <c r="D115" s="229" t="s">
        <v>1719</v>
      </c>
      <c r="E115" s="459">
        <f>SUM(E111:E114)</f>
        <v>0</v>
      </c>
      <c r="F115" s="285"/>
      <c r="G115" s="196"/>
      <c r="H115" s="224"/>
      <c r="I115" s="200"/>
      <c r="J115" s="154"/>
      <c r="K115" s="199"/>
      <c r="L115" s="183"/>
      <c r="M115" s="662"/>
    </row>
    <row r="116" spans="1:14">
      <c r="B116" s="183"/>
      <c r="C116" s="157"/>
      <c r="D116" s="122"/>
      <c r="E116" s="122"/>
      <c r="F116" s="122"/>
      <c r="G116" s="200"/>
      <c r="H116" s="224"/>
      <c r="I116" s="200"/>
      <c r="J116" s="154"/>
      <c r="K116" s="199"/>
      <c r="L116" s="183"/>
      <c r="M116" s="662"/>
    </row>
    <row r="117" spans="1:14">
      <c r="A117" s="868" t="str">
        <f ca="1">IFERROR(HYPERLINK("#"&amp;"ProjectEstimate!A"&amp;(8+MATCH($C117,ProjectEstimate!$A$9:$A$145,0)),CONCATENATE("Go to ",$C117))," ")</f>
        <v xml:space="preserve"> </v>
      </c>
      <c r="B117" s="183"/>
      <c r="C117" s="157">
        <v>227.31</v>
      </c>
      <c r="D117" s="1227" t="s">
        <v>190</v>
      </c>
      <c r="E117" s="1227"/>
      <c r="F117" s="1227"/>
      <c r="G117" s="1227"/>
      <c r="H117" s="152">
        <f>ROUNDUP(E124,-1)</f>
        <v>0</v>
      </c>
      <c r="I117" s="153" t="s">
        <v>17</v>
      </c>
      <c r="J117" s="154">
        <f ca="1">IF(ISBLANK(M117),_xlfn.XLOOKUP(C117,Output[Item '#],Output[Unit Price (Max or Override)]),M117)</f>
        <v>13</v>
      </c>
      <c r="K117" s="199">
        <f ca="1">ROUND(H117*J117, -1)</f>
        <v>0</v>
      </c>
      <c r="L117" s="183"/>
      <c r="M117" s="869"/>
    </row>
    <row r="118" spans="1:14">
      <c r="B118" s="183"/>
      <c r="C118" s="157"/>
      <c r="D118" s="122"/>
      <c r="E118" s="122"/>
      <c r="F118" s="122"/>
      <c r="G118" s="200"/>
      <c r="H118" s="224"/>
      <c r="I118" s="200"/>
      <c r="J118" s="154"/>
      <c r="K118" s="199"/>
      <c r="L118" s="183"/>
      <c r="M118" s="662"/>
    </row>
    <row r="119" spans="1:14">
      <c r="B119" s="183"/>
      <c r="C119" s="157"/>
      <c r="D119" s="366" t="s">
        <v>1695</v>
      </c>
      <c r="E119" s="122"/>
      <c r="F119" s="122"/>
      <c r="G119" s="200"/>
      <c r="H119" s="224"/>
      <c r="I119" s="200"/>
      <c r="J119" s="154"/>
      <c r="K119" s="199"/>
      <c r="L119" s="183"/>
      <c r="M119" s="662"/>
    </row>
    <row r="120" spans="1:14">
      <c r="B120" s="183"/>
      <c r="C120" s="157"/>
      <c r="D120" s="229" t="s">
        <v>1642</v>
      </c>
      <c r="E120" s="379">
        <f>IF(AND(J10=HIDDEN!$F$15)*OR(K10=HIDDEN!$F$18,K10=HIDDEN!$F$17),I10*0.3,0)</f>
        <v>0</v>
      </c>
      <c r="F120" s="285"/>
      <c r="G120" s="196" t="str">
        <f>"| "&amp;IF(E120=0,"No cleaning to existing closed drainage system","Assume 30% of roadway length for length of drainage pipe needing cleaning.")</f>
        <v>| No cleaning to existing closed drainage system</v>
      </c>
      <c r="H120" s="224"/>
      <c r="I120" s="200"/>
      <c r="J120" s="154"/>
      <c r="K120" s="199"/>
      <c r="L120" s="183"/>
      <c r="M120" s="662"/>
    </row>
    <row r="121" spans="1:14">
      <c r="B121" s="183"/>
      <c r="C121" s="157"/>
      <c r="D121" s="229" t="s">
        <v>1643</v>
      </c>
      <c r="E121" s="379">
        <f>IF(AND(J11=HIDDEN!$F$15)*OR(K11=HIDDEN!$F$18,K11=HIDDEN!$F$17),I11*0.3,0)</f>
        <v>0</v>
      </c>
      <c r="F121" s="285"/>
      <c r="G121" s="196" t="str">
        <f>"| "&amp;IF(E121=0,"No cleaning to existing closed drainage system","Assume 30% of roadway length for length of drainage pipe needing cleaning.")</f>
        <v>| No cleaning to existing closed drainage system</v>
      </c>
      <c r="H121" s="224"/>
      <c r="I121" s="200"/>
      <c r="J121" s="154"/>
      <c r="K121" s="199"/>
      <c r="L121" s="183"/>
      <c r="M121" s="662"/>
    </row>
    <row r="122" spans="1:14">
      <c r="B122" s="183"/>
      <c r="C122" s="157"/>
      <c r="D122" s="229" t="s">
        <v>1644</v>
      </c>
      <c r="E122" s="379">
        <f>IF(AND(J12=HIDDEN!$F$15)*OR(K12=HIDDEN!$F$18,K12=HIDDEN!$F$17),I12*0.3,0)</f>
        <v>0</v>
      </c>
      <c r="F122" s="285"/>
      <c r="G122" s="196" t="str">
        <f>"| "&amp;IF(E122=0,"No cleaning to existing closed drainage system","Assume 30% of roadway length for length of drainage pipe needing cleaning.")</f>
        <v>| No cleaning to existing closed drainage system</v>
      </c>
      <c r="H122" s="224"/>
      <c r="I122" s="200"/>
      <c r="J122" s="154"/>
      <c r="K122" s="199"/>
      <c r="L122" s="183"/>
      <c r="M122" s="662"/>
    </row>
    <row r="123" spans="1:14">
      <c r="B123" s="183"/>
      <c r="C123" s="157"/>
      <c r="D123" s="229" t="s">
        <v>1645</v>
      </c>
      <c r="E123" s="379">
        <f>IF(AND(J13=HIDDEN!$F$15)*OR(K13=HIDDEN!$F$18,K13=HIDDEN!$F$17),I13*0.3,0)</f>
        <v>0</v>
      </c>
      <c r="F123" s="285"/>
      <c r="G123" s="196" t="str">
        <f>"| "&amp;IF(E123=0,"No cleaning to existing closed drainage system","Assume 30% of roadway length for length of drainage pipe needing cleaning.")</f>
        <v>| No cleaning to existing closed drainage system</v>
      </c>
      <c r="H123" s="224"/>
      <c r="I123" s="200"/>
      <c r="J123" s="154"/>
      <c r="K123" s="199"/>
      <c r="L123" s="183"/>
      <c r="M123" s="662"/>
    </row>
    <row r="124" spans="1:14">
      <c r="B124" s="183"/>
      <c r="C124" s="157"/>
      <c r="D124" s="229" t="s">
        <v>1719</v>
      </c>
      <c r="E124" s="380">
        <f>SUM(E120:E123)</f>
        <v>0</v>
      </c>
      <c r="F124" s="285"/>
      <c r="G124" s="196"/>
      <c r="H124" s="224"/>
      <c r="I124" s="200"/>
      <c r="J124" s="154"/>
      <c r="K124" s="199"/>
      <c r="L124" s="183"/>
      <c r="M124" s="662"/>
    </row>
    <row r="125" spans="1:14">
      <c r="B125" s="183"/>
      <c r="C125" s="157"/>
      <c r="D125" s="122"/>
      <c r="E125" s="122"/>
      <c r="F125" s="122"/>
      <c r="G125" s="200"/>
      <c r="H125" s="224"/>
      <c r="I125" s="200"/>
      <c r="J125" s="154"/>
      <c r="K125" s="199"/>
      <c r="L125" s="183"/>
      <c r="M125" s="662"/>
    </row>
    <row r="126" spans="1:14">
      <c r="A126" s="868" t="str">
        <f ca="1">IFERROR(HYPERLINK("#"&amp;"ProjectEstimate!A"&amp;(8+MATCH($C126,ProjectEstimate!$A$9:$A$145,0)),CONCATENATE("Go to ",$C126))," ")</f>
        <v xml:space="preserve"> </v>
      </c>
      <c r="B126" s="183"/>
      <c r="C126" s="157">
        <v>241.12</v>
      </c>
      <c r="D126" s="1227" t="s">
        <v>211</v>
      </c>
      <c r="E126" s="1227"/>
      <c r="F126" s="1227"/>
      <c r="G126" s="1227"/>
      <c r="H126" s="152">
        <f>ROUNDUP(E142,0)</f>
        <v>0</v>
      </c>
      <c r="I126" s="153" t="s">
        <v>17</v>
      </c>
      <c r="J126" s="154">
        <f ca="1">IF(ISBLANK(M126),_xlfn.XLOOKUP(C126,Output[Item '#],Output[Unit Price (Max or Override)]),M126)</f>
        <v>137</v>
      </c>
      <c r="K126" s="199">
        <f ca="1">ROUND(H126*J126, -1)</f>
        <v>0</v>
      </c>
      <c r="L126" s="183"/>
      <c r="M126" s="869"/>
      <c r="N126" s="178"/>
    </row>
    <row r="127" spans="1:14">
      <c r="B127" s="183"/>
      <c r="C127" s="157"/>
      <c r="D127" s="157"/>
      <c r="E127" s="157"/>
      <c r="F127" s="157"/>
      <c r="G127" s="157"/>
      <c r="H127" s="152"/>
      <c r="I127" s="153"/>
      <c r="J127" s="154"/>
      <c r="K127" s="199"/>
      <c r="L127" s="183"/>
      <c r="M127" s="662"/>
    </row>
    <row r="128" spans="1:14">
      <c r="B128" s="183"/>
      <c r="C128" s="178"/>
      <c r="D128" s="366" t="s">
        <v>1694</v>
      </c>
      <c r="E128" s="157"/>
      <c r="F128" s="157"/>
      <c r="G128" s="157"/>
      <c r="H128" s="152"/>
      <c r="I128" s="153"/>
      <c r="J128" s="154"/>
      <c r="K128" s="199"/>
      <c r="L128" s="183"/>
      <c r="M128" s="662"/>
    </row>
    <row r="129" spans="1:14">
      <c r="B129" s="183"/>
      <c r="C129" s="157"/>
      <c r="D129" s="229" t="s">
        <v>1642</v>
      </c>
      <c r="E129" s="379">
        <f>IF(K10=HIDDEN!$F$19,I10,0)</f>
        <v>0</v>
      </c>
      <c r="F129" s="202"/>
      <c r="G129" s="196" t="str">
        <f>"| "&amp;IF(E129=0,"Not new closed drainage system","Assume project length for new closed drainage systems.'")</f>
        <v>| Not new closed drainage system</v>
      </c>
      <c r="H129" s="368"/>
      <c r="I129" s="302"/>
      <c r="J129" s="159"/>
      <c r="K129" s="199"/>
      <c r="L129" s="183"/>
      <c r="M129" s="662"/>
    </row>
    <row r="130" spans="1:14">
      <c r="B130" s="183"/>
      <c r="C130" s="157"/>
      <c r="D130" s="229" t="s">
        <v>1643</v>
      </c>
      <c r="E130" s="379">
        <f>IF(K11=HIDDEN!$F$19,I11,0)</f>
        <v>0</v>
      </c>
      <c r="F130" s="202"/>
      <c r="G130" s="196" t="str">
        <f>"| "&amp;IF(E130=0,"Not new closed drainage system","Assume project length for new closed drainage systems.'")</f>
        <v>| Not new closed drainage system</v>
      </c>
      <c r="H130" s="368"/>
      <c r="I130" s="302"/>
      <c r="J130" s="159"/>
      <c r="K130" s="199"/>
      <c r="L130" s="183"/>
      <c r="M130" s="662"/>
    </row>
    <row r="131" spans="1:14">
      <c r="B131" s="183"/>
      <c r="C131" s="157"/>
      <c r="D131" s="229" t="s">
        <v>1644</v>
      </c>
      <c r="E131" s="379">
        <f>IF(K12=HIDDEN!$F$19,I12,0)</f>
        <v>0</v>
      </c>
      <c r="F131" s="202"/>
      <c r="G131" s="196" t="str">
        <f>"| "&amp;IF(E131=0,"Not new closed drainage system","Assume project length for new closed drainage systems.'")</f>
        <v>| Not new closed drainage system</v>
      </c>
      <c r="H131" s="368"/>
      <c r="I131" s="302"/>
      <c r="J131" s="159"/>
      <c r="K131" s="199"/>
      <c r="L131" s="183"/>
      <c r="M131" s="662"/>
    </row>
    <row r="132" spans="1:14">
      <c r="B132" s="183"/>
      <c r="C132" s="157"/>
      <c r="D132" s="229" t="s">
        <v>1645</v>
      </c>
      <c r="E132" s="379">
        <f>IF(K13=HIDDEN!$F$19,I13,0)</f>
        <v>0</v>
      </c>
      <c r="F132" s="202"/>
      <c r="G132" s="196" t="str">
        <f>"| "&amp;IF(E132=0,"Not new closed drainage system","Assume project length for new closed drainage systems.'")</f>
        <v>| Not new closed drainage system</v>
      </c>
      <c r="H132" s="368"/>
      <c r="I132" s="302"/>
      <c r="J132" s="159"/>
      <c r="K132" s="199"/>
      <c r="L132" s="183"/>
      <c r="M132" s="662"/>
    </row>
    <row r="133" spans="1:14">
      <c r="B133" s="183"/>
      <c r="C133" s="157"/>
      <c r="D133" s="229" t="s">
        <v>1719</v>
      </c>
      <c r="E133" s="380">
        <f>SUM(E129:E132)</f>
        <v>0</v>
      </c>
      <c r="F133" s="202"/>
      <c r="G133" s="196"/>
      <c r="H133" s="368"/>
      <c r="I133" s="302"/>
      <c r="J133" s="159"/>
      <c r="K133" s="199"/>
      <c r="L133" s="183"/>
      <c r="M133" s="662"/>
    </row>
    <row r="134" spans="1:14">
      <c r="B134" s="183"/>
      <c r="C134" s="157"/>
      <c r="D134" s="229"/>
      <c r="E134" s="379"/>
      <c r="F134" s="202"/>
      <c r="G134" s="196"/>
      <c r="H134" s="368"/>
      <c r="I134" s="302"/>
      <c r="J134" s="159"/>
      <c r="K134" s="199"/>
      <c r="L134" s="183"/>
      <c r="M134" s="662"/>
    </row>
    <row r="135" spans="1:14">
      <c r="B135" s="183"/>
      <c r="C135" s="157"/>
      <c r="D135" s="366" t="s">
        <v>1695</v>
      </c>
      <c r="E135" s="379"/>
      <c r="F135" s="202"/>
      <c r="G135" s="196"/>
      <c r="H135" s="368"/>
      <c r="I135" s="302"/>
      <c r="J135" s="159"/>
      <c r="K135" s="199"/>
      <c r="L135" s="183"/>
      <c r="M135" s="662"/>
    </row>
    <row r="136" spans="1:14">
      <c r="B136" s="183"/>
      <c r="C136" s="157"/>
      <c r="D136" s="229" t="s">
        <v>1642</v>
      </c>
      <c r="E136" s="379">
        <f>IF(K10=HIDDEN!$F$18,(E51+E62)*10,0)</f>
        <v>0</v>
      </c>
      <c r="F136" s="202"/>
      <c r="G136" s="196" t="str">
        <f>"| "&amp;IF(E136=0,"No relocations to closed drainage system","Assume 10ft for every new CB and MH required to relocate closed drainage systems.")</f>
        <v>| No relocations to closed drainage system</v>
      </c>
      <c r="H136" s="368"/>
      <c r="I136" s="302"/>
      <c r="J136" s="159"/>
      <c r="K136" s="199"/>
      <c r="L136" s="183"/>
      <c r="M136" s="662"/>
    </row>
    <row r="137" spans="1:14">
      <c r="B137" s="183"/>
      <c r="C137" s="157"/>
      <c r="D137" s="229" t="s">
        <v>1643</v>
      </c>
      <c r="E137" s="379">
        <f>IF(K11=HIDDEN!$F$18,(E52+E63)*10,0)</f>
        <v>0</v>
      </c>
      <c r="F137" s="202"/>
      <c r="G137" s="196" t="str">
        <f>"| "&amp;IF(E137=0,"No relocations to closed drainage system","Assume 10ft for every new CB and MH required to relocate closed drainage systems.")</f>
        <v>| No relocations to closed drainage system</v>
      </c>
      <c r="H137" s="368"/>
      <c r="I137" s="302"/>
      <c r="J137" s="159"/>
      <c r="K137" s="199"/>
      <c r="L137" s="183"/>
      <c r="M137" s="662"/>
    </row>
    <row r="138" spans="1:14">
      <c r="B138" s="183"/>
      <c r="C138" s="157"/>
      <c r="D138" s="229" t="s">
        <v>1644</v>
      </c>
      <c r="E138" s="379">
        <f>IF(K12=HIDDEN!$F$18,(E53+E64)*10,0)</f>
        <v>0</v>
      </c>
      <c r="F138" s="202"/>
      <c r="G138" s="196" t="str">
        <f>"| "&amp;IF(E138=0,"No relocations to closed drainage system","Assume 10ft for every new CB and MH required to relocate closed drainage systems.")</f>
        <v>| No relocations to closed drainage system</v>
      </c>
      <c r="H138" s="368"/>
      <c r="I138" s="302"/>
      <c r="J138" s="159"/>
      <c r="K138" s="199"/>
      <c r="L138" s="183"/>
      <c r="M138" s="662"/>
    </row>
    <row r="139" spans="1:14">
      <c r="B139" s="183"/>
      <c r="C139" s="157"/>
      <c r="D139" s="229" t="s">
        <v>1645</v>
      </c>
      <c r="E139" s="379">
        <f>IF(K13=HIDDEN!$F$18,(E54+E65)*10,0)</f>
        <v>0</v>
      </c>
      <c r="F139" s="202"/>
      <c r="G139" s="196" t="str">
        <f>"| "&amp;IF(E139=0,"No relocations to closed drainage system","Assume 10ft for every new CB and MH required to relocate closed drainage systems.")</f>
        <v>| No relocations to closed drainage system</v>
      </c>
      <c r="H139" s="368"/>
      <c r="I139" s="302"/>
      <c r="J139" s="159"/>
      <c r="K139" s="199"/>
      <c r="L139" s="183"/>
      <c r="M139" s="662"/>
    </row>
    <row r="140" spans="1:14">
      <c r="B140" s="183"/>
      <c r="C140" s="157"/>
      <c r="D140" s="229" t="s">
        <v>1719</v>
      </c>
      <c r="E140" s="380">
        <f>SUM(E136:E139)</f>
        <v>0</v>
      </c>
      <c r="F140" s="202"/>
      <c r="G140" s="196"/>
      <c r="H140" s="368"/>
      <c r="I140" s="302"/>
      <c r="J140" s="159"/>
      <c r="K140" s="199"/>
      <c r="L140" s="183"/>
      <c r="M140" s="662"/>
    </row>
    <row r="141" spans="1:14" ht="15.75" thickBot="1">
      <c r="B141" s="183"/>
      <c r="C141" s="157"/>
      <c r="D141" s="229"/>
      <c r="E141" s="379"/>
      <c r="F141" s="202"/>
      <c r="G141" s="196"/>
      <c r="H141" s="368"/>
      <c r="I141" s="302"/>
      <c r="J141" s="159"/>
      <c r="K141" s="199"/>
      <c r="L141" s="183"/>
      <c r="M141" s="662"/>
    </row>
    <row r="142" spans="1:14" ht="15.75" thickBot="1">
      <c r="B142" s="183"/>
      <c r="C142" s="157"/>
      <c r="D142" s="234" t="s">
        <v>1654</v>
      </c>
      <c r="E142" s="236">
        <f>E133+E140</f>
        <v>0</v>
      </c>
      <c r="F142" s="122"/>
      <c r="G142" s="196"/>
      <c r="H142" s="183"/>
      <c r="I142" s="183"/>
      <c r="J142" s="159"/>
      <c r="K142" s="199"/>
      <c r="L142" s="183"/>
      <c r="M142" s="662"/>
    </row>
    <row r="143" spans="1:14">
      <c r="B143" s="183"/>
      <c r="C143" s="157"/>
      <c r="D143" s="234"/>
      <c r="E143" s="235"/>
      <c r="F143" s="122"/>
      <c r="G143" s="196"/>
      <c r="H143" s="183"/>
      <c r="I143" s="183"/>
      <c r="J143" s="159"/>
      <c r="K143" s="199"/>
      <c r="L143" s="183"/>
      <c r="M143" s="662"/>
    </row>
    <row r="144" spans="1:14">
      <c r="A144" s="868" t="str">
        <f ca="1">IFERROR(HYPERLINK("#"&amp;"ProjectEstimate!A"&amp;(8+MATCH($C144,ProjectEstimate!$A$9:$A$145,0)),CONCATENATE("Go to ",$C144))," ")</f>
        <v xml:space="preserve"> </v>
      </c>
      <c r="B144" s="183"/>
      <c r="C144" s="157">
        <v>241.18</v>
      </c>
      <c r="D144" s="1227" t="s">
        <v>213</v>
      </c>
      <c r="E144" s="1227"/>
      <c r="F144" s="1227"/>
      <c r="G144" s="1227"/>
      <c r="H144" s="152">
        <f>ROUNDUP(E151,0)</f>
        <v>0</v>
      </c>
      <c r="I144" s="153" t="s">
        <v>17</v>
      </c>
      <c r="J144" s="154">
        <f ca="1">IF(ISBLANK(M144),_xlfn.XLOOKUP(C144,Output[Item '#],Output[Unit Price (Max or Override)]),M144)</f>
        <v>183</v>
      </c>
      <c r="K144" s="199">
        <f ca="1">ROUND(H144*J144, -1)</f>
        <v>0</v>
      </c>
      <c r="L144" s="183"/>
      <c r="M144" s="869"/>
      <c r="N144" s="178"/>
    </row>
    <row r="145" spans="1:14">
      <c r="B145" s="183"/>
      <c r="C145" s="157"/>
      <c r="D145" s="234"/>
      <c r="E145" s="235"/>
      <c r="F145" s="122"/>
      <c r="G145" s="196"/>
      <c r="H145" s="183"/>
      <c r="I145" s="183"/>
      <c r="J145" s="159"/>
      <c r="K145" s="199"/>
      <c r="L145" s="183"/>
      <c r="M145" s="662"/>
    </row>
    <row r="146" spans="1:14">
      <c r="B146" s="183"/>
      <c r="C146" s="157"/>
      <c r="D146" s="366" t="s">
        <v>1899</v>
      </c>
      <c r="E146" s="235"/>
      <c r="F146" s="122"/>
      <c r="G146" s="196"/>
      <c r="H146" s="183"/>
      <c r="I146" s="183"/>
      <c r="J146" s="159"/>
      <c r="K146" s="199"/>
      <c r="L146" s="183"/>
      <c r="M146" s="662"/>
    </row>
    <row r="147" spans="1:14">
      <c r="B147" s="183"/>
      <c r="C147" s="157"/>
      <c r="D147" s="229" t="s">
        <v>1642</v>
      </c>
      <c r="E147" s="379">
        <f>MAX(IF(Roadway!G28=HIDDEN!D34,Roadway!G26*Roadway!G27,0),0)</f>
        <v>0</v>
      </c>
      <c r="F147" s="122"/>
      <c r="G147" s="196" t="str">
        <f>"| "&amp;IF(E147=0,"No small pipe culvert extensions on Roadway 1",HIDDEN!$D$34&amp;" Culverts: "&amp;Roadway!G26&amp;"; Total Length: "&amp;Roadway!G26*Roadway!G27)</f>
        <v>| No small pipe culvert extensions on Roadway 1</v>
      </c>
      <c r="H147" s="183"/>
      <c r="I147" s="183"/>
      <c r="J147" s="159"/>
      <c r="K147" s="199"/>
      <c r="L147" s="183"/>
      <c r="M147" s="662"/>
    </row>
    <row r="148" spans="1:14">
      <c r="B148" s="183"/>
      <c r="C148" s="157"/>
      <c r="D148" s="229" t="s">
        <v>1643</v>
      </c>
      <c r="E148" s="379">
        <f>MAX(IF(Roadway!H28=HIDDEN!D34,Roadway!H26*Roadway!H27,0),0)</f>
        <v>0</v>
      </c>
      <c r="F148" s="122"/>
      <c r="G148" s="196" t="str">
        <f>"| "&amp;IF(E148=0,"No small pipe culvert extensions on Roadway 2",HIDDEN!$D$34&amp;" Culverts: "&amp;Roadway!H26&amp;"; Total Length: "&amp;Roadway!H26*Roadway!H27)</f>
        <v>| No small pipe culvert extensions on Roadway 2</v>
      </c>
      <c r="H148" s="183"/>
      <c r="I148" s="183"/>
      <c r="J148" s="159"/>
      <c r="K148" s="199"/>
      <c r="L148" s="183"/>
      <c r="M148" s="662"/>
    </row>
    <row r="149" spans="1:14">
      <c r="B149" s="183"/>
      <c r="C149" s="157"/>
      <c r="D149" s="229" t="s">
        <v>1644</v>
      </c>
      <c r="E149" s="379">
        <f>MAX(IF(Roadway!I28=HIDDEN!D34,Roadway!I26*Roadway!I27,0),0)</f>
        <v>0</v>
      </c>
      <c r="F149" s="122"/>
      <c r="G149" s="196" t="str">
        <f>"| "&amp;IF(E149=0,"No small pipe culvert extensions on Roadway 3",HIDDEN!$D$34&amp;" Culverts: "&amp;Roadway!I26&amp;"; Total Length: "&amp;Roadway!I26*Roadway!I27)</f>
        <v>| No small pipe culvert extensions on Roadway 3</v>
      </c>
      <c r="H149" s="183"/>
      <c r="I149" s="183"/>
      <c r="J149" s="159"/>
      <c r="K149" s="199"/>
      <c r="L149" s="183"/>
      <c r="M149" s="662"/>
    </row>
    <row r="150" spans="1:14">
      <c r="B150" s="183"/>
      <c r="C150" s="157"/>
      <c r="D150" s="229" t="s">
        <v>1645</v>
      </c>
      <c r="E150" s="379">
        <f>MAX(IF(Roadway!J28=HIDDEN!D34,Roadway!J26*Roadway!J27,0),0)</f>
        <v>0</v>
      </c>
      <c r="F150" s="122"/>
      <c r="G150" s="196" t="str">
        <f>"| "&amp;IF(E150=0,"No small pipe culvert extensions on Roadway 4",HIDDEN!$D$34&amp;" Culverts: "&amp;Roadway!J26&amp;"; Total Length: "&amp;Roadway!J26*Roadway!J27)</f>
        <v>| No small pipe culvert extensions on Roadway 4</v>
      </c>
      <c r="H150" s="183"/>
      <c r="I150" s="183"/>
      <c r="J150" s="159"/>
      <c r="K150" s="199"/>
      <c r="L150" s="183"/>
      <c r="M150" s="662"/>
    </row>
    <row r="151" spans="1:14">
      <c r="B151" s="183"/>
      <c r="C151" s="157"/>
      <c r="D151" s="229" t="s">
        <v>1719</v>
      </c>
      <c r="E151" s="380">
        <f>SUM(E147:E150)</f>
        <v>0</v>
      </c>
      <c r="F151" s="122"/>
      <c r="G151" s="196"/>
      <c r="H151" s="183"/>
      <c r="I151" s="183"/>
      <c r="J151" s="159"/>
      <c r="K151" s="199"/>
      <c r="L151" s="183"/>
      <c r="M151" s="662"/>
    </row>
    <row r="152" spans="1:14">
      <c r="B152" s="183"/>
      <c r="C152" s="157"/>
      <c r="D152" s="234"/>
      <c r="E152" s="235"/>
      <c r="F152" s="122"/>
      <c r="G152" s="196"/>
      <c r="H152" s="183"/>
      <c r="I152" s="183"/>
      <c r="J152" s="159"/>
      <c r="K152" s="199"/>
      <c r="L152" s="183"/>
      <c r="M152" s="662"/>
    </row>
    <row r="153" spans="1:14">
      <c r="A153" s="868" t="str">
        <f ca="1">IFERROR(HYPERLINK("#"&amp;"ProjectEstimate!A"&amp;(8+MATCH($C153,ProjectEstimate!$A$9:$A$145,0)),CONCATENATE("Go to ",$C153))," ")</f>
        <v xml:space="preserve"> </v>
      </c>
      <c r="B153" s="183"/>
      <c r="C153" s="157">
        <v>241.36</v>
      </c>
      <c r="D153" s="1227" t="s">
        <v>216</v>
      </c>
      <c r="E153" s="1227"/>
      <c r="F153" s="1227"/>
      <c r="G153" s="1227"/>
      <c r="H153" s="152">
        <f>ROUNDUP(E160,0)</f>
        <v>0</v>
      </c>
      <c r="I153" s="153" t="s">
        <v>17</v>
      </c>
      <c r="J153" s="154">
        <f ca="1">IF(ISBLANK(M153),_xlfn.XLOOKUP(C153,Output[Item '#],Output[Unit Price (Max or Override)]),M153)</f>
        <v>537</v>
      </c>
      <c r="K153" s="199">
        <f ca="1">ROUND(H153*J153, -1)</f>
        <v>0</v>
      </c>
      <c r="L153" s="183"/>
      <c r="M153" s="869"/>
      <c r="N153" s="178"/>
    </row>
    <row r="154" spans="1:14">
      <c r="B154" s="183"/>
      <c r="C154" s="157"/>
      <c r="D154" s="234"/>
      <c r="E154" s="235"/>
      <c r="F154" s="122"/>
      <c r="G154" s="196"/>
      <c r="H154" s="183"/>
      <c r="I154" s="183"/>
      <c r="J154" s="159"/>
      <c r="K154" s="199"/>
      <c r="L154" s="183"/>
      <c r="M154" s="662"/>
    </row>
    <row r="155" spans="1:14">
      <c r="B155" s="183"/>
      <c r="C155" s="157"/>
      <c r="D155" s="366" t="s">
        <v>1900</v>
      </c>
      <c r="E155" s="235"/>
      <c r="F155" s="122"/>
      <c r="G155" s="196"/>
      <c r="H155" s="183"/>
      <c r="I155" s="183"/>
      <c r="J155" s="159"/>
      <c r="K155" s="199"/>
      <c r="L155" s="183"/>
      <c r="M155" s="662"/>
    </row>
    <row r="156" spans="1:14">
      <c r="B156" s="183"/>
      <c r="C156" s="157"/>
      <c r="D156" s="229" t="s">
        <v>1642</v>
      </c>
      <c r="E156" s="379">
        <f>MAX(IF(Roadway!G28=HIDDEN!D33,Roadway!G26*Roadway!G27,0),0)</f>
        <v>0</v>
      </c>
      <c r="F156" s="122"/>
      <c r="G156" s="196" t="str">
        <f>"| "&amp;IF(E156=0,"No medium pipe culvert extensions on Roadway 1",HIDDEN!$D$33&amp;" Culverts: "&amp;Roadway!G26&amp;"; Total Length: "&amp;Roadway!G26*Roadway!G27)</f>
        <v>| No medium pipe culvert extensions on Roadway 1</v>
      </c>
      <c r="H156" s="183"/>
      <c r="I156" s="183"/>
      <c r="J156" s="159"/>
      <c r="K156" s="199"/>
      <c r="L156" s="183"/>
      <c r="M156" s="662"/>
    </row>
    <row r="157" spans="1:14">
      <c r="B157" s="183"/>
      <c r="C157" s="157"/>
      <c r="D157" s="229" t="s">
        <v>1643</v>
      </c>
      <c r="E157" s="379">
        <f>MAX(IF(Roadway!H28=HIDDEN!D33,Roadway!H26*Roadway!H27,0),0)</f>
        <v>0</v>
      </c>
      <c r="F157" s="122"/>
      <c r="G157" s="196" t="str">
        <f>"| "&amp;IF(E157=0,"No medium pipe culvert extensions on Roadway 2",HIDDEN!$D$33&amp;" Culverts: "&amp;Roadway!H26&amp;"; Total Length: "&amp;Roadway!H26*Roadway!H27)</f>
        <v>| No medium pipe culvert extensions on Roadway 2</v>
      </c>
      <c r="H157" s="183"/>
      <c r="I157" s="183"/>
      <c r="J157" s="159"/>
      <c r="K157" s="199"/>
      <c r="L157" s="183"/>
      <c r="M157" s="662"/>
    </row>
    <row r="158" spans="1:14">
      <c r="B158" s="183"/>
      <c r="C158" s="157"/>
      <c r="D158" s="229" t="s">
        <v>1644</v>
      </c>
      <c r="E158" s="379">
        <f>MAX(IF(Roadway!I28=HIDDEN!D33,Roadway!I26*Roadway!I27,0),0)</f>
        <v>0</v>
      </c>
      <c r="F158" s="122"/>
      <c r="G158" s="196" t="str">
        <f>"| "&amp;IF(E158=0,"No medium pipe culvert extensions on Roadway 3",HIDDEN!$D$33&amp;" Culverts: "&amp;Roadway!I26&amp;"; Total Length: "&amp;Roadway!I26*Roadway!I27)</f>
        <v>| No medium pipe culvert extensions on Roadway 3</v>
      </c>
      <c r="H158" s="183"/>
      <c r="I158" s="183"/>
      <c r="J158" s="159"/>
      <c r="K158" s="199"/>
      <c r="L158" s="183"/>
      <c r="M158" s="662"/>
    </row>
    <row r="159" spans="1:14">
      <c r="B159" s="183"/>
      <c r="C159" s="157"/>
      <c r="D159" s="229" t="s">
        <v>1645</v>
      </c>
      <c r="E159" s="379">
        <f>MAX(IF(Roadway!J28=HIDDEN!D33,Roadway!J26*Roadway!J27,0),0)</f>
        <v>0</v>
      </c>
      <c r="F159" s="122"/>
      <c r="G159" s="196" t="str">
        <f>"| "&amp;IF(E159=0,"No medium pipe culvert extensions on Roadway 4",HIDDEN!$D$33&amp;" Culverts: "&amp;Roadway!J26&amp;"; Total Length: "&amp;Roadway!J26*Roadway!J27)</f>
        <v>| No medium pipe culvert extensions on Roadway 4</v>
      </c>
      <c r="H159" s="183"/>
      <c r="I159" s="183"/>
      <c r="J159" s="159"/>
      <c r="K159" s="199"/>
      <c r="L159" s="183"/>
      <c r="M159" s="662"/>
    </row>
    <row r="160" spans="1:14">
      <c r="B160" s="183"/>
      <c r="C160" s="157"/>
      <c r="D160" s="229" t="s">
        <v>1719</v>
      </c>
      <c r="E160" s="380">
        <f>SUM(E156:E159)</f>
        <v>0</v>
      </c>
      <c r="F160" s="122"/>
      <c r="G160" s="196"/>
      <c r="H160" s="183"/>
      <c r="I160" s="183"/>
      <c r="J160" s="159"/>
      <c r="K160" s="199"/>
      <c r="L160" s="183"/>
      <c r="M160" s="662"/>
    </row>
    <row r="161" spans="1:14">
      <c r="B161" s="183"/>
      <c r="C161" s="157"/>
      <c r="D161" s="234"/>
      <c r="E161" s="235"/>
      <c r="F161" s="122"/>
      <c r="G161" s="196"/>
      <c r="H161" s="183"/>
      <c r="I161" s="183"/>
      <c r="J161" s="159"/>
      <c r="K161" s="199"/>
      <c r="L161" s="183"/>
      <c r="M161" s="662"/>
    </row>
    <row r="162" spans="1:14">
      <c r="A162" s="868" t="str">
        <f ca="1">IFERROR(HYPERLINK("#"&amp;"ProjectEstimate!A"&amp;(8+MATCH($C162,ProjectEstimate!$A$9:$A$145,0)),CONCATENATE("Go to ",$C162))," ")</f>
        <v xml:space="preserve"> </v>
      </c>
      <c r="B162" s="183"/>
      <c r="C162" s="157">
        <v>241.72</v>
      </c>
      <c r="D162" s="1227" t="s">
        <v>1912</v>
      </c>
      <c r="E162" s="1227"/>
      <c r="F162" s="1227"/>
      <c r="G162" s="1227"/>
      <c r="H162" s="152">
        <f>ROUNDUP(E169,0)</f>
        <v>0</v>
      </c>
      <c r="I162" s="153" t="s">
        <v>17</v>
      </c>
      <c r="J162" s="154">
        <f>IF(ISBLANK(M162),_xlfn.XLOOKUP(C162,Output[Item '#],Output[Unit Price (Max or Override)]),M162)</f>
        <v>350</v>
      </c>
      <c r="K162" s="199">
        <f>ROUND(H162*J162, -1)</f>
        <v>0</v>
      </c>
      <c r="L162" s="183"/>
      <c r="M162" s="869"/>
      <c r="N162" s="178"/>
    </row>
    <row r="163" spans="1:14">
      <c r="B163" s="183"/>
      <c r="C163" s="157"/>
      <c r="D163" s="234"/>
      <c r="E163" s="235"/>
      <c r="F163" s="122"/>
      <c r="G163" s="196"/>
      <c r="H163" s="183"/>
      <c r="I163" s="183"/>
      <c r="J163" s="159"/>
      <c r="K163" s="199"/>
      <c r="L163" s="183"/>
      <c r="M163" s="662"/>
    </row>
    <row r="164" spans="1:14">
      <c r="B164" s="183"/>
      <c r="C164" s="157"/>
      <c r="D164" s="366" t="s">
        <v>1901</v>
      </c>
      <c r="E164" s="235"/>
      <c r="F164" s="122"/>
      <c r="G164" s="196"/>
      <c r="H164" s="183"/>
      <c r="I164" s="183"/>
      <c r="J164" s="159"/>
      <c r="K164" s="199"/>
      <c r="L164" s="183"/>
      <c r="M164" s="662"/>
    </row>
    <row r="165" spans="1:14">
      <c r="B165" s="183"/>
      <c r="C165" s="157"/>
      <c r="D165" s="229" t="s">
        <v>1642</v>
      </c>
      <c r="E165" s="379">
        <f>IF(Roadway!G28=HIDDEN!D32,Roadway!G26*Roadway!G27,0)</f>
        <v>0</v>
      </c>
      <c r="F165" s="122"/>
      <c r="G165" s="196" t="str">
        <f>"| "&amp;IF(E165=0,"No large pipe culvert extensions on Roadway 1",HIDDEN!$D$32&amp;" Culverts: "&amp;Roadway!G26&amp;"; Total Length: "&amp;Roadway!G26*Roadway!G27)</f>
        <v>| No large pipe culvert extensions on Roadway 1</v>
      </c>
      <c r="H165" s="183"/>
      <c r="I165" s="183"/>
      <c r="J165" s="159"/>
      <c r="K165" s="199"/>
      <c r="L165" s="183"/>
      <c r="M165" s="662"/>
    </row>
    <row r="166" spans="1:14">
      <c r="B166" s="183"/>
      <c r="C166" s="157"/>
      <c r="D166" s="229" t="s">
        <v>1643</v>
      </c>
      <c r="E166" s="379">
        <f>IF(Roadway!H28=HIDDEN!D32,Roadway!H26*Roadway!H27,0)</f>
        <v>0</v>
      </c>
      <c r="F166" s="122"/>
      <c r="G166" s="196" t="str">
        <f>"| "&amp;IF(E166=0,"No large pipe culvert extensions on Roadway 2",HIDDEN!$D$32&amp;" Culverts: "&amp;Roadway!H26&amp;"; Total Length: "&amp;Roadway!H26*Roadway!H27)</f>
        <v>| No large pipe culvert extensions on Roadway 2</v>
      </c>
      <c r="H166" s="183"/>
      <c r="I166" s="183"/>
      <c r="J166" s="159"/>
      <c r="K166" s="199"/>
      <c r="L166" s="183"/>
      <c r="M166" s="662"/>
    </row>
    <row r="167" spans="1:14">
      <c r="B167" s="183"/>
      <c r="C167" s="157"/>
      <c r="D167" s="229" t="s">
        <v>1644</v>
      </c>
      <c r="E167" s="379">
        <f>IF(Roadway!I28=HIDDEN!D32,Roadway!I26*Roadway!I27,0)</f>
        <v>0</v>
      </c>
      <c r="F167" s="122"/>
      <c r="G167" s="196" t="str">
        <f>"| "&amp;IF(E167=0,"No large pipe culvert extensions on Roadway 3",HIDDEN!$D$32&amp;" Culverts: "&amp;Roadway!I26&amp;"; Total Length: "&amp;Roadway!I26*Roadway!I27)</f>
        <v>| No large pipe culvert extensions on Roadway 3</v>
      </c>
      <c r="H167" s="183"/>
      <c r="I167" s="183"/>
      <c r="J167" s="159"/>
      <c r="K167" s="199"/>
      <c r="L167" s="183"/>
      <c r="M167" s="662"/>
    </row>
    <row r="168" spans="1:14">
      <c r="B168" s="183"/>
      <c r="C168" s="157"/>
      <c r="D168" s="229" t="s">
        <v>1645</v>
      </c>
      <c r="E168" s="379">
        <f>IF(Roadway!J28=HIDDEN!D32,Roadway!J26*Roadway!J27,0)</f>
        <v>0</v>
      </c>
      <c r="F168" s="122"/>
      <c r="G168" s="196" t="str">
        <f>"| "&amp;IF(E168=0,"No large pipe culvert extensions on Roadway 4",HIDDEN!$D$32&amp;" Culverts: "&amp;Roadway!J26&amp;"; Total Length: "&amp;Roadway!J26*Roadway!J27)</f>
        <v>| No large pipe culvert extensions on Roadway 4</v>
      </c>
      <c r="H168" s="183"/>
      <c r="I168" s="183"/>
      <c r="J168" s="159"/>
      <c r="K168" s="199"/>
      <c r="L168" s="183"/>
      <c r="M168" s="662"/>
    </row>
    <row r="169" spans="1:14">
      <c r="B169" s="183"/>
      <c r="C169" s="157"/>
      <c r="D169" s="229" t="s">
        <v>1719</v>
      </c>
      <c r="E169" s="380">
        <f>SUM(E165:E168)</f>
        <v>0</v>
      </c>
      <c r="F169" s="122"/>
      <c r="G169" s="196"/>
      <c r="H169" s="183"/>
      <c r="I169" s="183"/>
      <c r="J169" s="159"/>
      <c r="K169" s="199"/>
      <c r="L169" s="183"/>
      <c r="M169" s="662"/>
    </row>
    <row r="170" spans="1:14">
      <c r="B170" s="183"/>
      <c r="C170" s="157"/>
      <c r="D170" s="229"/>
      <c r="E170" s="235"/>
      <c r="F170" s="122"/>
      <c r="G170" s="196"/>
      <c r="H170" s="183"/>
      <c r="I170" s="183"/>
      <c r="J170" s="159"/>
      <c r="K170" s="199"/>
      <c r="L170" s="183"/>
      <c r="M170" s="662"/>
    </row>
    <row r="171" spans="1:14" ht="29.25" customHeight="1">
      <c r="A171" s="868" t="str">
        <f ca="1">IFERROR(HYPERLINK("#"&amp;"ProjectEstimate!A"&amp;(8+MATCH($C171,ProjectEstimate!$A$9:$A$145,0)),CONCATENATE("Go to ",$C171))," ")</f>
        <v xml:space="preserve"> </v>
      </c>
      <c r="B171" s="183"/>
      <c r="C171" s="157">
        <v>242.36</v>
      </c>
      <c r="D171" s="1248" t="s">
        <v>224</v>
      </c>
      <c r="E171" s="1248"/>
      <c r="F171" s="1248"/>
      <c r="G171" s="1248"/>
      <c r="H171" s="152">
        <f>E177</f>
        <v>0</v>
      </c>
      <c r="I171" s="153" t="s">
        <v>2</v>
      </c>
      <c r="J171" s="154">
        <f>IF(ISBLANK(M171),_xlfn.XLOOKUP(C171,Output[Item '#],Output[Unit Price (Max or Override)]),M171)</f>
        <v>2500</v>
      </c>
      <c r="K171" s="199">
        <f>ROUND(H171*J171, -1)</f>
        <v>0</v>
      </c>
      <c r="L171" s="183"/>
      <c r="M171" s="869"/>
      <c r="N171" s="178"/>
    </row>
    <row r="172" spans="1:14">
      <c r="B172" s="183"/>
      <c r="C172" s="157"/>
      <c r="D172" s="234"/>
      <c r="E172" s="235"/>
      <c r="F172" s="122"/>
      <c r="G172" s="196"/>
      <c r="H172" s="183"/>
      <c r="I172" s="183"/>
      <c r="J172" s="159"/>
      <c r="K172" s="199"/>
      <c r="L172" s="183"/>
      <c r="M172" s="662"/>
    </row>
    <row r="173" spans="1:14">
      <c r="B173" s="183"/>
      <c r="C173" s="157"/>
      <c r="D173" s="234" t="s">
        <v>1642</v>
      </c>
      <c r="E173" s="381">
        <f>IF(Roadway!G$29=HIDDEN!$D$40,Roadway!G$26,0)</f>
        <v>0</v>
      </c>
      <c r="F173" s="381"/>
      <c r="G173" s="196" t="str">
        <f>"| "&amp;IF(E156=0,"No flared end culvert headwalls on Roadway 1","Counts number of culverts needed extending for quantity of flared ends.")</f>
        <v>| No flared end culvert headwalls on Roadway 1</v>
      </c>
      <c r="H173" s="381"/>
      <c r="I173" s="381"/>
      <c r="J173" s="159"/>
      <c r="K173" s="199"/>
      <c r="L173" s="183"/>
      <c r="M173" s="662"/>
    </row>
    <row r="174" spans="1:14">
      <c r="B174" s="183"/>
      <c r="C174" s="157"/>
      <c r="D174" s="234" t="s">
        <v>1643</v>
      </c>
      <c r="E174" s="381">
        <f>IF(Roadway!H$29=HIDDEN!$D$40,Roadway!H$26,0)</f>
        <v>0</v>
      </c>
      <c r="F174" s="122"/>
      <c r="G174" s="196" t="str">
        <f>"| "&amp;IF(E157=0,"No flared end culvert headwalls on Roadway 2","Counts number of culverts needed extending for quantity of flared ends.")</f>
        <v>| No flared end culvert headwalls on Roadway 2</v>
      </c>
      <c r="H174" s="183"/>
      <c r="I174" s="183"/>
      <c r="J174" s="159"/>
      <c r="K174" s="199"/>
      <c r="L174" s="183"/>
      <c r="M174" s="662"/>
    </row>
    <row r="175" spans="1:14">
      <c r="B175" s="183"/>
      <c r="C175" s="157"/>
      <c r="D175" s="234" t="s">
        <v>1644</v>
      </c>
      <c r="E175" s="381">
        <f>IF(Roadway!I$29=HIDDEN!$D$40,Roadway!I$26,0)</f>
        <v>0</v>
      </c>
      <c r="F175" s="122"/>
      <c r="G175" s="196" t="str">
        <f>"| "&amp;IF(E158=0,"No flared end culvert headwalls on Roadway 3","Counts number of culverts needed extending for quantity of flared ends.")</f>
        <v>| No flared end culvert headwalls on Roadway 3</v>
      </c>
      <c r="H175" s="183"/>
      <c r="I175" s="183"/>
      <c r="J175" s="159"/>
      <c r="K175" s="199"/>
      <c r="L175" s="183"/>
      <c r="M175" s="662"/>
    </row>
    <row r="176" spans="1:14">
      <c r="B176" s="183"/>
      <c r="C176" s="157"/>
      <c r="D176" s="234" t="s">
        <v>1645</v>
      </c>
      <c r="E176" s="381">
        <f>IF(Roadway!J$29=HIDDEN!$D$40,Roadway!J$26,0)</f>
        <v>0</v>
      </c>
      <c r="F176" s="122"/>
      <c r="G176" s="196" t="str">
        <f>"| "&amp;IF(E159=0,"No flared end culvert headwalls on Roadway 4","Counts number of culverts needed extending for quantity of flared ends.")</f>
        <v>| No flared end culvert headwalls on Roadway 4</v>
      </c>
      <c r="H176" s="183"/>
      <c r="I176" s="183"/>
      <c r="J176" s="159"/>
      <c r="K176" s="205"/>
      <c r="L176" s="183"/>
      <c r="M176" s="662"/>
    </row>
    <row r="177" spans="1:15">
      <c r="B177" s="183"/>
      <c r="C177" s="157"/>
      <c r="D177" s="229" t="s">
        <v>826</v>
      </c>
      <c r="E177" s="358">
        <f>SUM(E173:E176)</f>
        <v>0</v>
      </c>
      <c r="F177" s="122"/>
      <c r="G177" s="196"/>
      <c r="H177" s="183"/>
      <c r="I177" s="183"/>
      <c r="J177" s="159"/>
      <c r="K177" s="199"/>
      <c r="L177" s="183"/>
      <c r="M177" s="662"/>
    </row>
    <row r="178" spans="1:15">
      <c r="B178" s="183"/>
      <c r="C178" s="157"/>
      <c r="D178" s="157"/>
      <c r="E178" s="157"/>
      <c r="F178" s="157"/>
      <c r="G178" s="157"/>
      <c r="H178" s="152"/>
      <c r="I178" s="153"/>
      <c r="J178" s="154"/>
      <c r="K178" s="205"/>
      <c r="L178" s="183"/>
      <c r="M178" s="662"/>
    </row>
    <row r="179" spans="1:15">
      <c r="A179" s="868" t="str">
        <f ca="1">IFERROR(HYPERLINK("#"&amp;"ProjectEstimate!A"&amp;(8+MATCH($C179,ProjectEstimate!$A$9:$A$145,0)),CONCATENATE("Go to ",$C179))," ")</f>
        <v xml:space="preserve"> </v>
      </c>
      <c r="B179" s="183"/>
      <c r="C179" s="157">
        <v>514</v>
      </c>
      <c r="D179" s="1227" t="s">
        <v>38</v>
      </c>
      <c r="E179" s="1227"/>
      <c r="F179" s="1227"/>
      <c r="G179" s="1227"/>
      <c r="H179" s="152">
        <f>E181</f>
        <v>0</v>
      </c>
      <c r="I179" s="153" t="s">
        <v>2</v>
      </c>
      <c r="J179" s="154">
        <f ca="1">IF(ISBLANK(M179),_xlfn.XLOOKUP(C179,Output[Item '#],Output[Unit Price (Max or Override)]),M179)</f>
        <v>738</v>
      </c>
      <c r="K179" s="199">
        <f ca="1">ROUND(H179*J179,-1)</f>
        <v>0</v>
      </c>
      <c r="L179" s="183"/>
      <c r="M179" s="869"/>
    </row>
    <row r="180" spans="1:15">
      <c r="B180" s="183"/>
      <c r="C180" s="157"/>
      <c r="D180" s="157"/>
      <c r="E180" s="157"/>
      <c r="F180" s="157"/>
      <c r="G180" s="157"/>
      <c r="H180" s="152"/>
      <c r="I180" s="153"/>
      <c r="J180" s="154"/>
      <c r="K180" s="199"/>
      <c r="L180" s="183"/>
      <c r="M180" s="662"/>
    </row>
    <row r="181" spans="1:15">
      <c r="B181" s="183"/>
      <c r="C181" s="157"/>
      <c r="D181" s="186" t="s">
        <v>1263</v>
      </c>
      <c r="E181" s="320">
        <f>H40</f>
        <v>0</v>
      </c>
      <c r="F181" s="183"/>
      <c r="G181" s="196" t="s">
        <v>1855</v>
      </c>
      <c r="H181" s="152"/>
      <c r="I181" s="200"/>
      <c r="J181" s="154"/>
      <c r="K181" s="199"/>
      <c r="L181" s="183"/>
      <c r="M181" s="662"/>
    </row>
    <row r="182" spans="1:15">
      <c r="B182" s="183"/>
      <c r="C182" s="157"/>
      <c r="D182" s="122"/>
      <c r="E182" s="122"/>
      <c r="F182" s="122"/>
      <c r="G182" s="200"/>
      <c r="H182" s="152"/>
      <c r="I182" s="200"/>
      <c r="J182" s="154"/>
      <c r="K182" s="199"/>
      <c r="L182" s="183"/>
      <c r="M182" s="662"/>
    </row>
    <row r="183" spans="1:15">
      <c r="A183" s="868" t="str">
        <f ca="1">IFERROR(HYPERLINK("#"&amp;"ProjectEstimate!A"&amp;(8+MATCH($C183,ProjectEstimate!$A$9:$A$145,0)),CONCATENATE("Go to ",$C183))," ")</f>
        <v xml:space="preserve"> </v>
      </c>
      <c r="B183" s="183"/>
      <c r="C183" s="270">
        <v>697.1</v>
      </c>
      <c r="D183" s="157" t="s">
        <v>401</v>
      </c>
      <c r="E183" s="181"/>
      <c r="F183" s="181"/>
      <c r="G183" s="181"/>
      <c r="H183" s="152">
        <f>E187</f>
        <v>0</v>
      </c>
      <c r="I183" s="153" t="s">
        <v>2</v>
      </c>
      <c r="J183" s="154">
        <f ca="1">IF(ISBLANK(M183),_xlfn.XLOOKUP(C183,Output[Item '#],Output[Unit Price (Max or Override)]),M183)</f>
        <v>231</v>
      </c>
      <c r="K183" s="199">
        <f ca="1">ROUND(H183*J183, -1)</f>
        <v>0</v>
      </c>
      <c r="L183" s="183"/>
      <c r="M183" s="869"/>
    </row>
    <row r="184" spans="1:15">
      <c r="B184" s="183"/>
      <c r="C184" s="183"/>
      <c r="D184" s="183"/>
      <c r="E184" s="183"/>
      <c r="F184" s="183"/>
      <c r="G184" s="183"/>
      <c r="H184" s="183"/>
      <c r="I184" s="183"/>
      <c r="J184" s="183"/>
      <c r="K184" s="286"/>
      <c r="L184" s="183"/>
      <c r="M184" s="662"/>
    </row>
    <row r="185" spans="1:15">
      <c r="B185" s="183"/>
      <c r="C185" s="183"/>
      <c r="D185" s="186" t="s">
        <v>1263</v>
      </c>
      <c r="E185" s="361">
        <f>H40</f>
        <v>0</v>
      </c>
      <c r="F185" s="183"/>
      <c r="G185" s="196" t="s">
        <v>1264</v>
      </c>
      <c r="H185" s="183"/>
      <c r="I185" s="183"/>
      <c r="K185" s="286"/>
      <c r="L185" s="183"/>
      <c r="M185" s="662"/>
    </row>
    <row r="186" spans="1:15">
      <c r="B186" s="183"/>
      <c r="C186" s="183"/>
      <c r="D186" s="186" t="s">
        <v>1265</v>
      </c>
      <c r="E186" s="361">
        <f>H78/2</f>
        <v>0</v>
      </c>
      <c r="F186" s="183"/>
      <c r="G186" s="196" t="s">
        <v>1734</v>
      </c>
      <c r="H186" s="183"/>
      <c r="I186" s="183"/>
      <c r="K186" s="286"/>
      <c r="L186" s="183"/>
      <c r="M186" s="662"/>
    </row>
    <row r="187" spans="1:15">
      <c r="B187" s="183"/>
      <c r="C187" s="183"/>
      <c r="D187" s="122" t="s">
        <v>826</v>
      </c>
      <c r="E187" s="454">
        <f>SUM(E185:E186)</f>
        <v>0</v>
      </c>
      <c r="F187" s="200" t="s">
        <v>2</v>
      </c>
      <c r="G187" s="200"/>
      <c r="H187" s="183"/>
      <c r="I187" s="183"/>
      <c r="J187" s="183"/>
      <c r="K187" s="286"/>
      <c r="L187" s="183"/>
      <c r="M187" s="662"/>
    </row>
    <row r="188" spans="1:15">
      <c r="B188" s="183"/>
      <c r="C188" s="183"/>
      <c r="D188" s="122"/>
      <c r="E188" s="224"/>
      <c r="F188" s="200"/>
      <c r="G188" s="200"/>
      <c r="H188" s="183"/>
      <c r="I188" s="183"/>
      <c r="J188" s="183"/>
      <c r="K188" s="286"/>
      <c r="L188" s="183"/>
      <c r="M188" s="662"/>
    </row>
    <row r="189" spans="1:15">
      <c r="A189" s="868" t="str">
        <f ca="1">IFERROR(HYPERLINK("#"&amp;"ProjectEstimate!A"&amp;(8+MATCH($C189,ProjectEstimate!$A$9:$A$145,0)),CONCATENATE("Go to ",$C189))," ")</f>
        <v xml:space="preserve"> </v>
      </c>
      <c r="B189" s="183"/>
      <c r="C189" s="157">
        <v>904.4</v>
      </c>
      <c r="D189" s="1227" t="s">
        <v>629</v>
      </c>
      <c r="E189" s="1227"/>
      <c r="F189" s="1227"/>
      <c r="G189" s="1227"/>
      <c r="H189" s="152">
        <f>ROUNDUP(E196+E203+E210+E217+E224+E231,-1)</f>
        <v>0</v>
      </c>
      <c r="I189" s="153" t="s">
        <v>4</v>
      </c>
      <c r="J189" s="154">
        <f ca="1">IF(ISBLANK(M189),_xlfn.XLOOKUP(C189,Output[Item '#],Output[Unit Price (Max or Override)]),M189)</f>
        <v>3070</v>
      </c>
      <c r="K189" s="241">
        <f ca="1">ROUND(H189*J189, -1)</f>
        <v>0</v>
      </c>
      <c r="L189" s="183"/>
      <c r="M189" s="869"/>
    </row>
    <row r="190" spans="1:15">
      <c r="B190" s="183"/>
      <c r="C190" s="157"/>
      <c r="D190" s="157"/>
      <c r="E190" s="157"/>
      <c r="F190" s="157"/>
      <c r="G190" s="157"/>
      <c r="H190" s="152"/>
      <c r="I190" s="153"/>
      <c r="J190" s="154"/>
      <c r="K190" s="205"/>
      <c r="L190" s="183"/>
      <c r="M190" s="662"/>
    </row>
    <row r="191" spans="1:15">
      <c r="B191" s="183"/>
      <c r="C191" s="157"/>
      <c r="D191" s="366" t="s">
        <v>1920</v>
      </c>
      <c r="E191" s="157"/>
      <c r="F191" s="157"/>
      <c r="G191" s="390"/>
      <c r="H191" s="152"/>
      <c r="K191" s="205"/>
      <c r="L191" s="183"/>
      <c r="M191" s="662"/>
    </row>
    <row r="192" spans="1:15">
      <c r="B192" s="183"/>
      <c r="C192" s="157"/>
      <c r="D192" s="229" t="s">
        <v>1642</v>
      </c>
      <c r="E192" s="633">
        <f>G192*H192/I192</f>
        <v>0</v>
      </c>
      <c r="F192" s="591" t="s">
        <v>66</v>
      </c>
      <c r="G192" s="593">
        <f>IF(Roadway!G28=HIDDEN!D31,Roadway!G26*Roadway!G27,0)</f>
        <v>0</v>
      </c>
      <c r="H192" s="640">
        <f>((5+2)*(3+2))-(5*3)</f>
        <v>20</v>
      </c>
      <c r="I192" s="285">
        <v>27</v>
      </c>
      <c r="J192" s="196" t="str">
        <f>IF(Roadway!G28=HIDDEN!$D$31,"| "&amp;HIDDEN!$D$31&amp;" Culverts: "&amp;Roadway!G26,"No small box culverts on Roadway 1")</f>
        <v>No small box culverts on Roadway 1</v>
      </c>
      <c r="K192" s="205"/>
      <c r="L192" s="183"/>
      <c r="M192" s="662"/>
      <c r="N192" s="159" t="s">
        <v>3904</v>
      </c>
      <c r="O192" s="595"/>
    </row>
    <row r="193" spans="2:14">
      <c r="B193" s="183"/>
      <c r="C193" s="157"/>
      <c r="D193" s="229" t="s">
        <v>1643</v>
      </c>
      <c r="E193" s="633">
        <f>G193*H193/I193</f>
        <v>0</v>
      </c>
      <c r="F193" s="591" t="s">
        <v>66</v>
      </c>
      <c r="G193" s="593">
        <f>IF(Roadway!H28=HIDDEN!D31,Roadway!H26*Roadway!H27,0)</f>
        <v>0</v>
      </c>
      <c r="H193" s="640">
        <f>((5+2)*(3+2))-(5*3)</f>
        <v>20</v>
      </c>
      <c r="I193" s="285">
        <v>27</v>
      </c>
      <c r="J193" s="196" t="str">
        <f>IF(Roadway!H28=HIDDEN!$D$31,"| "&amp;HIDDEN!$D$31&amp;" Culverts: "&amp;Roadway!H26,"No small box culverts on Roadway 2")</f>
        <v>No small box culverts on Roadway 2</v>
      </c>
      <c r="K193" s="205"/>
      <c r="L193" s="183"/>
      <c r="M193" s="662"/>
      <c r="N193" s="159" t="s">
        <v>3905</v>
      </c>
    </row>
    <row r="194" spans="2:14">
      <c r="B194" s="183"/>
      <c r="C194" s="157"/>
      <c r="D194" s="229" t="s">
        <v>1644</v>
      </c>
      <c r="E194" s="633">
        <f>G194*H194/I194</f>
        <v>0</v>
      </c>
      <c r="F194" s="591" t="s">
        <v>66</v>
      </c>
      <c r="G194" s="593">
        <f>IF(Roadway!I28=HIDDEN!D31,Roadway!I26*Roadway!I27,0)</f>
        <v>0</v>
      </c>
      <c r="H194" s="640">
        <f>((5+2)*(3+2))-(5*3)</f>
        <v>20</v>
      </c>
      <c r="I194" s="285">
        <v>27</v>
      </c>
      <c r="J194" s="196" t="str">
        <f>IF(Roadway!I28=HIDDEN!$D$31,"| "&amp;HIDDEN!$D$31&amp;" Culverts: "&amp;Roadway!I26,"No small box culverts on Roadway 3")</f>
        <v>No small box culverts on Roadway 3</v>
      </c>
      <c r="K194" s="205"/>
      <c r="L194" s="183"/>
      <c r="M194" s="662"/>
      <c r="N194" s="159" t="s">
        <v>3906</v>
      </c>
    </row>
    <row r="195" spans="2:14">
      <c r="B195" s="183"/>
      <c r="C195" s="157"/>
      <c r="D195" s="229" t="s">
        <v>1645</v>
      </c>
      <c r="E195" s="633">
        <f>G195*H195/I195</f>
        <v>0</v>
      </c>
      <c r="F195" s="591" t="s">
        <v>66</v>
      </c>
      <c r="G195" s="594">
        <f>IF(Roadway!J28=HIDDEN!D31,Roadway!J26*Roadway!J27,0)</f>
        <v>0</v>
      </c>
      <c r="H195" s="640">
        <f>((5+2)*(3+2))-(5*3)</f>
        <v>20</v>
      </c>
      <c r="I195" s="285">
        <v>27</v>
      </c>
      <c r="J195" s="196" t="str">
        <f>IF(Roadway!J28=HIDDEN!$D$31,"| "&amp;HIDDEN!$D$31&amp;" Culverts: "&amp;Roadway!J26,"No small box culverts on Roadway 4")</f>
        <v>No small box culverts on Roadway 4</v>
      </c>
      <c r="K195" s="205"/>
      <c r="L195" s="183"/>
      <c r="M195" s="662"/>
    </row>
    <row r="196" spans="2:14">
      <c r="B196" s="183"/>
      <c r="C196" s="157"/>
      <c r="D196" s="229" t="s">
        <v>1719</v>
      </c>
      <c r="E196" s="634">
        <f>SUM(E192:E195)</f>
        <v>0</v>
      </c>
      <c r="F196" s="157"/>
      <c r="G196" s="592">
        <f>SUM(G192:G195)</f>
        <v>0</v>
      </c>
      <c r="H196" s="641"/>
      <c r="J196" s="154"/>
      <c r="K196" s="205"/>
      <c r="L196" s="183"/>
      <c r="M196" s="662"/>
    </row>
    <row r="197" spans="2:14">
      <c r="B197" s="183"/>
      <c r="C197" s="183"/>
      <c r="D197" s="122"/>
      <c r="E197" s="224"/>
      <c r="F197" s="200"/>
      <c r="G197" s="200"/>
      <c r="H197" s="642"/>
      <c r="I197" s="183"/>
      <c r="J197" s="183"/>
      <c r="K197" s="286"/>
      <c r="L197" s="183"/>
      <c r="M197" s="662"/>
    </row>
    <row r="198" spans="2:14">
      <c r="B198" s="183"/>
      <c r="C198" s="183"/>
      <c r="D198" s="366" t="s">
        <v>3887</v>
      </c>
      <c r="E198" s="157"/>
      <c r="F198" s="200"/>
      <c r="G198" s="200"/>
      <c r="H198" s="642"/>
      <c r="I198" s="183"/>
      <c r="J198" s="183"/>
      <c r="K198" s="286"/>
      <c r="L198" s="183"/>
      <c r="M198" s="662"/>
    </row>
    <row r="199" spans="2:14">
      <c r="B199" s="183"/>
      <c r="C199" s="183"/>
      <c r="D199" s="229" t="s">
        <v>1642</v>
      </c>
      <c r="E199" s="633">
        <f>G199*H199/I199</f>
        <v>0</v>
      </c>
      <c r="F199" s="591" t="s">
        <v>66</v>
      </c>
      <c r="G199" s="593">
        <f>IF(Roadway!G28=HIDDEN!D30,Roadway!G26*Roadway!G27,0)</f>
        <v>0</v>
      </c>
      <c r="H199" s="640">
        <f>((10+3)*(6+3))-(10*6)</f>
        <v>57</v>
      </c>
      <c r="I199" s="285">
        <v>27</v>
      </c>
      <c r="J199" s="196" t="str">
        <f>IF(Roadway!G28=HIDDEN!$D$30,"| "&amp;HIDDEN!$D$30&amp;" Culverts: "&amp;Roadway!G26,"No medium box culverts on Roadway 1")</f>
        <v>No medium box culverts on Roadway 1</v>
      </c>
      <c r="K199" s="286"/>
      <c r="L199" s="183"/>
      <c r="M199" s="662"/>
      <c r="N199" s="159" t="s">
        <v>3907</v>
      </c>
    </row>
    <row r="200" spans="2:14">
      <c r="B200" s="183"/>
      <c r="C200" s="183"/>
      <c r="D200" s="229" t="s">
        <v>1643</v>
      </c>
      <c r="E200" s="633">
        <f>G200*H200/I200</f>
        <v>0</v>
      </c>
      <c r="F200" s="591" t="s">
        <v>66</v>
      </c>
      <c r="G200" s="593">
        <f>IF(Roadway!H28=HIDDEN!D30,Roadway!H26*Roadway!H27,0)</f>
        <v>0</v>
      </c>
      <c r="H200" s="640">
        <f>((10+3)*(6+3))-(10*6)</f>
        <v>57</v>
      </c>
      <c r="I200" s="285">
        <v>27</v>
      </c>
      <c r="J200" s="196" t="str">
        <f>IF(Roadway!H28=HIDDEN!$D$30,"| "&amp;HIDDEN!$D$30&amp;" Culverts: "&amp;Roadway!H26,"No medium box culverts on Roadway 2")</f>
        <v>No medium box culverts on Roadway 2</v>
      </c>
      <c r="K200" s="286"/>
      <c r="L200" s="183"/>
      <c r="M200" s="662"/>
    </row>
    <row r="201" spans="2:14">
      <c r="B201" s="183"/>
      <c r="C201" s="183"/>
      <c r="D201" s="229" t="s">
        <v>1644</v>
      </c>
      <c r="E201" s="633">
        <f>G201*H201/I201</f>
        <v>0</v>
      </c>
      <c r="F201" s="591" t="s">
        <v>66</v>
      </c>
      <c r="G201" s="593">
        <f>IF(Roadway!I28=HIDDEN!D30,Roadway!I26*Roadway!I27,0)</f>
        <v>0</v>
      </c>
      <c r="H201" s="640">
        <f>((10+3)*(6+3))-(10*6)</f>
        <v>57</v>
      </c>
      <c r="I201" s="285">
        <v>27</v>
      </c>
      <c r="J201" s="196" t="str">
        <f>IF(Roadway!I28=HIDDEN!$D$30,"| "&amp;HIDDEN!$D$30&amp;" Culverts: "&amp;Roadway!I26,"No medium box culverts on Roadway 3")</f>
        <v>No medium box culverts on Roadway 3</v>
      </c>
      <c r="K201" s="286"/>
      <c r="L201" s="183"/>
      <c r="M201" s="662"/>
    </row>
    <row r="202" spans="2:14">
      <c r="B202" s="183"/>
      <c r="C202" s="183"/>
      <c r="D202" s="229" t="s">
        <v>1645</v>
      </c>
      <c r="E202" s="633">
        <f>G202*H202/I202</f>
        <v>0</v>
      </c>
      <c r="F202" s="591" t="s">
        <v>66</v>
      </c>
      <c r="G202" s="594">
        <f>IF(Roadway!J28=HIDDEN!D30,Roadway!J26*Roadway!J27,0)</f>
        <v>0</v>
      </c>
      <c r="H202" s="640">
        <f>((10+3)*(6+3))-(10*6)</f>
        <v>57</v>
      </c>
      <c r="I202" s="285">
        <v>27</v>
      </c>
      <c r="J202" s="196" t="str">
        <f>IF(Roadway!J28=HIDDEN!$D$30,"| "&amp;HIDDEN!$D$30&amp;" Culverts: "&amp;Roadway!J26,"No medium box culverts on Roadway 4")</f>
        <v>No medium box culverts on Roadway 4</v>
      </c>
      <c r="K202" s="286"/>
      <c r="L202" s="183"/>
      <c r="M202" s="662"/>
    </row>
    <row r="203" spans="2:14">
      <c r="B203" s="183"/>
      <c r="C203" s="183"/>
      <c r="D203" s="229" t="s">
        <v>1719</v>
      </c>
      <c r="E203" s="634">
        <f>SUM(E199:E202)</f>
        <v>0</v>
      </c>
      <c r="F203" s="157"/>
      <c r="G203" s="592">
        <f>SUM(G199:G202)</f>
        <v>0</v>
      </c>
      <c r="H203" s="642"/>
      <c r="J203" s="183"/>
      <c r="K203" s="286"/>
      <c r="L203" s="183"/>
      <c r="M203" s="662"/>
    </row>
    <row r="204" spans="2:14">
      <c r="B204" s="183"/>
      <c r="C204" s="183"/>
      <c r="D204" s="122"/>
      <c r="E204" s="224"/>
      <c r="F204" s="200"/>
      <c r="G204" s="200"/>
      <c r="H204" s="642"/>
      <c r="J204" s="183"/>
      <c r="K204" s="286"/>
      <c r="L204" s="183"/>
      <c r="M204" s="662"/>
    </row>
    <row r="205" spans="2:14">
      <c r="B205" s="183"/>
      <c r="C205" s="183"/>
      <c r="D205" s="366" t="s">
        <v>1921</v>
      </c>
      <c r="E205" s="157"/>
      <c r="F205" s="200"/>
      <c r="G205" s="200"/>
      <c r="H205" s="642"/>
      <c r="J205" s="183"/>
      <c r="K205" s="286"/>
      <c r="L205" s="183"/>
      <c r="M205" s="662"/>
    </row>
    <row r="206" spans="2:14">
      <c r="B206" s="183"/>
      <c r="C206" s="183"/>
      <c r="D206" s="229" t="s">
        <v>1642</v>
      </c>
      <c r="E206" s="633">
        <f>G206*H206/I206</f>
        <v>0</v>
      </c>
      <c r="F206" s="591" t="s">
        <v>66</v>
      </c>
      <c r="G206" s="593">
        <f>IF(Roadway!G28=HIDDEN!D29,(Roadway!G26*Roadway!G27),0)</f>
        <v>0</v>
      </c>
      <c r="H206" s="640">
        <f>((20+4)*(10+4))-(20*10)</f>
        <v>136</v>
      </c>
      <c r="I206" s="285">
        <v>27</v>
      </c>
      <c r="J206" s="196" t="str">
        <f>IF(Roadway!G28=HIDDEN!$D$29,"| "&amp;HIDDEN!$D$29&amp;" Culverts: "&amp;Roadway!G26,"No large box culverts on Roadway 1")</f>
        <v>No large box culverts on Roadway 1</v>
      </c>
      <c r="K206" s="286"/>
      <c r="L206" s="183"/>
      <c r="M206" s="662"/>
      <c r="N206" s="159" t="s">
        <v>3908</v>
      </c>
    </row>
    <row r="207" spans="2:14">
      <c r="B207" s="183"/>
      <c r="C207" s="183"/>
      <c r="D207" s="229" t="s">
        <v>1643</v>
      </c>
      <c r="E207" s="633">
        <f>G207*H207/I207</f>
        <v>0</v>
      </c>
      <c r="F207" s="591" t="s">
        <v>66</v>
      </c>
      <c r="G207" s="593">
        <f>IF(Roadway!H28=HIDDEN!D29,(Roadway!H26*Roadway!H27),0)</f>
        <v>0</v>
      </c>
      <c r="H207" s="640">
        <f>((20+4)*(10+4))-(20*10)</f>
        <v>136</v>
      </c>
      <c r="I207" s="285">
        <v>27</v>
      </c>
      <c r="J207" s="196" t="str">
        <f>IF(Roadway!H28=HIDDEN!$D$29,"| "&amp;HIDDEN!$D$29&amp;" Culverts: "&amp;Roadway!H26,"No large box culverts on Roadway 2")</f>
        <v>No large box culverts on Roadway 2</v>
      </c>
      <c r="K207" s="286"/>
      <c r="L207" s="183"/>
      <c r="M207" s="662"/>
    </row>
    <row r="208" spans="2:14">
      <c r="B208" s="183"/>
      <c r="C208" s="183"/>
      <c r="D208" s="229" t="s">
        <v>1644</v>
      </c>
      <c r="E208" s="633">
        <f>G208*H208/I208</f>
        <v>0</v>
      </c>
      <c r="F208" s="591" t="s">
        <v>66</v>
      </c>
      <c r="G208" s="593">
        <f>IF(Roadway!I28=HIDDEN!D29,(Roadway!I26*Roadway!I27),0)</f>
        <v>0</v>
      </c>
      <c r="H208" s="640">
        <f>((20+4)*(10+4))-(20*10)</f>
        <v>136</v>
      </c>
      <c r="I208" s="285">
        <v>27</v>
      </c>
      <c r="J208" s="196" t="str">
        <f>IF(Roadway!I28=HIDDEN!$D$29,"| "&amp;HIDDEN!$D$29&amp;" Culverts: "&amp;Roadway!I26,"No large box culverts on Roadway 3")</f>
        <v>No large box culverts on Roadway 3</v>
      </c>
      <c r="K208" s="286"/>
      <c r="L208" s="183"/>
      <c r="M208" s="662"/>
    </row>
    <row r="209" spans="2:14">
      <c r="B209" s="183"/>
      <c r="C209" s="183"/>
      <c r="D209" s="229" t="s">
        <v>1645</v>
      </c>
      <c r="E209" s="633">
        <f>G209*H209/I209</f>
        <v>0</v>
      </c>
      <c r="F209" s="591" t="s">
        <v>66</v>
      </c>
      <c r="G209" s="594">
        <f>IF(Roadway!J28=HIDDEN!D29,(Roadway!J26*Roadway!J27),0)</f>
        <v>0</v>
      </c>
      <c r="H209" s="640">
        <f>((20+4)*(10+4))-(20*10)</f>
        <v>136</v>
      </c>
      <c r="I209" s="285">
        <v>27</v>
      </c>
      <c r="J209" s="196" t="str">
        <f>IF(Roadway!J28=HIDDEN!$D$29,"| "&amp;HIDDEN!$D$29&amp;" Culverts: "&amp;Roadway!J26,"No large box culverts on Roadway 4")</f>
        <v>No large box culverts on Roadway 4</v>
      </c>
      <c r="K209" s="286"/>
      <c r="L209" s="183"/>
      <c r="M209" s="662"/>
    </row>
    <row r="210" spans="2:14">
      <c r="B210" s="183"/>
      <c r="C210" s="183"/>
      <c r="D210" s="229" t="s">
        <v>1719</v>
      </c>
      <c r="E210" s="635">
        <f>SUM(E206:E209)</f>
        <v>0</v>
      </c>
      <c r="F210" s="157"/>
      <c r="G210" s="592">
        <f>SUM(G206:G209)</f>
        <v>0</v>
      </c>
      <c r="H210" s="183"/>
      <c r="I210" s="183"/>
      <c r="J210" s="183"/>
      <c r="K210" s="286"/>
      <c r="L210" s="183"/>
      <c r="M210" s="662"/>
    </row>
    <row r="211" spans="2:14">
      <c r="B211" s="183"/>
      <c r="C211" s="183"/>
      <c r="D211" s="229"/>
      <c r="E211" s="455"/>
      <c r="F211" s="200"/>
      <c r="G211" s="200"/>
      <c r="H211" s="183"/>
      <c r="I211" s="183"/>
      <c r="J211" s="183"/>
      <c r="K211" s="286"/>
      <c r="L211" s="183"/>
      <c r="M211" s="662"/>
    </row>
    <row r="212" spans="2:14">
      <c r="B212" s="183"/>
      <c r="C212" s="183"/>
      <c r="D212" s="366" t="s">
        <v>3689</v>
      </c>
      <c r="E212" s="455"/>
      <c r="F212" s="200"/>
      <c r="G212" s="196"/>
      <c r="H212" s="183"/>
      <c r="I212" s="183"/>
      <c r="J212" s="183"/>
      <c r="K212" s="286"/>
      <c r="L212" s="183"/>
      <c r="M212" s="662"/>
      <c r="N212" s="178"/>
    </row>
    <row r="213" spans="2:14">
      <c r="B213" s="183"/>
      <c r="C213" s="183"/>
      <c r="D213" s="229" t="s">
        <v>1642</v>
      </c>
      <c r="E213" s="633">
        <f>IF(AND(OR(Roadway!G29=HIDDEN!D37,Roadway!G29=HIDDEN!D38,Roadway!G29=HIDDEN!D39),OR(Roadway!G28=HIDDEN!D31,Roadway!G28=HIDDEN!D34)),Roadway!G26*4.15,0)</f>
        <v>0</v>
      </c>
      <c r="F213" s="200"/>
      <c r="G213" s="196" t="str">
        <f>IF(AND(OR(Roadway!G29=HIDDEN!$D$37,Roadway!G29=HIDDEN!$D$38,Roadway!G29=HIDDEN!$D$39),OR(Roadway!G28=HIDDEN!$D$31,Roadway!G28=HIDDEN!$D$34)),"| "&amp;Roadway!G29&amp;" headwall for a "&amp;Roadway!G28&amp;" culvert","No fieldstone or concrete headwall on a small pipe/box culvert")</f>
        <v>No fieldstone or concrete headwall on a small pipe/box culvert</v>
      </c>
      <c r="K213" s="286"/>
      <c r="L213" s="183"/>
      <c r="M213" s="662"/>
      <c r="N213" s="595"/>
    </row>
    <row r="214" spans="2:14">
      <c r="B214" s="183"/>
      <c r="C214" s="183"/>
      <c r="D214" s="229" t="s">
        <v>1643</v>
      </c>
      <c r="E214" s="633">
        <f>IF(AND(OR(Roadway!H29=HIDDEN!D37,Roadway!H29=HIDDEN!D38,Roadway!H29=HIDDEN!D39),OR(Roadway!H28=HIDDEN!D31,Roadway!H28=HIDDEN!D34)),Roadway!H26*4.15,0)</f>
        <v>0</v>
      </c>
      <c r="F214" s="200"/>
      <c r="G214" s="196" t="str">
        <f>IF(AND(OR(Roadway!H29=HIDDEN!$D$37,Roadway!H29=HIDDEN!$D$38,Roadway!H29=HIDDEN!$D$39),OR(Roadway!H28=HIDDEN!$D$31,Roadway!H28=HIDDEN!$D$34)),"| "&amp;Roadway!H29&amp;" headwall for a "&amp;Roadway!H28&amp;" culvert","No fieldstone or concrete headwall on a small pipe/box culvert")</f>
        <v>No fieldstone or concrete headwall on a small pipe/box culvert</v>
      </c>
      <c r="H214" s="183"/>
      <c r="I214" s="183"/>
      <c r="J214" s="183"/>
      <c r="K214" s="286"/>
      <c r="L214" s="183"/>
      <c r="M214" s="662"/>
    </row>
    <row r="215" spans="2:14">
      <c r="B215" s="183"/>
      <c r="C215" s="183"/>
      <c r="D215" s="229" t="s">
        <v>1644</v>
      </c>
      <c r="E215" s="633">
        <f>IF(AND(OR(Roadway!I29=HIDDEN!D37,Roadway!I29=HIDDEN!D38,Roadway!I29=HIDDEN!D39),OR(Roadway!I28=HIDDEN!D31,Roadway!I28=HIDDEN!D34)),Roadway!I26*4.15,0)</f>
        <v>0</v>
      </c>
      <c r="F215" s="200"/>
      <c r="G215" s="196" t="str">
        <f>IF(AND(OR(Roadway!I29=HIDDEN!$D$37,Roadway!I29=HIDDEN!$D$38,Roadway!I29=HIDDEN!$D$39),OR(Roadway!I28=HIDDEN!$D$31,Roadway!I28=HIDDEN!$D$34)),"| "&amp;Roadway!I29&amp;" headwall for a "&amp;Roadway!I28&amp;" culvert","No fieldstone or concrete headwall on a small pipe/box culvert")</f>
        <v>No fieldstone or concrete headwall on a small pipe/box culvert</v>
      </c>
      <c r="H215" s="183"/>
      <c r="I215" s="183"/>
      <c r="J215" s="183"/>
      <c r="K215" s="286"/>
      <c r="L215" s="183"/>
      <c r="M215" s="662"/>
    </row>
    <row r="216" spans="2:14">
      <c r="B216" s="183"/>
      <c r="C216" s="183"/>
      <c r="D216" s="229" t="s">
        <v>1645</v>
      </c>
      <c r="E216" s="633">
        <f>IF(AND(OR(Roadway!J29=HIDDEN!D37,Roadway!J29=HIDDEN!D38,Roadway!J29=HIDDEN!D39),OR(Roadway!J28=HIDDEN!D31,Roadway!J28=HIDDEN!D34)),Roadway!J26*4.15,0)</f>
        <v>0</v>
      </c>
      <c r="F216" s="200"/>
      <c r="G216" s="196" t="str">
        <f>IF(AND(OR(Roadway!J29=HIDDEN!$D$37,Roadway!J29=HIDDEN!$D$38,Roadway!J29=HIDDEN!$D$39),OR(Roadway!J28=HIDDEN!$D$31,Roadway!J28=HIDDEN!$D$34)),"| "&amp;Roadway!J29&amp;" headwall for a "&amp;Roadway!J28&amp;" culvert","No fieldstone or concrete headwall on a small pipe/box culvert")</f>
        <v>No fieldstone or concrete headwall on a small pipe/box culvert</v>
      </c>
      <c r="H216" s="183"/>
      <c r="I216" s="183"/>
      <c r="J216" s="183"/>
      <c r="K216" s="286"/>
      <c r="L216" s="183"/>
      <c r="M216" s="662"/>
    </row>
    <row r="217" spans="2:14">
      <c r="B217" s="183"/>
      <c r="C217" s="183"/>
      <c r="D217" s="229" t="s">
        <v>1719</v>
      </c>
      <c r="E217" s="634">
        <f>SUM(E213:E216)</f>
        <v>0</v>
      </c>
      <c r="F217" s="200"/>
      <c r="G217" s="200"/>
      <c r="H217" s="183"/>
      <c r="I217" s="183"/>
      <c r="J217" s="183"/>
      <c r="K217" s="286"/>
      <c r="L217" s="183"/>
      <c r="M217" s="662"/>
    </row>
    <row r="218" spans="2:14">
      <c r="B218" s="183"/>
      <c r="C218" s="183"/>
      <c r="D218" s="229"/>
      <c r="E218" s="455"/>
      <c r="F218" s="200"/>
      <c r="G218" s="200"/>
      <c r="H218" s="183"/>
      <c r="I218" s="183"/>
      <c r="J218" s="183"/>
      <c r="K218" s="286"/>
      <c r="L218" s="183"/>
      <c r="M218" s="662"/>
    </row>
    <row r="219" spans="2:14">
      <c r="B219" s="183"/>
      <c r="C219" s="183"/>
      <c r="D219" s="366" t="s">
        <v>3690</v>
      </c>
      <c r="E219" s="455"/>
      <c r="F219" s="200"/>
      <c r="G219" s="200"/>
      <c r="H219" s="183"/>
      <c r="I219" s="183"/>
      <c r="J219" s="183"/>
      <c r="K219" s="286"/>
      <c r="L219" s="183"/>
      <c r="M219" s="662"/>
      <c r="N219" s="178"/>
    </row>
    <row r="220" spans="2:14">
      <c r="B220" s="183"/>
      <c r="C220" s="183"/>
      <c r="D220" s="229" t="s">
        <v>1642</v>
      </c>
      <c r="E220" s="633">
        <f>IF(AND(OR(Roadway!G29=HIDDEN!D37,Roadway!G29=HIDDEN!D38,Roadway!G29=HIDDEN!D39),OR(Roadway!G28=HIDDEN!D30,Roadway!G28=HIDDEN!D33)),Roadway!G26*12.99,0)</f>
        <v>0</v>
      </c>
      <c r="F220" s="200"/>
      <c r="G220" s="196" t="str">
        <f>IF(AND(OR(Roadway!G29=HIDDEN!$D$37,Roadway!G29=HIDDEN!$D$38,Roadway!G29=HIDDEN!$D$39),OR(Roadway!G28=HIDDEN!$D$30,Roadway!G28=HIDDEN!$D$33)),"| "&amp;Roadway!G29&amp;" headwall for a "&amp;Roadway!G28&amp;" culvert","No fieldstone or concrete headwall on a medium pipe/box culvert")</f>
        <v>No fieldstone or concrete headwall on a medium pipe/box culvert</v>
      </c>
      <c r="K220" s="286"/>
      <c r="L220" s="183"/>
      <c r="M220" s="662"/>
    </row>
    <row r="221" spans="2:14">
      <c r="B221" s="183"/>
      <c r="C221" s="183"/>
      <c r="D221" s="229" t="s">
        <v>1643</v>
      </c>
      <c r="E221" s="633">
        <f>IF(AND(OR(Roadway!H29=HIDDEN!D37,Roadway!H29=HIDDEN!D38,Roadway!H29=HIDDEN!D39),OR(Roadway!H28=HIDDEN!D30,Roadway!H28=HIDDEN!D33)),Roadway!H26*12.99,0)</f>
        <v>0</v>
      </c>
      <c r="F221" s="200"/>
      <c r="G221" s="196" t="str">
        <f>IF(AND(OR(Roadway!H29=HIDDEN!$D$37,Roadway!H29=HIDDEN!$D$38,Roadway!H29=HIDDEN!$D$39),OR(Roadway!H28=HIDDEN!$D$30,Roadway!H28=HIDDEN!$D$33)),"| "&amp;Roadway!H29&amp;" headwall for a "&amp;Roadway!H28&amp;" culvert","No fieldstone or concrete headwall on a medium pipe/box culvert")</f>
        <v>No fieldstone or concrete headwall on a medium pipe/box culvert</v>
      </c>
      <c r="H221" s="183"/>
      <c r="I221" s="183"/>
      <c r="J221" s="183"/>
      <c r="K221" s="286"/>
      <c r="L221" s="183"/>
      <c r="M221" s="662"/>
    </row>
    <row r="222" spans="2:14">
      <c r="B222" s="183"/>
      <c r="C222" s="183"/>
      <c r="D222" s="229" t="s">
        <v>1644</v>
      </c>
      <c r="E222" s="633">
        <f>IF(AND(OR(Roadway!I29=HIDDEN!D37,Roadway!I29=HIDDEN!D38,Roadway!I29=HIDDEN!D39),OR(Roadway!I28=HIDDEN!D30,Roadway!I28=HIDDEN!D33)),Roadway!I26*12.99,0)</f>
        <v>0</v>
      </c>
      <c r="F222" s="200"/>
      <c r="G222" s="196" t="str">
        <f>IF(AND(OR(Roadway!I29=HIDDEN!$D$37,Roadway!I29=HIDDEN!$D$38,Roadway!I29=HIDDEN!$D$39),OR(Roadway!I28=HIDDEN!$D$30,Roadway!I28=HIDDEN!$D$33)),"| "&amp;Roadway!I29&amp;" headwall for a "&amp;Roadway!I28&amp;" culvert","No fieldstone or concrete headwall on a medium pipe/box culvert")</f>
        <v>No fieldstone or concrete headwall on a medium pipe/box culvert</v>
      </c>
      <c r="H222" s="183"/>
      <c r="I222" s="183"/>
      <c r="J222" s="183"/>
      <c r="K222" s="286"/>
      <c r="L222" s="183"/>
      <c r="M222" s="662"/>
    </row>
    <row r="223" spans="2:14">
      <c r="B223" s="183"/>
      <c r="C223" s="183"/>
      <c r="D223" s="229" t="s">
        <v>1645</v>
      </c>
      <c r="E223" s="633">
        <f>IF(AND(OR(Roadway!J29=HIDDEN!D37,Roadway!J29=HIDDEN!D38,Roadway!J29=HIDDEN!D39),OR(Roadway!J28=HIDDEN!D30,Roadway!J28=HIDDEN!D33)),Roadway!J26*12.99,0)</f>
        <v>0</v>
      </c>
      <c r="F223" s="200"/>
      <c r="G223" s="196" t="str">
        <f>IF(AND(OR(Roadway!J29=HIDDEN!$D$37,Roadway!J29=HIDDEN!$D$38,Roadway!J29=HIDDEN!$D$39),OR(Roadway!J28=HIDDEN!$D$30,Roadway!J28=HIDDEN!$D$33)),"| "&amp;Roadway!J29&amp;" headwall for a "&amp;Roadway!J28&amp;" culvert","No fieldstone or concrete headwall on a medium pipe/box culvert")</f>
        <v>No fieldstone or concrete headwall on a medium pipe/box culvert</v>
      </c>
      <c r="H223" s="183"/>
      <c r="I223" s="183"/>
      <c r="J223" s="183"/>
      <c r="K223" s="286"/>
      <c r="L223" s="183"/>
      <c r="M223" s="662"/>
    </row>
    <row r="224" spans="2:14">
      <c r="B224" s="183"/>
      <c r="C224" s="183"/>
      <c r="D224" s="229" t="s">
        <v>1719</v>
      </c>
      <c r="E224" s="634">
        <f>SUM(E220:E223)</f>
        <v>0</v>
      </c>
      <c r="F224" s="200"/>
      <c r="G224" s="200"/>
      <c r="H224" s="183"/>
      <c r="I224" s="183"/>
      <c r="J224" s="183"/>
      <c r="K224" s="286"/>
      <c r="L224" s="183"/>
      <c r="M224" s="662"/>
    </row>
    <row r="225" spans="1:14">
      <c r="B225" s="183"/>
      <c r="C225" s="183"/>
      <c r="D225" s="229"/>
      <c r="E225" s="455"/>
      <c r="F225" s="200"/>
      <c r="G225" s="200"/>
      <c r="H225" s="183"/>
      <c r="I225" s="183"/>
      <c r="J225" s="183"/>
      <c r="K225" s="286"/>
      <c r="L225" s="183"/>
      <c r="M225" s="662"/>
    </row>
    <row r="226" spans="1:14">
      <c r="B226" s="183"/>
      <c r="C226" s="183"/>
      <c r="D226" s="366" t="s">
        <v>3691</v>
      </c>
      <c r="E226" s="455"/>
      <c r="F226" s="200"/>
      <c r="G226" s="200"/>
      <c r="H226" s="183"/>
      <c r="I226" s="183"/>
      <c r="J226" s="183"/>
      <c r="K226" s="286"/>
      <c r="L226" s="183"/>
      <c r="M226" s="662"/>
      <c r="N226" s="178"/>
    </row>
    <row r="227" spans="1:14">
      <c r="B227" s="183"/>
      <c r="C227" s="183"/>
      <c r="D227" s="229" t="s">
        <v>1642</v>
      </c>
      <c r="E227" s="633">
        <f>IF(AND(OR(Roadway!G29=HIDDEN!D37,Roadway!G29=HIDDEN!D38,Roadway!G29=HIDDEN!D39),OR(Roadway!G28=HIDDEN!D29,Roadway!G28=HIDDEN!D32)),Roadway!G26*25.67,0)</f>
        <v>0</v>
      </c>
      <c r="F227" s="200"/>
      <c r="G227" s="196" t="str">
        <f>IF(AND(OR(Roadway!G29=HIDDEN!$D$37,Roadway!G29=HIDDEN!$D$38,Roadway!G29=HIDDEN!$D$39),OR(Roadway!G28=HIDDEN!$D$29,Roadway!G28=HIDDEN!$D$32)),"| "&amp;Roadway!G29&amp;" headwall for a "&amp;Roadway!G28&amp;" culvert","No fieldstone or concrete headwall on a large pipe/box culvert")</f>
        <v>No fieldstone or concrete headwall on a large pipe/box culvert</v>
      </c>
      <c r="K227" s="286"/>
      <c r="L227" s="183"/>
      <c r="M227" s="662"/>
    </row>
    <row r="228" spans="1:14">
      <c r="B228" s="183"/>
      <c r="C228" s="183"/>
      <c r="D228" s="229" t="s">
        <v>1643</v>
      </c>
      <c r="E228" s="633">
        <f>IF(AND(OR(Roadway!H29=HIDDEN!D37,Roadway!H29=HIDDEN!D38,Roadway!H29=HIDDEN!D39),OR(Roadway!H28=HIDDEN!D29,Roadway!H28=HIDDEN!D32)),Roadway!H26*25.67,0)</f>
        <v>0</v>
      </c>
      <c r="F228" s="200"/>
      <c r="G228" s="196" t="str">
        <f>IF(AND(OR(Roadway!H29=HIDDEN!$D$37,Roadway!H29=HIDDEN!$D$38,Roadway!H29=HIDDEN!$D$39),OR(Roadway!H28=HIDDEN!$D$29,Roadway!H28=HIDDEN!$D$32)),"| "&amp;Roadway!H29&amp;" headwall for a "&amp;Roadway!H28&amp;" culvert","No fieldstone or concrete headwall on a large pipe/box culvert")</f>
        <v>No fieldstone or concrete headwall on a large pipe/box culvert</v>
      </c>
      <c r="H228" s="183"/>
      <c r="I228" s="183"/>
      <c r="J228" s="183"/>
      <c r="K228" s="286"/>
      <c r="L228" s="183"/>
      <c r="M228" s="662"/>
    </row>
    <row r="229" spans="1:14">
      <c r="B229" s="183"/>
      <c r="C229" s="183"/>
      <c r="D229" s="229" t="s">
        <v>1644</v>
      </c>
      <c r="E229" s="633">
        <f>IF(AND(OR(Roadway!I29=HIDDEN!D37,Roadway!I29=HIDDEN!D38,Roadway!I29=HIDDEN!D39),OR(Roadway!I28=HIDDEN!D29,Roadway!I28=HIDDEN!D32)),Roadway!I26*25.67,0)</f>
        <v>0</v>
      </c>
      <c r="F229" s="200"/>
      <c r="G229" s="196" t="str">
        <f>IF(AND(OR(Roadway!I29=HIDDEN!$D$37,Roadway!I29=HIDDEN!$D$38,Roadway!I29=HIDDEN!$D$39),OR(Roadway!I28=HIDDEN!$D$29,Roadway!I28=HIDDEN!$D$32)),"| "&amp;Roadway!I29&amp;" headwall for a "&amp;Roadway!I28&amp;" culvert","No fieldstone or concrete headwall on a large pipe/box culvert")</f>
        <v>No fieldstone or concrete headwall on a large pipe/box culvert</v>
      </c>
      <c r="H229" s="183"/>
      <c r="I229" s="183"/>
      <c r="J229" s="183"/>
      <c r="K229" s="286"/>
      <c r="L229" s="183"/>
      <c r="M229" s="662"/>
    </row>
    <row r="230" spans="1:14">
      <c r="B230" s="183"/>
      <c r="C230" s="183"/>
      <c r="D230" s="229" t="s">
        <v>1645</v>
      </c>
      <c r="E230" s="633">
        <f>IF(AND(OR(Roadway!J29=HIDDEN!D37,Roadway!J29=HIDDEN!D38,Roadway!J29=HIDDEN!D39),OR(Roadway!J28=HIDDEN!D29,Roadway!J28=HIDDEN!D32)),Roadway!J26*25.67,0)</f>
        <v>0</v>
      </c>
      <c r="F230" s="200"/>
      <c r="G230" s="196" t="str">
        <f>IF(AND(OR(Roadway!J29=HIDDEN!$D$37,Roadway!J29=HIDDEN!$D$38,Roadway!J29=HIDDEN!$D$39),OR(Roadway!J28=HIDDEN!$D$29,Roadway!J28=HIDDEN!$D$32)),"| "&amp;Roadway!J29&amp;" headwall for a "&amp;Roadway!J28&amp;" culvert","No fieldstone or concrete headwall on a large pipe/box culvert")</f>
        <v>No fieldstone or concrete headwall on a large pipe/box culvert</v>
      </c>
      <c r="H230" s="183"/>
      <c r="I230" s="183"/>
      <c r="J230" s="183"/>
      <c r="K230" s="286"/>
      <c r="L230" s="183"/>
      <c r="M230" s="662"/>
    </row>
    <row r="231" spans="1:14">
      <c r="B231" s="183"/>
      <c r="C231" s="183"/>
      <c r="D231" s="229" t="s">
        <v>1719</v>
      </c>
      <c r="E231" s="634">
        <f>SUM(E227:E230)</f>
        <v>0</v>
      </c>
      <c r="F231" s="200"/>
      <c r="G231" s="200"/>
      <c r="H231" s="183"/>
      <c r="I231" s="183"/>
      <c r="J231" s="183"/>
      <c r="K231" s="286"/>
      <c r="L231" s="183"/>
      <c r="M231" s="662"/>
    </row>
    <row r="232" spans="1:14">
      <c r="B232" s="183"/>
      <c r="C232" s="183"/>
      <c r="D232" s="229"/>
      <c r="E232" s="455"/>
      <c r="F232" s="200"/>
      <c r="G232" s="200"/>
      <c r="H232" s="183"/>
      <c r="I232" s="183"/>
      <c r="J232" s="183"/>
      <c r="K232" s="286"/>
      <c r="L232" s="183"/>
      <c r="M232" s="662"/>
    </row>
    <row r="233" spans="1:14">
      <c r="A233" s="868" t="str">
        <f ca="1">IFERROR(HYPERLINK("#"&amp;"ProjectEstimate!A"&amp;(8+MATCH($C233,ProjectEstimate!$A$9:$A$145,0)),CONCATENATE("Go to ",$C233))," ")</f>
        <v xml:space="preserve"> </v>
      </c>
      <c r="B233" s="183"/>
      <c r="C233" s="157">
        <v>910.1</v>
      </c>
      <c r="D233" s="1227" t="s">
        <v>637</v>
      </c>
      <c r="E233" s="1227"/>
      <c r="F233" s="1227"/>
      <c r="G233" s="1227"/>
      <c r="H233" s="152">
        <f>ROUNDUP(E240,-1)</f>
        <v>0</v>
      </c>
      <c r="I233" s="153" t="s">
        <v>100</v>
      </c>
      <c r="J233" s="154">
        <f ca="1">IF(ISBLANK(M233),_xlfn.XLOOKUP(C233,Output[Item '#],Output[Unit Price (Max or Override)]),M233)</f>
        <v>4</v>
      </c>
      <c r="K233" s="205">
        <f ca="1">ROUND(H233*J233, -1)</f>
        <v>0</v>
      </c>
      <c r="L233" s="183"/>
      <c r="M233" s="869"/>
    </row>
    <row r="234" spans="1:14">
      <c r="B234" s="183"/>
      <c r="C234" s="157"/>
      <c r="D234" s="157"/>
      <c r="E234" s="157"/>
      <c r="F234" s="157"/>
      <c r="G234" s="157"/>
      <c r="H234" s="152"/>
      <c r="I234" s="153"/>
      <c r="J234" s="154"/>
      <c r="K234" s="205"/>
      <c r="L234" s="183"/>
      <c r="M234" s="662"/>
    </row>
    <row r="235" spans="1:14">
      <c r="B235" s="183"/>
      <c r="C235" s="157"/>
      <c r="D235" s="366" t="s">
        <v>1927</v>
      </c>
      <c r="E235" s="157"/>
      <c r="F235" s="157"/>
      <c r="G235" s="157"/>
      <c r="H235" s="152"/>
      <c r="I235" s="153"/>
      <c r="J235" s="154"/>
      <c r="K235" s="205"/>
      <c r="L235" s="183"/>
      <c r="M235" s="662"/>
    </row>
    <row r="236" spans="1:14">
      <c r="B236" s="183"/>
      <c r="C236" s="157"/>
      <c r="D236" s="229" t="s">
        <v>1642</v>
      </c>
      <c r="E236" s="457">
        <f>(E192+E199+E206+E213+E220+E227)*12</f>
        <v>0</v>
      </c>
      <c r="F236" s="157"/>
      <c r="G236" s="157"/>
      <c r="H236" s="152"/>
      <c r="I236" s="153"/>
      <c r="J236" s="154"/>
      <c r="K236" s="205"/>
      <c r="L236" s="183"/>
      <c r="M236" s="662"/>
    </row>
    <row r="237" spans="1:14">
      <c r="B237" s="183"/>
      <c r="C237" s="157"/>
      <c r="D237" s="229" t="s">
        <v>1643</v>
      </c>
      <c r="E237" s="457">
        <f>(E193+E200+E207+E214+E221+E228)*12</f>
        <v>0</v>
      </c>
      <c r="F237" s="157"/>
      <c r="G237" s="157"/>
      <c r="H237" s="152"/>
      <c r="I237" s="153"/>
      <c r="J237" s="154"/>
      <c r="K237" s="205"/>
      <c r="L237" s="183"/>
      <c r="M237" s="662"/>
    </row>
    <row r="238" spans="1:14">
      <c r="B238" s="183"/>
      <c r="C238" s="157"/>
      <c r="D238" s="229" t="s">
        <v>1644</v>
      </c>
      <c r="E238" s="457">
        <f>(E194+E201+E208+E215+E222+E229)*12</f>
        <v>0</v>
      </c>
      <c r="F238" s="157"/>
      <c r="G238" s="157"/>
      <c r="H238" s="152"/>
      <c r="I238" s="153"/>
      <c r="J238" s="154"/>
      <c r="K238" s="205"/>
      <c r="L238" s="183"/>
      <c r="M238" s="662"/>
    </row>
    <row r="239" spans="1:14">
      <c r="B239" s="183"/>
      <c r="C239" s="157"/>
      <c r="D239" s="229" t="s">
        <v>1645</v>
      </c>
      <c r="E239" s="457">
        <f>(E195+E202+E209+E216+E223+E230)*12</f>
        <v>0</v>
      </c>
      <c r="F239" s="157"/>
      <c r="G239" s="157"/>
      <c r="H239" s="152"/>
      <c r="I239" s="153"/>
      <c r="J239" s="154"/>
      <c r="K239" s="205"/>
      <c r="L239" s="183"/>
      <c r="M239" s="662"/>
    </row>
    <row r="240" spans="1:14">
      <c r="B240" s="183"/>
      <c r="C240" s="183"/>
      <c r="D240" s="229" t="s">
        <v>1719</v>
      </c>
      <c r="E240" s="383">
        <f>SUM(E236:E239)</f>
        <v>0</v>
      </c>
      <c r="F240" s="200"/>
      <c r="G240" s="200"/>
      <c r="H240" s="183"/>
      <c r="I240" s="183"/>
      <c r="J240" s="183"/>
      <c r="K240" s="286"/>
      <c r="L240" s="183"/>
      <c r="M240" s="664"/>
    </row>
    <row r="241" spans="2:14">
      <c r="B241" s="183"/>
      <c r="C241" s="122"/>
      <c r="D241" s="122"/>
      <c r="E241" s="122"/>
      <c r="F241" s="122"/>
      <c r="G241" s="200"/>
      <c r="H241" s="221"/>
      <c r="I241" s="200"/>
      <c r="J241" s="154" t="s">
        <v>826</v>
      </c>
      <c r="K241" s="205">
        <f ca="1">SUM(K15:K240)</f>
        <v>0</v>
      </c>
      <c r="L241" s="183"/>
      <c r="N241" s="497"/>
    </row>
    <row r="242" spans="2:14">
      <c r="B242" s="183"/>
      <c r="C242" s="183"/>
      <c r="D242" s="366"/>
      <c r="E242" s="157"/>
      <c r="F242" s="200"/>
      <c r="G242" s="200"/>
      <c r="H242" s="183"/>
      <c r="I242" s="183"/>
      <c r="J242" s="183"/>
      <c r="K242" s="286"/>
      <c r="L242" s="183"/>
    </row>
    <row r="243" spans="2:14">
      <c r="B243" s="183"/>
      <c r="C243" s="183"/>
      <c r="D243" s="229"/>
      <c r="E243" s="382"/>
      <c r="F243" s="200"/>
      <c r="G243" s="200"/>
      <c r="H243" s="183"/>
      <c r="I243" s="183"/>
      <c r="J243" s="183"/>
      <c r="K243" s="286"/>
      <c r="L243" s="183"/>
    </row>
    <row r="244" spans="2:14">
      <c r="B244" s="183"/>
      <c r="C244" s="183"/>
      <c r="D244" s="229"/>
      <c r="E244" s="382"/>
      <c r="F244" s="200"/>
      <c r="G244" s="200"/>
      <c r="H244" s="183"/>
      <c r="I244" s="183"/>
      <c r="J244" s="183"/>
      <c r="K244" s="286"/>
      <c r="L244" s="183"/>
    </row>
    <row r="245" spans="2:14">
      <c r="B245" s="183"/>
      <c r="C245" s="183"/>
      <c r="D245" s="229"/>
      <c r="E245" s="382"/>
      <c r="F245" s="200"/>
      <c r="G245" s="200"/>
      <c r="H245" s="183"/>
      <c r="I245" s="183"/>
      <c r="J245" s="183"/>
      <c r="K245" s="286"/>
      <c r="L245" s="183"/>
    </row>
    <row r="246" spans="2:14">
      <c r="B246" s="183"/>
      <c r="C246" s="183"/>
      <c r="D246" s="229"/>
      <c r="E246" s="38"/>
      <c r="F246" s="38"/>
      <c r="G246" s="200"/>
      <c r="H246" s="183"/>
      <c r="I246" s="183"/>
      <c r="J246" s="183"/>
      <c r="K246" s="286"/>
      <c r="L246" s="183"/>
    </row>
    <row r="247" spans="2:14">
      <c r="B247" s="183"/>
      <c r="C247" s="183"/>
      <c r="D247" s="229"/>
      <c r="E247" s="38"/>
      <c r="F247" s="38"/>
      <c r="G247" s="200"/>
      <c r="H247" s="183"/>
      <c r="I247" s="183"/>
      <c r="J247" s="183"/>
      <c r="K247" s="286"/>
      <c r="L247" s="183"/>
    </row>
    <row r="248" spans="2:14">
      <c r="B248" s="183"/>
      <c r="C248" s="183"/>
      <c r="D248" s="122"/>
      <c r="E248" s="38"/>
      <c r="F248" s="38"/>
      <c r="G248" s="200"/>
      <c r="H248" s="183"/>
      <c r="I248" s="183"/>
      <c r="J248" s="183"/>
      <c r="K248" s="286"/>
      <c r="L248" s="183"/>
    </row>
    <row r="249" spans="2:14">
      <c r="B249" s="183"/>
      <c r="C249" s="183"/>
      <c r="D249" s="366"/>
      <c r="E249" s="38"/>
      <c r="F249" s="38"/>
      <c r="G249" s="200"/>
      <c r="H249" s="183"/>
      <c r="I249" s="183"/>
      <c r="J249" s="183"/>
      <c r="K249" s="286"/>
      <c r="L249" s="183"/>
    </row>
    <row r="250" spans="2:14">
      <c r="B250" s="183"/>
      <c r="C250" s="183"/>
      <c r="D250" s="229"/>
      <c r="E250" s="38"/>
      <c r="F250" s="38"/>
      <c r="G250" s="200"/>
      <c r="H250" s="183"/>
      <c r="I250" s="183"/>
      <c r="J250" s="183"/>
      <c r="K250" s="286"/>
      <c r="L250" s="183"/>
    </row>
    <row r="251" spans="2:14">
      <c r="B251" s="183"/>
      <c r="C251" s="183"/>
      <c r="D251" s="229"/>
      <c r="E251" s="38"/>
      <c r="F251" s="38"/>
      <c r="G251" s="200"/>
      <c r="H251" s="183"/>
      <c r="I251" s="183"/>
      <c r="J251" s="183"/>
      <c r="K251" s="286"/>
      <c r="L251" s="183"/>
    </row>
    <row r="252" spans="2:14">
      <c r="B252" s="183"/>
      <c r="C252" s="183"/>
      <c r="D252" s="229"/>
      <c r="E252" s="38"/>
      <c r="F252" s="38"/>
      <c r="G252" s="200"/>
      <c r="H252" s="183"/>
      <c r="I252" s="183"/>
      <c r="J252" s="183"/>
      <c r="K252" s="286"/>
      <c r="L252" s="183"/>
    </row>
    <row r="253" spans="2:14">
      <c r="B253" s="183"/>
      <c r="C253" s="183"/>
      <c r="D253" s="229"/>
      <c r="E253" s="38"/>
      <c r="F253" s="38"/>
      <c r="G253" s="200"/>
      <c r="H253" s="183"/>
      <c r="I253" s="183"/>
      <c r="J253" s="183"/>
      <c r="K253" s="286"/>
      <c r="L253" s="183"/>
    </row>
    <row r="254" spans="2:14">
      <c r="B254" s="183"/>
      <c r="C254" s="183"/>
      <c r="D254" s="229"/>
      <c r="E254" s="38"/>
      <c r="F254" s="200"/>
      <c r="G254" s="200"/>
      <c r="H254" s="183"/>
      <c r="I254" s="183"/>
      <c r="J254" s="183"/>
      <c r="K254" s="286"/>
      <c r="L254" s="183"/>
    </row>
    <row r="255" spans="2:14">
      <c r="B255" s="183"/>
      <c r="C255" s="183"/>
      <c r="D255" s="122"/>
      <c r="E255" s="224"/>
      <c r="F255" s="200"/>
      <c r="G255" s="200"/>
      <c r="H255" s="183"/>
      <c r="I255" s="183"/>
      <c r="J255" s="183"/>
      <c r="K255" s="286"/>
      <c r="L255" s="183"/>
    </row>
  </sheetData>
  <sheetProtection algorithmName="SHA-512" hashValue="IcRi3wvoywm+HICECm2koFO+icTztw7Lp0v7uPMnUAihadP54mmHJMJsWT4QLL1T/46xWShbDeNwSkpYaFQLYA==" saltValue="wT6MLvHWvAPhIJb9wTm50Q==" spinCount="100000" sheet="1" objects="1" scenarios="1"/>
  <mergeCells count="32">
    <mergeCell ref="M13:M14"/>
    <mergeCell ref="D86:G86"/>
    <mergeCell ref="D15:G15"/>
    <mergeCell ref="D26:G26"/>
    <mergeCell ref="N20:R20"/>
    <mergeCell ref="N18:U19"/>
    <mergeCell ref="N21:R22"/>
    <mergeCell ref="N23:R24"/>
    <mergeCell ref="N31:U32"/>
    <mergeCell ref="F2:G2"/>
    <mergeCell ref="F3:G3"/>
    <mergeCell ref="C6:K6"/>
    <mergeCell ref="C7:K7"/>
    <mergeCell ref="D40:G40"/>
    <mergeCell ref="J2:K2"/>
    <mergeCell ref="J3:K3"/>
    <mergeCell ref="A9:A13"/>
    <mergeCell ref="D189:G189"/>
    <mergeCell ref="D233:G233"/>
    <mergeCell ref="D179:G179"/>
    <mergeCell ref="D59:G59"/>
    <mergeCell ref="D78:G78"/>
    <mergeCell ref="D92:G92"/>
    <mergeCell ref="D97:G97"/>
    <mergeCell ref="D126:G126"/>
    <mergeCell ref="D171:G171"/>
    <mergeCell ref="D144:G144"/>
    <mergeCell ref="D153:G153"/>
    <mergeCell ref="D162:G162"/>
    <mergeCell ref="D104:G104"/>
    <mergeCell ref="D108:G108"/>
    <mergeCell ref="D117:G117"/>
  </mergeCells>
  <phoneticPr fontId="7" type="noConversion"/>
  <conditionalFormatting sqref="D2:D3">
    <cfRule type="expression" dxfId="29" priority="5">
      <formula>D2=""</formula>
    </cfRule>
  </conditionalFormatting>
  <conditionalFormatting sqref="F2:F3">
    <cfRule type="expression" dxfId="28" priority="3">
      <formula>F2=""</formula>
    </cfRule>
  </conditionalFormatting>
  <conditionalFormatting sqref="J2:J3">
    <cfRule type="expression" dxfId="27" priority="1">
      <formula>J2=""</formula>
    </cfRule>
  </conditionalFormatting>
  <pageMargins left="0.75" right="0.75" top="1" bottom="1" header="0.5" footer="0.5"/>
  <pageSetup scale="78" fitToHeight="0" orientation="portrait" r:id="rId1"/>
  <headerFooter alignWithMargins="0">
    <oddHeader>&amp;C&amp;"Arial,Bold Italic"&amp;20DRAFT - TOOL STILL IN PRODUCTION</oddHeader>
    <oddFooter>&amp;C&amp;"Futura Bk BT,Book"Page &amp;P</oddFooter>
  </headerFooter>
  <rowBreaks count="5" manualBreakCount="5">
    <brk id="49" min="1" max="12" man="1"/>
    <brk id="96" min="1" max="12" man="1"/>
    <brk id="143" min="1" max="12" man="1"/>
    <brk id="188" min="1" max="12" man="1"/>
    <brk id="242" min="1" max="11"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tabColor theme="0" tint="-0.249977111117893"/>
    <pageSetUpPr fitToPage="1"/>
  </sheetPr>
  <dimension ref="A1:O62"/>
  <sheetViews>
    <sheetView topLeftCell="A6" workbookViewId="0">
      <selection activeCell="F21" sqref="F21"/>
    </sheetView>
  </sheetViews>
  <sheetFormatPr defaultColWidth="9.140625" defaultRowHeight="15"/>
  <cols>
    <col min="1" max="1" width="12.42578125" style="148" customWidth="1"/>
    <col min="2" max="2" width="1.7109375" style="148" customWidth="1"/>
    <col min="3" max="3" width="8.7109375" style="148" customWidth="1"/>
    <col min="4" max="4" width="38.7109375" style="148" bestFit="1" customWidth="1"/>
    <col min="5" max="5" width="7.140625" style="148" bestFit="1" customWidth="1"/>
    <col min="6" max="6" width="49.140625" style="148" bestFit="1" customWidth="1"/>
    <col min="7" max="7" width="1.85546875" style="148" customWidth="1"/>
    <col min="8" max="8" width="9.140625" style="148" customWidth="1"/>
    <col min="9" max="10" width="9.85546875" style="148" bestFit="1" customWidth="1"/>
    <col min="11" max="11" width="11.28515625" style="148" bestFit="1" customWidth="1"/>
    <col min="12" max="16384" width="9.140625" style="148"/>
  </cols>
  <sheetData>
    <row r="1" spans="1:15" ht="15.75" thickBot="1"/>
    <row r="2" spans="1:15">
      <c r="B2" s="162"/>
      <c r="C2" s="163" t="s">
        <v>8</v>
      </c>
      <c r="D2" s="866"/>
      <c r="E2" s="163" t="s">
        <v>9</v>
      </c>
      <c r="F2" s="1233"/>
      <c r="G2" s="1233"/>
      <c r="H2" s="273"/>
      <c r="I2" s="149" t="s">
        <v>1613</v>
      </c>
      <c r="J2" s="1220">
        <f>BasicProjectData!$G$17</f>
        <v>0</v>
      </c>
      <c r="K2" s="1251"/>
    </row>
    <row r="3" spans="1:15">
      <c r="B3" s="165"/>
      <c r="C3" s="166" t="s">
        <v>10</v>
      </c>
      <c r="D3" s="867"/>
      <c r="E3" s="166" t="s">
        <v>9</v>
      </c>
      <c r="F3" s="1234"/>
      <c r="G3" s="1234"/>
      <c r="H3" s="159"/>
      <c r="I3" s="150" t="s">
        <v>11</v>
      </c>
      <c r="J3" s="1222">
        <f>BasicProjectData!E7</f>
        <v>0</v>
      </c>
      <c r="K3" s="1252"/>
    </row>
    <row r="4" spans="1:15" ht="15.75" thickBot="1">
      <c r="B4" s="168"/>
      <c r="C4" s="169"/>
      <c r="D4" s="170"/>
      <c r="E4" s="171"/>
      <c r="F4" s="172"/>
      <c r="G4" s="173"/>
      <c r="H4" s="171"/>
      <c r="I4" s="171"/>
      <c r="J4" s="174"/>
      <c r="K4" s="175"/>
    </row>
    <row r="5" spans="1:15">
      <c r="B5" s="515"/>
      <c r="C5" s="103"/>
      <c r="D5" s="54"/>
      <c r="E5" s="542"/>
      <c r="F5" s="541"/>
      <c r="G5" s="544"/>
      <c r="H5" s="515"/>
      <c r="I5" s="515"/>
      <c r="J5" s="543"/>
    </row>
    <row r="6" spans="1:15" ht="15" customHeight="1">
      <c r="A6" s="1218" t="s">
        <v>3954</v>
      </c>
      <c r="B6" s="515"/>
      <c r="C6" s="103"/>
      <c r="D6" s="54"/>
      <c r="E6" s="516"/>
      <c r="F6" s="517"/>
      <c r="G6" s="515"/>
      <c r="H6" s="515"/>
      <c r="I6" s="515"/>
    </row>
    <row r="7" spans="1:15">
      <c r="A7" s="1218"/>
      <c r="B7" s="515"/>
      <c r="C7" s="518" t="s">
        <v>3773</v>
      </c>
      <c r="D7" s="54"/>
      <c r="E7" s="516"/>
      <c r="F7" s="517"/>
      <c r="G7" s="515"/>
      <c r="H7" s="515"/>
      <c r="I7" s="515"/>
      <c r="O7" s="1113"/>
    </row>
    <row r="8" spans="1:15">
      <c r="A8" s="1218"/>
      <c r="B8" s="515"/>
      <c r="C8" s="103"/>
      <c r="D8" s="54"/>
      <c r="E8" s="516"/>
      <c r="F8" s="517"/>
      <c r="G8" s="515"/>
      <c r="H8" s="515"/>
      <c r="I8" s="515"/>
    </row>
    <row r="9" spans="1:15" ht="15" customHeight="1">
      <c r="A9" s="1218"/>
      <c r="B9" s="515"/>
      <c r="C9" s="387" t="s">
        <v>77</v>
      </c>
      <c r="D9" s="475" t="s">
        <v>21</v>
      </c>
      <c r="F9" s="388" t="s">
        <v>829</v>
      </c>
      <c r="H9" s="520" t="s">
        <v>0</v>
      </c>
      <c r="I9" s="388" t="s">
        <v>1798</v>
      </c>
      <c r="J9" s="388" t="s">
        <v>1552</v>
      </c>
      <c r="K9" s="388" t="s">
        <v>1738</v>
      </c>
      <c r="M9" s="1244" t="s">
        <v>3923</v>
      </c>
    </row>
    <row r="10" spans="1:15" ht="15" customHeight="1">
      <c r="A10" s="1218"/>
      <c r="B10" s="515"/>
      <c r="C10" s="387"/>
      <c r="D10" s="475"/>
      <c r="F10" s="388"/>
      <c r="H10" s="515"/>
      <c r="I10" s="519"/>
      <c r="J10" s="515"/>
      <c r="K10" s="515"/>
      <c r="M10" s="1245"/>
    </row>
    <row r="11" spans="1:15" ht="15" customHeight="1">
      <c r="A11" s="868" t="str">
        <f ca="1">IFERROR(HYPERLINK("#"&amp;"ProjectEstimate!A"&amp;(8+MATCH($C11,ProjectEstimate!$A$9:$A$145,0)),CONCATENATE("Go to ",$C11))," ")</f>
        <v xml:space="preserve"> </v>
      </c>
      <c r="B11" s="515"/>
      <c r="C11" s="115">
        <v>820.11099999999999</v>
      </c>
      <c r="D11" s="643" t="s">
        <v>1800</v>
      </c>
      <c r="E11" s="644"/>
      <c r="F11" s="645" t="str">
        <f>"Assume lighting pole and fixture every "&amp;E29&amp;"' of roadway"</f>
        <v>Assume lighting pole and fixture every 50' of roadway</v>
      </c>
      <c r="G11" s="644"/>
      <c r="H11" s="647">
        <f>H34+H51</f>
        <v>0</v>
      </c>
      <c r="I11" s="454" t="s">
        <v>2</v>
      </c>
      <c r="J11" s="676">
        <f>IF(ISBLANK(M11),_xlfn.XLOOKUP(C11,Output[Item '#],Output[Unit Price (Max or Override)]),M11)</f>
        <v>7500</v>
      </c>
      <c r="K11" s="646">
        <f t="shared" ref="K11:K22" si="0">ROUND(J11*H11,-1)</f>
        <v>0</v>
      </c>
      <c r="M11" s="869"/>
    </row>
    <row r="12" spans="1:15" ht="15" customHeight="1">
      <c r="A12" s="868" t="str">
        <f ca="1">IFERROR(HYPERLINK("#"&amp;"ProjectEstimate!A"&amp;(8+MATCH($C12,ProjectEstimate!$A$9:$A$145,0)),CONCATENATE("Go to ",$C12))," ")</f>
        <v xml:space="preserve"> </v>
      </c>
      <c r="B12" s="515"/>
      <c r="C12" s="115">
        <v>804.2</v>
      </c>
      <c r="D12" s="643" t="s">
        <v>1797</v>
      </c>
      <c r="E12" s="644"/>
      <c r="F12" s="645" t="s">
        <v>1799</v>
      </c>
      <c r="G12" s="644"/>
      <c r="H12" s="647">
        <f>H35+H52</f>
        <v>0</v>
      </c>
      <c r="I12" s="454" t="s">
        <v>17</v>
      </c>
      <c r="J12" s="676">
        <f ca="1">IF(ISBLANK(M12),_xlfn.XLOOKUP(C12,Output[Item '#],Output[Unit Price (Max or Override)]),M12)</f>
        <v>48</v>
      </c>
      <c r="K12" s="646">
        <f t="shared" ca="1" si="0"/>
        <v>0</v>
      </c>
      <c r="M12" s="869"/>
    </row>
    <row r="13" spans="1:15" ht="15" customHeight="1">
      <c r="A13" s="868" t="str">
        <f ca="1">IFERROR(HYPERLINK("#"&amp;"ProjectEstimate!A"&amp;(8+MATCH($C13,ProjectEstimate!$A$9:$A$145,0)),CONCATENATE("Go to ",$C13))," ")</f>
        <v xml:space="preserve"> </v>
      </c>
      <c r="B13" s="515"/>
      <c r="C13" s="115">
        <v>804.3</v>
      </c>
      <c r="D13" s="643" t="s">
        <v>1807</v>
      </c>
      <c r="E13" s="644"/>
      <c r="F13" s="645" t="s">
        <v>1808</v>
      </c>
      <c r="G13" s="644"/>
      <c r="H13" s="648">
        <f>H36+H53</f>
        <v>0</v>
      </c>
      <c r="I13" s="454" t="s">
        <v>17</v>
      </c>
      <c r="J13" s="676">
        <f ca="1">IF(ISBLANK(M13),_xlfn.XLOOKUP(C13,Output[Item '#],Output[Unit Price (Max or Override)]),M13)</f>
        <v>75</v>
      </c>
      <c r="K13" s="646">
        <f t="shared" ca="1" si="0"/>
        <v>0</v>
      </c>
      <c r="M13" s="869"/>
    </row>
    <row r="14" spans="1:15" ht="15" customHeight="1">
      <c r="A14" s="868" t="str">
        <f ca="1">IFERROR(HYPERLINK("#"&amp;"ProjectEstimate!A"&amp;(8+MATCH($C14,ProjectEstimate!$A$9:$A$145,0)),CONCATENATE("Go to ",$C14))," ")</f>
        <v xml:space="preserve"> </v>
      </c>
      <c r="B14" s="515"/>
      <c r="C14" s="115">
        <v>811.22</v>
      </c>
      <c r="D14" s="643" t="s">
        <v>1809</v>
      </c>
      <c r="E14" s="644"/>
      <c r="F14" s="645" t="s">
        <v>1810</v>
      </c>
      <c r="G14" s="644"/>
      <c r="H14" s="647">
        <f>H37+H54</f>
        <v>0</v>
      </c>
      <c r="I14" s="454" t="s">
        <v>2</v>
      </c>
      <c r="J14" s="676">
        <f ca="1">IF(ISBLANK(M14),_xlfn.XLOOKUP(C14,Output[Item '#],Output[Unit Price (Max or Override)]),M14)</f>
        <v>1848</v>
      </c>
      <c r="K14" s="646">
        <f t="shared" ca="1" si="0"/>
        <v>0</v>
      </c>
      <c r="M14" s="869"/>
    </row>
    <row r="15" spans="1:15" ht="26.25" customHeight="1">
      <c r="A15" s="868" t="str">
        <f ca="1">IFERROR(HYPERLINK("#"&amp;"ProjectEstimate!A"&amp;(8+MATCH($C15,ProjectEstimate!$A$9:$A$145,0)),CONCATENATE("Go to ",$C15))," ")</f>
        <v xml:space="preserve"> </v>
      </c>
      <c r="B15" s="515"/>
      <c r="C15" s="115">
        <v>812.09</v>
      </c>
      <c r="D15" s="643" t="s">
        <v>1811</v>
      </c>
      <c r="E15" s="644"/>
      <c r="F15" s="645" t="s">
        <v>3856</v>
      </c>
      <c r="G15" s="644"/>
      <c r="H15" s="647">
        <f>H38+H55+IF(Roadway!$H$47=HIDDEN!$H$29,Roadway!H48,0)</f>
        <v>0</v>
      </c>
      <c r="I15" s="454" t="s">
        <v>2</v>
      </c>
      <c r="J15" s="676">
        <f ca="1">IF(ISBLANK(M15),_xlfn.XLOOKUP(C15,Output[Item '#],Output[Unit Price (Max or Override)]),M15)</f>
        <v>2723</v>
      </c>
      <c r="K15" s="646">
        <f t="shared" ca="1" si="0"/>
        <v>0</v>
      </c>
      <c r="M15" s="869"/>
    </row>
    <row r="16" spans="1:15" ht="15" customHeight="1">
      <c r="A16" s="868" t="str">
        <f ca="1">IFERROR(HYPERLINK("#"&amp;"ProjectEstimate!A"&amp;(8+MATCH($C16,ProjectEstimate!$A$9:$A$145,0)),CONCATENATE("Go to ",$C16))," ")</f>
        <v xml:space="preserve"> </v>
      </c>
      <c r="B16" s="515"/>
      <c r="C16" s="115">
        <v>813.4</v>
      </c>
      <c r="D16" s="643" t="s">
        <v>1818</v>
      </c>
      <c r="E16" s="644"/>
      <c r="F16" s="645" t="s">
        <v>1815</v>
      </c>
      <c r="G16" s="644"/>
      <c r="H16" s="647">
        <f>H39+H56</f>
        <v>0</v>
      </c>
      <c r="I16" s="454" t="s">
        <v>17</v>
      </c>
      <c r="J16" s="676">
        <f ca="1">IF(ISBLANK(M16),_xlfn.XLOOKUP(C16,Output[Item '#],Output[Unit Price (Max or Override)]),M16)</f>
        <v>2</v>
      </c>
      <c r="K16" s="646">
        <f t="shared" ca="1" si="0"/>
        <v>0</v>
      </c>
      <c r="M16" s="869"/>
    </row>
    <row r="17" spans="1:13" ht="15" customHeight="1">
      <c r="A17" s="868" t="str">
        <f ca="1">IFERROR(HYPERLINK("#"&amp;"ProjectEstimate!A"&amp;(8+MATCH($C17,ProjectEstimate!$A$9:$A$145,0)),CONCATENATE("Go to ",$C17))," ")</f>
        <v xml:space="preserve"> </v>
      </c>
      <c r="B17" s="515"/>
      <c r="C17" s="115">
        <v>813.43</v>
      </c>
      <c r="D17" s="643" t="s">
        <v>1817</v>
      </c>
      <c r="E17" s="644"/>
      <c r="F17" s="645" t="s">
        <v>1824</v>
      </c>
      <c r="G17" s="644"/>
      <c r="H17" s="647">
        <f>H40+H57</f>
        <v>0</v>
      </c>
      <c r="I17" s="454" t="s">
        <v>17</v>
      </c>
      <c r="J17" s="676">
        <f>IF(ISBLANK(M17),_xlfn.XLOOKUP(C17,Output[Item '#],Output[Unit Price (Max or Override)]),M17)</f>
        <v>4</v>
      </c>
      <c r="K17" s="646">
        <f t="shared" si="0"/>
        <v>0</v>
      </c>
      <c r="M17" s="869"/>
    </row>
    <row r="18" spans="1:13" ht="15" customHeight="1">
      <c r="A18" s="868" t="str">
        <f ca="1">IFERROR(HYPERLINK("#"&amp;"ProjectEstimate!A"&amp;(8+MATCH($C18,ProjectEstimate!$A$9:$A$145,0)),CONCATENATE("Go to ",$C18))," ")</f>
        <v xml:space="preserve"> </v>
      </c>
      <c r="B18" s="515"/>
      <c r="C18" s="115">
        <v>813.52</v>
      </c>
      <c r="D18" s="643" t="s">
        <v>1816</v>
      </c>
      <c r="E18" s="644"/>
      <c r="F18" s="645" t="s">
        <v>1819</v>
      </c>
      <c r="G18" s="644"/>
      <c r="H18" s="647">
        <f>H41+H58</f>
        <v>0</v>
      </c>
      <c r="I18" s="454" t="s">
        <v>17</v>
      </c>
      <c r="J18" s="676">
        <f>IF(ISBLANK(M18),_xlfn.XLOOKUP(C18,Output[Item '#],Output[Unit Price (Max or Override)]),M18)</f>
        <v>3</v>
      </c>
      <c r="K18" s="646">
        <f t="shared" si="0"/>
        <v>0</v>
      </c>
      <c r="M18" s="869"/>
    </row>
    <row r="19" spans="1:13" ht="15" customHeight="1">
      <c r="A19" s="868" t="str">
        <f ca="1">IFERROR(HYPERLINK("#"&amp;"ProjectEstimate!A"&amp;(8+MATCH($C19,ProjectEstimate!$A$9:$A$145,0)),CONCATENATE("Go to ",$C19))," ")</f>
        <v xml:space="preserve"> </v>
      </c>
      <c r="B19" s="515"/>
      <c r="C19" s="115">
        <v>813.72</v>
      </c>
      <c r="D19" s="643" t="s">
        <v>1820</v>
      </c>
      <c r="E19" s="644"/>
      <c r="F19" s="645" t="s">
        <v>1823</v>
      </c>
      <c r="G19" s="644"/>
      <c r="H19" s="647">
        <f>H42+H59</f>
        <v>0</v>
      </c>
      <c r="I19" s="454" t="s">
        <v>2</v>
      </c>
      <c r="J19" s="676">
        <f ca="1">IF(ISBLANK(M19),_xlfn.XLOOKUP(C19,Output[Item '#],Output[Unit Price (Max or Override)]),M19)</f>
        <v>328</v>
      </c>
      <c r="K19" s="646">
        <f t="shared" ca="1" si="0"/>
        <v>0</v>
      </c>
      <c r="M19" s="869"/>
    </row>
    <row r="20" spans="1:13" ht="15" customHeight="1">
      <c r="A20" s="868" t="str">
        <f ca="1">IFERROR(HYPERLINK("#"&amp;"ProjectEstimate!A"&amp;(8+MATCH($C20,ProjectEstimate!$A$9:$A$145,0)),CONCATENATE("Go to ",$C20))," ")</f>
        <v xml:space="preserve"> </v>
      </c>
      <c r="B20" s="515"/>
      <c r="C20" s="115">
        <v>823.61</v>
      </c>
      <c r="D20" s="643" t="s">
        <v>1821</v>
      </c>
      <c r="E20" s="644"/>
      <c r="F20" s="645" t="s">
        <v>1822</v>
      </c>
      <c r="G20" s="644"/>
      <c r="H20" s="647">
        <f>H43+H60</f>
        <v>0</v>
      </c>
      <c r="I20" s="454" t="s">
        <v>2</v>
      </c>
      <c r="J20" s="676">
        <f ca="1">IF(ISBLANK(M20),_xlfn.XLOOKUP(C20,Output[Item '#],Output[Unit Price (Max or Override)]),M20)</f>
        <v>27916</v>
      </c>
      <c r="K20" s="646">
        <f t="shared" ca="1" si="0"/>
        <v>0</v>
      </c>
      <c r="M20" s="869"/>
    </row>
    <row r="21" spans="1:13" ht="15" customHeight="1">
      <c r="A21" s="495"/>
      <c r="B21" s="515"/>
      <c r="C21" s="518" t="s">
        <v>3854</v>
      </c>
      <c r="D21" s="545"/>
      <c r="E21" s="148" t="str">
        <f>IF(Roadway!$H$47=HIDDEN!$H$29,"YES","NO")</f>
        <v>NO</v>
      </c>
      <c r="F21" s="477"/>
      <c r="H21" s="521"/>
      <c r="I21" s="224"/>
      <c r="J21" s="390"/>
      <c r="K21" s="485"/>
      <c r="M21" s="669"/>
    </row>
    <row r="22" spans="1:13" ht="25.5">
      <c r="A22" s="868" t="str">
        <f ca="1">IFERROR(HYPERLINK("#"&amp;"ProjectEstimate!A"&amp;(8+MATCH($C22,ProjectEstimate!$A$9:$A$145,0)),CONCATENATE("Go to ",$C22))," ")</f>
        <v xml:space="preserve"> </v>
      </c>
      <c r="B22" s="515"/>
      <c r="C22" s="650">
        <v>823.7</v>
      </c>
      <c r="D22" s="643" t="s">
        <v>3858</v>
      </c>
      <c r="E22" s="644"/>
      <c r="F22" s="645" t="s">
        <v>3855</v>
      </c>
      <c r="G22" s="644"/>
      <c r="H22" s="647">
        <f>IF(Roadway!$H$47=HIDDEN!$H$29,Roadway!H48,0)</f>
        <v>0</v>
      </c>
      <c r="I22" s="454" t="s">
        <v>2</v>
      </c>
      <c r="J22" s="676">
        <f>IF(ISBLANK(M22),_xlfn.XLOOKUP(C22,Output[Item '#],Output[Unit Price (Max or Override)]),M22)</f>
        <v>3545</v>
      </c>
      <c r="K22" s="649">
        <f t="shared" si="0"/>
        <v>0</v>
      </c>
      <c r="M22" s="869"/>
    </row>
    <row r="23" spans="1:13">
      <c r="A23" s="495"/>
      <c r="B23" s="515"/>
      <c r="C23" s="518" t="s">
        <v>3857</v>
      </c>
      <c r="D23" s="545"/>
      <c r="E23" s="148" t="str">
        <f>IF(Roadway!$H$47=HIDDEN!$H$30,"YES","NO")</f>
        <v>NO</v>
      </c>
      <c r="F23" s="477"/>
      <c r="H23" s="521"/>
      <c r="I23" s="224"/>
      <c r="J23" s="390"/>
      <c r="K23" s="485"/>
      <c r="M23" s="669"/>
    </row>
    <row r="24" spans="1:13" ht="25.5">
      <c r="A24" s="868" t="str">
        <f ca="1">IFERROR(HYPERLINK("#"&amp;"ProjectEstimate!A"&amp;(8+MATCH($C24,ProjectEstimate!$A$9:$A$145,0)),CONCATENATE("Go to ",$C24))," ")</f>
        <v xml:space="preserve"> </v>
      </c>
      <c r="B24" s="515"/>
      <c r="C24" s="650">
        <v>823.72</v>
      </c>
      <c r="D24" s="643" t="s">
        <v>3859</v>
      </c>
      <c r="E24" s="644"/>
      <c r="F24" s="645" t="s">
        <v>3860</v>
      </c>
      <c r="G24" s="644"/>
      <c r="H24" s="647">
        <f>IF(Roadway!$H$47=HIDDEN!$H$30,Roadway!H50,0)</f>
        <v>0</v>
      </c>
      <c r="I24" s="454" t="s">
        <v>2</v>
      </c>
      <c r="J24" s="676">
        <f>IF(ISBLANK(M24),_xlfn.XLOOKUP(C24,Output[Item '#],Output[Unit Price (Max or Override)]),M24)</f>
        <v>2500</v>
      </c>
      <c r="K24" s="649">
        <f>ROUND(J24*H24,-1)</f>
        <v>0</v>
      </c>
      <c r="M24" s="869"/>
    </row>
    <row r="25" spans="1:13" ht="15" customHeight="1">
      <c r="B25" s="515"/>
      <c r="C25" s="103"/>
      <c r="D25" s="54"/>
      <c r="E25" s="516"/>
      <c r="F25" s="517"/>
      <c r="H25" s="515"/>
      <c r="J25" s="515"/>
      <c r="K25" s="515"/>
    </row>
    <row r="26" spans="1:13" ht="15" customHeight="1">
      <c r="C26" s="658" t="s">
        <v>3918</v>
      </c>
      <c r="D26" s="159"/>
      <c r="I26" s="1250" t="s">
        <v>1919</v>
      </c>
      <c r="J26" s="1250"/>
      <c r="K26" s="486">
        <f ca="1">SUM(K11:K24)</f>
        <v>0</v>
      </c>
    </row>
    <row r="27" spans="1:13" ht="15" customHeight="1">
      <c r="B27" s="40"/>
      <c r="C27" s="657" t="s">
        <v>1918</v>
      </c>
      <c r="D27" s="40"/>
      <c r="E27" s="194"/>
      <c r="F27" s="194"/>
      <c r="H27" s="40"/>
      <c r="J27" s="40"/>
      <c r="K27" s="40"/>
    </row>
    <row r="28" spans="1:13" ht="15" customHeight="1">
      <c r="B28" s="54"/>
      <c r="D28" s="384" t="s">
        <v>1914</v>
      </c>
      <c r="E28" s="470">
        <f>Multimodal!$I$43</f>
        <v>0</v>
      </c>
      <c r="F28" s="385"/>
      <c r="H28" s="386"/>
      <c r="J28" s="154"/>
      <c r="K28" s="54"/>
    </row>
    <row r="29" spans="1:13" ht="15" customHeight="1">
      <c r="B29" s="54"/>
      <c r="D29" s="384" t="s">
        <v>1915</v>
      </c>
      <c r="E29" s="932">
        <v>50</v>
      </c>
      <c r="F29" s="153"/>
      <c r="H29" s="160"/>
      <c r="J29" s="154"/>
      <c r="K29" s="54"/>
    </row>
    <row r="30" spans="1:13" ht="15" customHeight="1">
      <c r="B30" s="54"/>
      <c r="D30" s="384" t="s">
        <v>689</v>
      </c>
      <c r="E30" s="471">
        <f>ROUNDUP(E28/E29,-1)</f>
        <v>0</v>
      </c>
      <c r="F30" s="153"/>
      <c r="H30" s="160"/>
      <c r="J30" s="154"/>
      <c r="K30" s="54"/>
    </row>
    <row r="31" spans="1:13" ht="15" customHeight="1">
      <c r="B31" s="54"/>
      <c r="C31" s="472"/>
      <c r="D31" s="473"/>
      <c r="E31" s="474"/>
      <c r="J31" s="239"/>
      <c r="K31" s="54"/>
    </row>
    <row r="32" spans="1:13" ht="15" customHeight="1">
      <c r="B32" s="54"/>
      <c r="C32" s="651" t="s">
        <v>77</v>
      </c>
      <c r="D32" s="652" t="s">
        <v>21</v>
      </c>
      <c r="F32" s="653" t="s">
        <v>829</v>
      </c>
      <c r="H32" s="654" t="s">
        <v>0</v>
      </c>
      <c r="I32" s="653" t="s">
        <v>1798</v>
      </c>
      <c r="J32" s="653" t="s">
        <v>1552</v>
      </c>
      <c r="K32" s="653" t="s">
        <v>1738</v>
      </c>
    </row>
    <row r="33" spans="2:11" ht="15" customHeight="1">
      <c r="B33" s="54"/>
      <c r="C33" s="387"/>
      <c r="D33" s="475"/>
      <c r="F33" s="388"/>
      <c r="H33" s="389"/>
      <c r="I33" s="388"/>
      <c r="J33" s="388"/>
      <c r="K33" s="388"/>
    </row>
    <row r="34" spans="2:11" ht="15" customHeight="1">
      <c r="B34" s="54"/>
      <c r="C34" s="122">
        <v>820.11099999999999</v>
      </c>
      <c r="D34" s="545" t="s">
        <v>1800</v>
      </c>
      <c r="F34" s="477" t="s">
        <v>1801</v>
      </c>
      <c r="H34" s="478">
        <f>E28/50</f>
        <v>0</v>
      </c>
      <c r="I34" s="224" t="s">
        <v>2</v>
      </c>
      <c r="J34" s="240">
        <f>IF(ISBLANK(M34),_xlfn.XLOOKUP(C34,Output[Item '#],Output[Unit Price (Max or Override)]),M34)</f>
        <v>7500</v>
      </c>
      <c r="K34" s="522">
        <f t="shared" ref="K34:K43" si="1">ROUND(J34*H34,-1)</f>
        <v>0</v>
      </c>
    </row>
    <row r="35" spans="2:11" ht="15" customHeight="1">
      <c r="B35" s="54"/>
      <c r="C35" s="122">
        <v>804.2</v>
      </c>
      <c r="D35" s="545" t="s">
        <v>1797</v>
      </c>
      <c r="F35" s="477" t="s">
        <v>1799</v>
      </c>
      <c r="H35" s="478">
        <f>H34*4</f>
        <v>0</v>
      </c>
      <c r="I35" s="224" t="s">
        <v>17</v>
      </c>
      <c r="J35" s="240">
        <f ca="1">IF(ISBLANK(M35),_xlfn.XLOOKUP(C35,Output[Item '#],Output[Unit Price (Max or Override)]),M35)</f>
        <v>48</v>
      </c>
      <c r="K35" s="522">
        <f t="shared" ca="1" si="1"/>
        <v>0</v>
      </c>
    </row>
    <row r="36" spans="2:11" ht="15" customHeight="1">
      <c r="B36" s="54"/>
      <c r="C36" s="122">
        <v>804.3</v>
      </c>
      <c r="D36" s="545" t="s">
        <v>1807</v>
      </c>
      <c r="F36" s="477" t="s">
        <v>1808</v>
      </c>
      <c r="H36" s="479">
        <f>E28</f>
        <v>0</v>
      </c>
      <c r="I36" s="224" t="s">
        <v>17</v>
      </c>
      <c r="J36" s="240">
        <f ca="1">IF(ISBLANK(M36),_xlfn.XLOOKUP(C36,Output[Item '#],Output[Unit Price (Max or Override)]),M36)</f>
        <v>75</v>
      </c>
      <c r="K36" s="522">
        <f t="shared" ca="1" si="1"/>
        <v>0</v>
      </c>
    </row>
    <row r="37" spans="2:11" ht="15" customHeight="1">
      <c r="B37" s="54"/>
      <c r="C37" s="122">
        <v>811.22</v>
      </c>
      <c r="D37" s="545" t="s">
        <v>1809</v>
      </c>
      <c r="F37" s="477" t="s">
        <v>1810</v>
      </c>
      <c r="H37" s="478">
        <f>H34</f>
        <v>0</v>
      </c>
      <c r="I37" s="224" t="s">
        <v>2</v>
      </c>
      <c r="J37" s="240">
        <f ca="1">IF(ISBLANK(M37),_xlfn.XLOOKUP(C37,Output[Item '#],Output[Unit Price (Max or Override)]),M37)</f>
        <v>1848</v>
      </c>
      <c r="K37" s="522">
        <f t="shared" ca="1" si="1"/>
        <v>0</v>
      </c>
    </row>
    <row r="38" spans="2:11" ht="15" customHeight="1">
      <c r="B38" s="54"/>
      <c r="C38" s="122">
        <v>812.09</v>
      </c>
      <c r="D38" s="545" t="s">
        <v>1811</v>
      </c>
      <c r="F38" s="477" t="s">
        <v>1812</v>
      </c>
      <c r="H38" s="478">
        <f>H34</f>
        <v>0</v>
      </c>
      <c r="I38" s="224" t="s">
        <v>2</v>
      </c>
      <c r="J38" s="240">
        <f ca="1">IF(ISBLANK(M38),_xlfn.XLOOKUP(C38,Output[Item '#],Output[Unit Price (Max or Override)]),M38)</f>
        <v>2723</v>
      </c>
      <c r="K38" s="522">
        <f t="shared" ca="1" si="1"/>
        <v>0</v>
      </c>
    </row>
    <row r="39" spans="2:11" ht="15" customHeight="1">
      <c r="B39" s="54"/>
      <c r="C39" s="122">
        <v>813.4</v>
      </c>
      <c r="D39" s="545" t="s">
        <v>1818</v>
      </c>
      <c r="F39" s="477" t="s">
        <v>1815</v>
      </c>
      <c r="H39" s="478">
        <f>H35*4</f>
        <v>0</v>
      </c>
      <c r="I39" s="224" t="s">
        <v>17</v>
      </c>
      <c r="J39" s="240">
        <f ca="1">IF(ISBLANK(M39),_xlfn.XLOOKUP(C39,Output[Item '#],Output[Unit Price (Max or Override)]),M39)</f>
        <v>2</v>
      </c>
      <c r="K39" s="522">
        <f t="shared" ca="1" si="1"/>
        <v>0</v>
      </c>
    </row>
    <row r="40" spans="2:11" ht="15" customHeight="1">
      <c r="B40" s="54"/>
      <c r="C40" s="122">
        <v>813.43</v>
      </c>
      <c r="D40" s="545" t="s">
        <v>1817</v>
      </c>
      <c r="F40" s="477" t="s">
        <v>1824</v>
      </c>
      <c r="H40" s="478">
        <f>H36*2</f>
        <v>0</v>
      </c>
      <c r="I40" s="224" t="s">
        <v>17</v>
      </c>
      <c r="J40" s="240">
        <f>IF(ISBLANK(M40),_xlfn.XLOOKUP(C40,Output[Item '#],Output[Unit Price (Max or Override)]),M40)</f>
        <v>4</v>
      </c>
      <c r="K40" s="522">
        <f t="shared" si="1"/>
        <v>0</v>
      </c>
    </row>
    <row r="41" spans="2:11" ht="15" customHeight="1">
      <c r="B41" s="54"/>
      <c r="C41" s="122">
        <v>813.52</v>
      </c>
      <c r="D41" s="545" t="s">
        <v>1816</v>
      </c>
      <c r="F41" s="477" t="s">
        <v>1819</v>
      </c>
      <c r="H41" s="479">
        <f>H35+H36</f>
        <v>0</v>
      </c>
      <c r="I41" s="224" t="s">
        <v>17</v>
      </c>
      <c r="J41" s="240">
        <f>IF(ISBLANK(M41),_xlfn.XLOOKUP(C41,Output[Item '#],Output[Unit Price (Max or Override)]),M41)</f>
        <v>3</v>
      </c>
      <c r="K41" s="522">
        <f t="shared" si="1"/>
        <v>0</v>
      </c>
    </row>
    <row r="42" spans="2:11" ht="15" customHeight="1">
      <c r="B42" s="54"/>
      <c r="C42" s="122">
        <v>813.72</v>
      </c>
      <c r="D42" s="545" t="s">
        <v>1820</v>
      </c>
      <c r="F42" s="477" t="s">
        <v>1823</v>
      </c>
      <c r="H42" s="478">
        <f>H34+H37+H43</f>
        <v>0</v>
      </c>
      <c r="I42" s="224" t="s">
        <v>2</v>
      </c>
      <c r="J42" s="240">
        <f ca="1">IF(ISBLANK(M42),_xlfn.XLOOKUP(C42,Output[Item '#],Output[Unit Price (Max or Override)]),M42)</f>
        <v>328</v>
      </c>
      <c r="K42" s="522">
        <f t="shared" ca="1" si="1"/>
        <v>0</v>
      </c>
    </row>
    <row r="43" spans="2:11" ht="15" customHeight="1">
      <c r="B43" s="54"/>
      <c r="C43" s="122">
        <v>823.61</v>
      </c>
      <c r="D43" s="545" t="s">
        <v>1821</v>
      </c>
      <c r="F43" s="477" t="s">
        <v>1822</v>
      </c>
      <c r="H43" s="478">
        <f>ROUNDUP(E28/1000,0)</f>
        <v>0</v>
      </c>
      <c r="I43" s="224" t="s">
        <v>2</v>
      </c>
      <c r="J43" s="240">
        <f ca="1">IF(ISBLANK(M43),_xlfn.XLOOKUP(C43,Output[Item '#],Output[Unit Price (Max or Override)]),M43)</f>
        <v>27916</v>
      </c>
      <c r="K43" s="522">
        <f t="shared" ca="1" si="1"/>
        <v>0</v>
      </c>
    </row>
    <row r="44" spans="2:11" ht="15" customHeight="1">
      <c r="C44" s="190"/>
      <c r="D44" s="195"/>
      <c r="E44" s="390"/>
      <c r="F44" s="91"/>
      <c r="H44" s="188"/>
      <c r="J44" s="190"/>
    </row>
    <row r="45" spans="2:11" ht="15" customHeight="1">
      <c r="C45" s="656" t="s">
        <v>1917</v>
      </c>
      <c r="D45" s="195"/>
      <c r="E45" s="390"/>
      <c r="F45" s="91"/>
      <c r="H45" s="188"/>
      <c r="J45" s="190"/>
    </row>
    <row r="46" spans="2:11" ht="15" customHeight="1">
      <c r="D46" s="384" t="s">
        <v>1916</v>
      </c>
      <c r="E46" s="470">
        <f>IF(Roadway!H47=HIDDEN!H26,SUM(Roadway!G7:J7),IF(Roadway!H47=HIDDEN!H27,Roadway!H48,0))</f>
        <v>0</v>
      </c>
      <c r="F46" s="91"/>
      <c r="H46" s="188"/>
      <c r="J46" s="190"/>
    </row>
    <row r="47" spans="2:11" ht="15" customHeight="1">
      <c r="D47" s="384" t="s">
        <v>1915</v>
      </c>
      <c r="E47" s="932">
        <v>50</v>
      </c>
      <c r="F47" s="91"/>
      <c r="H47" s="188"/>
      <c r="J47" s="190"/>
    </row>
    <row r="48" spans="2:11" ht="15" customHeight="1">
      <c r="D48" s="384" t="s">
        <v>689</v>
      </c>
      <c r="E48" s="471">
        <f>ROUNDUP(E46/E47,-1)</f>
        <v>0</v>
      </c>
      <c r="H48" s="480"/>
      <c r="K48" s="54"/>
    </row>
    <row r="49" spans="2:11" ht="15" customHeight="1">
      <c r="B49" s="54"/>
      <c r="C49" s="651" t="s">
        <v>77</v>
      </c>
      <c r="D49" s="652" t="s">
        <v>21</v>
      </c>
      <c r="F49" s="653" t="s">
        <v>829</v>
      </c>
      <c r="H49" s="655" t="s">
        <v>0</v>
      </c>
      <c r="I49" s="653" t="s">
        <v>1798</v>
      </c>
      <c r="J49" s="653" t="s">
        <v>1552</v>
      </c>
      <c r="K49" s="653" t="s">
        <v>1738</v>
      </c>
    </row>
    <row r="50" spans="2:11" ht="15" customHeight="1">
      <c r="B50" s="54"/>
      <c r="C50" s="387"/>
      <c r="D50" s="475"/>
      <c r="F50" s="388"/>
      <c r="H50" s="481"/>
      <c r="I50" s="388"/>
      <c r="J50" s="388"/>
      <c r="K50" s="388"/>
    </row>
    <row r="51" spans="2:11" ht="15" customHeight="1">
      <c r="B51" s="54"/>
      <c r="C51" s="122">
        <v>820.11099999999999</v>
      </c>
      <c r="D51" s="476" t="s">
        <v>1800</v>
      </c>
      <c r="F51" s="477" t="s">
        <v>1801</v>
      </c>
      <c r="H51" s="478">
        <f>ROUNDUP(E46/50,0)</f>
        <v>0</v>
      </c>
      <c r="I51" s="224" t="s">
        <v>2</v>
      </c>
      <c r="J51" s="240">
        <f>IF(ISBLANK(M51),_xlfn.XLOOKUP(C51,Output[Item '#],Output[Unit Price (Max or Override)]),M51)</f>
        <v>7500</v>
      </c>
      <c r="K51" s="485">
        <f t="shared" ref="K51:K60" si="2">ROUND(J51*H51,-1)</f>
        <v>0</v>
      </c>
    </row>
    <row r="52" spans="2:11" ht="15" customHeight="1">
      <c r="B52" s="54"/>
      <c r="C52" s="122">
        <v>804.2</v>
      </c>
      <c r="D52" s="476" t="s">
        <v>1797</v>
      </c>
      <c r="F52" s="477" t="s">
        <v>1799</v>
      </c>
      <c r="H52" s="478">
        <f>H51*4</f>
        <v>0</v>
      </c>
      <c r="I52" s="224" t="s">
        <v>17</v>
      </c>
      <c r="J52" s="240">
        <f ca="1">IF(ISBLANK(M52),_xlfn.XLOOKUP(C52,Output[Item '#],Output[Unit Price (Max or Override)]),M52)</f>
        <v>48</v>
      </c>
      <c r="K52" s="485">
        <f t="shared" ca="1" si="2"/>
        <v>0</v>
      </c>
    </row>
    <row r="53" spans="2:11" ht="15" customHeight="1">
      <c r="B53" s="54"/>
      <c r="C53" s="122">
        <v>804.3</v>
      </c>
      <c r="D53" s="476" t="s">
        <v>1807</v>
      </c>
      <c r="F53" s="477" t="s">
        <v>1808</v>
      </c>
      <c r="H53" s="479">
        <f>E46</f>
        <v>0</v>
      </c>
      <c r="I53" s="224" t="s">
        <v>17</v>
      </c>
      <c r="J53" s="240">
        <f ca="1">IF(ISBLANK(M53),_xlfn.XLOOKUP(C53,Output[Item '#],Output[Unit Price (Max or Override)]),M53)</f>
        <v>75</v>
      </c>
      <c r="K53" s="485">
        <f t="shared" ca="1" si="2"/>
        <v>0</v>
      </c>
    </row>
    <row r="54" spans="2:11" ht="15" customHeight="1">
      <c r="B54" s="54"/>
      <c r="C54" s="122">
        <v>811.22</v>
      </c>
      <c r="D54" s="476" t="s">
        <v>1809</v>
      </c>
      <c r="F54" s="477" t="s">
        <v>1810</v>
      </c>
      <c r="H54" s="478">
        <f>H51</f>
        <v>0</v>
      </c>
      <c r="I54" s="224" t="s">
        <v>2</v>
      </c>
      <c r="J54" s="240">
        <f ca="1">IF(ISBLANK(M54),_xlfn.XLOOKUP(C54,Output[Item '#],Output[Unit Price (Max or Override)]),M54)</f>
        <v>1848</v>
      </c>
      <c r="K54" s="485">
        <f t="shared" ca="1" si="2"/>
        <v>0</v>
      </c>
    </row>
    <row r="55" spans="2:11" ht="15" customHeight="1">
      <c r="B55" s="54"/>
      <c r="C55" s="122">
        <v>812.09</v>
      </c>
      <c r="D55" s="476" t="s">
        <v>1811</v>
      </c>
      <c r="F55" s="477" t="s">
        <v>1812</v>
      </c>
      <c r="H55" s="478">
        <f>H51</f>
        <v>0</v>
      </c>
      <c r="I55" s="224" t="s">
        <v>2</v>
      </c>
      <c r="J55" s="240">
        <f ca="1">IF(ISBLANK(M55),_xlfn.XLOOKUP(C55,Output[Item '#],Output[Unit Price (Max or Override)]),M55)</f>
        <v>2723</v>
      </c>
      <c r="K55" s="485">
        <f t="shared" ca="1" si="2"/>
        <v>0</v>
      </c>
    </row>
    <row r="56" spans="2:11" ht="15" customHeight="1">
      <c r="B56" s="54"/>
      <c r="C56" s="122">
        <v>813.4</v>
      </c>
      <c r="D56" s="476" t="s">
        <v>1818</v>
      </c>
      <c r="F56" s="477" t="s">
        <v>1815</v>
      </c>
      <c r="H56" s="478">
        <f>H52*4</f>
        <v>0</v>
      </c>
      <c r="I56" s="224" t="s">
        <v>17</v>
      </c>
      <c r="J56" s="240">
        <f ca="1">IF(ISBLANK(M56),_xlfn.XLOOKUP(C56,Output[Item '#],Output[Unit Price (Max or Override)]),M56)</f>
        <v>2</v>
      </c>
      <c r="K56" s="485">
        <f t="shared" ca="1" si="2"/>
        <v>0</v>
      </c>
    </row>
    <row r="57" spans="2:11" ht="15" customHeight="1">
      <c r="B57" s="54"/>
      <c r="C57" s="122">
        <v>813.43</v>
      </c>
      <c r="D57" s="476" t="s">
        <v>1817</v>
      </c>
      <c r="F57" s="477" t="s">
        <v>1824</v>
      </c>
      <c r="H57" s="478">
        <f>H53*2</f>
        <v>0</v>
      </c>
      <c r="I57" s="224" t="s">
        <v>17</v>
      </c>
      <c r="J57" s="240">
        <f>IF(ISBLANK(M57),_xlfn.XLOOKUP(C57,Output[Item '#],Output[Unit Price (Max or Override)]),M57)</f>
        <v>4</v>
      </c>
      <c r="K57" s="485">
        <f t="shared" si="2"/>
        <v>0</v>
      </c>
    </row>
    <row r="58" spans="2:11" ht="15" customHeight="1">
      <c r="B58" s="54"/>
      <c r="C58" s="122">
        <v>813.52</v>
      </c>
      <c r="D58" s="476" t="s">
        <v>1816</v>
      </c>
      <c r="F58" s="477" t="s">
        <v>1819</v>
      </c>
      <c r="H58" s="479">
        <f>H52+H53</f>
        <v>0</v>
      </c>
      <c r="I58" s="224" t="s">
        <v>17</v>
      </c>
      <c r="J58" s="240">
        <f>IF(ISBLANK(M58),_xlfn.XLOOKUP(C58,Output[Item '#],Output[Unit Price (Max or Override)]),M58)</f>
        <v>3</v>
      </c>
      <c r="K58" s="485">
        <f t="shared" si="2"/>
        <v>0</v>
      </c>
    </row>
    <row r="59" spans="2:11" ht="15" customHeight="1">
      <c r="B59" s="54"/>
      <c r="C59" s="122">
        <v>813.72</v>
      </c>
      <c r="D59" s="476" t="s">
        <v>1820</v>
      </c>
      <c r="F59" s="477" t="s">
        <v>1823</v>
      </c>
      <c r="H59" s="478">
        <f>H51+H54+H60</f>
        <v>0</v>
      </c>
      <c r="I59" s="224" t="s">
        <v>2</v>
      </c>
      <c r="J59" s="240">
        <f ca="1">IF(ISBLANK(M59),_xlfn.XLOOKUP(C59,Output[Item '#],Output[Unit Price (Max or Override)]),M59)</f>
        <v>328</v>
      </c>
      <c r="K59" s="485">
        <f t="shared" ca="1" si="2"/>
        <v>0</v>
      </c>
    </row>
    <row r="60" spans="2:11" ht="15" customHeight="1">
      <c r="B60" s="54"/>
      <c r="C60" s="122">
        <v>823.61</v>
      </c>
      <c r="D60" s="476" t="s">
        <v>1821</v>
      </c>
      <c r="F60" s="477" t="s">
        <v>1822</v>
      </c>
      <c r="H60" s="478">
        <f>ROUNDUP(E46/1000,0)</f>
        <v>0</v>
      </c>
      <c r="I60" s="224" t="s">
        <v>2</v>
      </c>
      <c r="J60" s="240">
        <f ca="1">IF(ISBLANK(M60),_xlfn.XLOOKUP(C60,Output[Item '#],Output[Unit Price (Max or Override)]),M60)</f>
        <v>27916</v>
      </c>
      <c r="K60" s="485">
        <f t="shared" ca="1" si="2"/>
        <v>0</v>
      </c>
    </row>
    <row r="61" spans="2:11" ht="15" customHeight="1">
      <c r="B61" s="54"/>
      <c r="C61" s="482"/>
      <c r="D61" s="483"/>
      <c r="E61" s="224"/>
      <c r="F61" s="153"/>
      <c r="G61" s="153"/>
      <c r="H61" s="484"/>
      <c r="I61" s="54"/>
    </row>
    <row r="62" spans="2:11" ht="15" customHeight="1"/>
  </sheetData>
  <sheetProtection algorithmName="SHA-512" hashValue="d4SpRfZG2R6EN3ppkU7s01rKcE0M22tRhqfDbiyLSTMoDa8bi29HmElU0G1Bm/uMfgrP2K/fehLxi7/UZsuuTA==" saltValue="d94b2jyfNDJYinTZqjnFdw==" spinCount="100000" sheet="1" objects="1" scenarios="1"/>
  <mergeCells count="7">
    <mergeCell ref="M9:M10"/>
    <mergeCell ref="I26:J26"/>
    <mergeCell ref="A6:A10"/>
    <mergeCell ref="F2:G2"/>
    <mergeCell ref="J2:K2"/>
    <mergeCell ref="F3:G3"/>
    <mergeCell ref="J3:K3"/>
  </mergeCells>
  <conditionalFormatting sqref="D2:D3">
    <cfRule type="expression" dxfId="26" priority="4">
      <formula>D2=""</formula>
    </cfRule>
  </conditionalFormatting>
  <conditionalFormatting sqref="F2:F3">
    <cfRule type="expression" dxfId="25" priority="2">
      <formula>F2=""</formula>
    </cfRule>
  </conditionalFormatting>
  <conditionalFormatting sqref="J2:J3">
    <cfRule type="expression" dxfId="24" priority="1">
      <formula>J2=""</formula>
    </cfRule>
  </conditionalFormatting>
  <pageMargins left="0.75" right="0.75" top="1" bottom="1" header="0.5" footer="0.5"/>
  <pageSetup scale="61" fitToHeight="0" orientation="portrait" r:id="rId1"/>
  <headerFooter alignWithMargins="0">
    <oddHeader>&amp;C&amp;"Arial,Bold Italic"&amp;20DRAFT - TOOL STILL IN PRODUCTION</oddHeader>
    <oddFooter>&amp;C&amp;"Futura Bk BT,Book"Page &amp;P</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AE343-6B6F-4FCE-933E-2B25916C1772}">
  <sheetPr codeName="Sheet11">
    <tabColor theme="0" tint="-0.249977111117893"/>
    <pageSetUpPr fitToPage="1"/>
  </sheetPr>
  <dimension ref="A1:S106"/>
  <sheetViews>
    <sheetView topLeftCell="A21" workbookViewId="0">
      <selection activeCell="J8" sqref="J8"/>
    </sheetView>
  </sheetViews>
  <sheetFormatPr defaultColWidth="9.140625" defaultRowHeight="15"/>
  <cols>
    <col min="1" max="1" width="13" style="159" customWidth="1"/>
    <col min="2" max="2" width="1.7109375" style="161" customWidth="1"/>
    <col min="3" max="3" width="8.7109375" style="161" customWidth="1"/>
    <col min="4" max="5" width="11.28515625" style="161" customWidth="1"/>
    <col min="6" max="6" width="4.140625" style="161" customWidth="1"/>
    <col min="7" max="9" width="11.28515625" style="161" customWidth="1"/>
    <col min="10" max="10" width="14.7109375" style="161" customWidth="1"/>
    <col min="11" max="11" width="12.7109375" style="161" customWidth="1"/>
    <col min="12" max="12" width="3.42578125" style="161" customWidth="1"/>
    <col min="13" max="13" width="9.140625" style="159"/>
    <col min="14" max="16384" width="9.140625" style="391"/>
  </cols>
  <sheetData>
    <row r="1" spans="1:13" ht="15.75" thickBot="1"/>
    <row r="2" spans="1:13">
      <c r="A2" s="1218" t="s">
        <v>3954</v>
      </c>
      <c r="B2" s="162"/>
      <c r="C2" s="163" t="s">
        <v>8</v>
      </c>
      <c r="D2" s="866"/>
      <c r="E2" s="163" t="s">
        <v>9</v>
      </c>
      <c r="F2" s="1233"/>
      <c r="G2" s="1233"/>
      <c r="H2" s="273"/>
      <c r="I2" s="163"/>
      <c r="J2" s="149" t="s">
        <v>1613</v>
      </c>
      <c r="K2" s="1220">
        <f>BasicProjectData!$G$17</f>
        <v>0</v>
      </c>
      <c r="L2" s="1255"/>
    </row>
    <row r="3" spans="1:13">
      <c r="A3" s="1218"/>
      <c r="B3" s="165"/>
      <c r="C3" s="166" t="s">
        <v>10</v>
      </c>
      <c r="D3" s="867"/>
      <c r="E3" s="166" t="s">
        <v>9</v>
      </c>
      <c r="F3" s="1234"/>
      <c r="G3" s="1234"/>
      <c r="H3" s="159"/>
      <c r="I3" s="166"/>
      <c r="J3" s="150" t="s">
        <v>11</v>
      </c>
      <c r="K3" s="1222">
        <f>BasicProjectData!E7</f>
        <v>0</v>
      </c>
      <c r="L3" s="1252"/>
    </row>
    <row r="4" spans="1:13" ht="15.75" customHeight="1" thickBot="1">
      <c r="A4" s="1218"/>
      <c r="B4" s="168"/>
      <c r="C4" s="169"/>
      <c r="D4" s="170"/>
      <c r="E4" s="171"/>
      <c r="F4" s="172"/>
      <c r="G4" s="173"/>
      <c r="H4" s="171"/>
      <c r="I4" s="171"/>
      <c r="J4" s="174"/>
      <c r="K4" s="174"/>
      <c r="L4" s="175"/>
    </row>
    <row r="5" spans="1:13">
      <c r="A5" s="1218"/>
      <c r="B5" s="176"/>
      <c r="C5" s="177"/>
      <c r="D5" s="177"/>
      <c r="E5" s="177"/>
      <c r="F5" s="177"/>
      <c r="G5" s="177"/>
      <c r="H5" s="177"/>
      <c r="I5" s="177"/>
      <c r="J5" s="177"/>
      <c r="K5" s="177"/>
      <c r="L5" s="176"/>
    </row>
    <row r="6" spans="1:13">
      <c r="A6" s="1218"/>
      <c r="B6" s="179"/>
      <c r="C6" s="1225" t="s">
        <v>1557</v>
      </c>
      <c r="D6" s="1225"/>
      <c r="E6" s="1225"/>
      <c r="F6" s="1225"/>
      <c r="G6" s="1225"/>
      <c r="H6" s="1225"/>
      <c r="I6" s="1225"/>
      <c r="J6" s="1225"/>
      <c r="K6" s="1225"/>
      <c r="L6" s="179"/>
      <c r="M6" s="1244" t="s">
        <v>3923</v>
      </c>
    </row>
    <row r="7" spans="1:13">
      <c r="A7" s="495"/>
      <c r="B7" s="180"/>
      <c r="C7" s="1225" t="s">
        <v>1218</v>
      </c>
      <c r="D7" s="1225"/>
      <c r="E7" s="1225"/>
      <c r="F7" s="1225"/>
      <c r="G7" s="1225"/>
      <c r="H7" s="1225"/>
      <c r="I7" s="1225"/>
      <c r="J7" s="1225"/>
      <c r="K7" s="1225"/>
      <c r="L7" s="180"/>
      <c r="M7" s="1245"/>
    </row>
    <row r="8" spans="1:13" ht="25.5" customHeight="1">
      <c r="A8" s="868" t="str">
        <f ca="1">IFERROR(HYPERLINK("#"&amp;"ProjectEstimate!A"&amp;(8+MATCH($C8,ProjectEstimate!$A$9:$A$145,0)),CONCATENATE("Go to ",$C8))," ")</f>
        <v xml:space="preserve"> </v>
      </c>
      <c r="B8" s="180"/>
      <c r="C8" s="157">
        <v>804.3</v>
      </c>
      <c r="D8" s="1248" t="s">
        <v>1585</v>
      </c>
      <c r="E8" s="1248"/>
      <c r="F8" s="1248"/>
      <c r="G8" s="1248"/>
      <c r="H8" s="152">
        <f>ROUNDUP(E10+E11,0)</f>
        <v>0</v>
      </c>
      <c r="I8" s="153" t="s">
        <v>17</v>
      </c>
      <c r="J8" s="154">
        <f ca="1">IF(ISBLANK(M8),_xlfn.XLOOKUP(C8,Output[Item '#],Output[Unit Price (Max or Override)]),M8)</f>
        <v>75</v>
      </c>
      <c r="K8" s="199">
        <f ca="1">ROUND(H8*J8, -1)</f>
        <v>0</v>
      </c>
      <c r="L8" s="181"/>
      <c r="M8" s="869"/>
    </row>
    <row r="9" spans="1:13" ht="15.75" thickBot="1">
      <c r="B9" s="180"/>
      <c r="C9" s="122"/>
      <c r="D9" s="122"/>
      <c r="E9" s="122"/>
      <c r="F9" s="122"/>
      <c r="G9" s="200"/>
      <c r="H9" s="224"/>
      <c r="I9" s="200"/>
      <c r="J9" s="240"/>
      <c r="K9" s="271"/>
      <c r="L9" s="183"/>
      <c r="M9" s="662"/>
    </row>
    <row r="10" spans="1:13" ht="15.75" thickBot="1">
      <c r="B10" s="180"/>
      <c r="C10" s="122"/>
      <c r="D10" s="131"/>
      <c r="E10" s="236">
        <f>G10*H10</f>
        <v>0</v>
      </c>
      <c r="F10" s="219" t="s">
        <v>66</v>
      </c>
      <c r="G10" s="207">
        <v>500</v>
      </c>
      <c r="H10" s="392">
        <f>TrafficControl!I7</f>
        <v>0</v>
      </c>
      <c r="I10" s="200"/>
      <c r="J10" s="196" t="s">
        <v>1608</v>
      </c>
      <c r="K10" s="271"/>
      <c r="L10" s="183"/>
      <c r="M10" s="662"/>
    </row>
    <row r="11" spans="1:13">
      <c r="B11" s="180"/>
      <c r="C11" s="122"/>
      <c r="D11" s="131"/>
      <c r="E11" s="235">
        <f>LIGHTING!H13</f>
        <v>0</v>
      </c>
      <c r="F11" s="219"/>
      <c r="G11" s="207"/>
      <c r="H11" s="392"/>
      <c r="I11" s="200"/>
      <c r="J11" s="196" t="s">
        <v>3775</v>
      </c>
      <c r="K11" s="271"/>
      <c r="L11" s="183"/>
      <c r="M11" s="662"/>
    </row>
    <row r="12" spans="1:13">
      <c r="B12" s="180"/>
      <c r="C12" s="122"/>
      <c r="D12" s="122"/>
      <c r="E12" s="122"/>
      <c r="F12" s="122"/>
      <c r="G12" s="200"/>
      <c r="H12" s="224"/>
      <c r="I12" s="224"/>
      <c r="J12" s="240"/>
      <c r="K12" s="271"/>
      <c r="L12" s="183"/>
      <c r="M12" s="662"/>
    </row>
    <row r="13" spans="1:13">
      <c r="A13" s="868" t="str">
        <f ca="1">IFERROR(HYPERLINK("#"&amp;"ProjectEstimate!A"&amp;(8+MATCH($C13,ProjectEstimate!$A$9:$A$145,0)),CONCATENATE("Go to ",$C13))," ")</f>
        <v xml:space="preserve"> </v>
      </c>
      <c r="B13" s="180"/>
      <c r="C13" s="157">
        <v>811.22</v>
      </c>
      <c r="D13" s="1248" t="s">
        <v>496</v>
      </c>
      <c r="E13" s="1248"/>
      <c r="F13" s="1248"/>
      <c r="G13" s="1248"/>
      <c r="H13" s="152">
        <f>E15+E16</f>
        <v>0</v>
      </c>
      <c r="I13" s="153" t="s">
        <v>2</v>
      </c>
      <c r="J13" s="154" cm="1">
        <f t="array" aca="1" ref="J13" ca="1">IF(ISBLANK(M13),_xlfn.XLOOKUP(C13,INDIRECT("OUTPUT!$A$2:$A$935"),INDIRECT("OUTPUT!$E$2:$E$935")),M13)</f>
        <v>1848</v>
      </c>
      <c r="K13" s="199">
        <f ca="1">ROUND(H13*J13, -1)</f>
        <v>0</v>
      </c>
      <c r="L13" s="183"/>
      <c r="M13" s="869"/>
    </row>
    <row r="14" spans="1:13">
      <c r="B14" s="180"/>
      <c r="C14" s="122"/>
      <c r="D14" s="122"/>
      <c r="E14" s="122"/>
      <c r="F14" s="122"/>
      <c r="G14" s="200"/>
      <c r="H14" s="224"/>
      <c r="I14" s="224"/>
      <c r="J14" s="240"/>
      <c r="K14" s="271"/>
      <c r="L14" s="183"/>
      <c r="M14" s="662"/>
    </row>
    <row r="15" spans="1:13">
      <c r="B15" s="180"/>
      <c r="C15" s="122"/>
      <c r="D15" s="391"/>
      <c r="E15" s="122">
        <f>IF(OR(TrafficControl!$G$20="New Construction",AND(TrafficControl!$G$16="Signalized",TrafficControl!$G$20="Upgrade/Retrofit")),3*TrafficControl!$G$17,0)+IF(OR(TrafficControl!$H$20="New Construction",AND(TrafficControl!$H$16="Signalized",TrafficControl!$H$20="Upgrade/Retrofit")),3*TrafficControl!$H$17,0)+IF(OR(TrafficControl!$I$20="New Construction",AND(TrafficControl!$I$16="Signalized",TrafficControl!$I$20="Upgrade/Retrofit")),3*TrafficControl!$I$17,0)+IF(OR(TrafficControl!$J$20="New Construction",AND(TrafficControl!$J$16="Signalized",TrafficControl!$J$20="Upgrade/Retrofit")),3*TrafficControl!$J$17,0)</f>
        <v>0</v>
      </c>
      <c r="F15" s="122" t="s">
        <v>2</v>
      </c>
      <c r="G15" s="200"/>
      <c r="H15" s="224"/>
      <c r="I15" s="224"/>
      <c r="J15" s="196" t="s">
        <v>3778</v>
      </c>
      <c r="K15" s="271"/>
      <c r="L15" s="183"/>
      <c r="M15" s="662"/>
    </row>
    <row r="16" spans="1:13">
      <c r="B16" s="180"/>
      <c r="C16" s="122"/>
      <c r="D16" s="122"/>
      <c r="E16" s="122">
        <f>LIGHTING!H14</f>
        <v>0</v>
      </c>
      <c r="F16" s="122" t="s">
        <v>2</v>
      </c>
      <c r="G16" s="200"/>
      <c r="H16" s="224"/>
      <c r="I16" s="224"/>
      <c r="J16" s="196" t="s">
        <v>3779</v>
      </c>
      <c r="K16" s="271"/>
      <c r="L16" s="183"/>
      <c r="M16" s="662"/>
    </row>
    <row r="17" spans="1:15">
      <c r="B17" s="180"/>
      <c r="C17" s="122"/>
      <c r="D17" s="122"/>
      <c r="E17" s="122"/>
      <c r="F17" s="122"/>
      <c r="G17" s="200"/>
      <c r="H17" s="224"/>
      <c r="I17" s="224"/>
      <c r="J17" s="240"/>
      <c r="K17" s="271"/>
      <c r="L17" s="183"/>
      <c r="M17" s="662"/>
    </row>
    <row r="18" spans="1:15">
      <c r="A18" s="868" t="str">
        <f ca="1">IFERROR(HYPERLINK("#"&amp;"ProjectEstimate!A"&amp;(8+MATCH($C18,ProjectEstimate!$A$9:$A$145,0)),CONCATENATE("Go to ",$C18))," ")</f>
        <v xml:space="preserve"> </v>
      </c>
      <c r="B18" s="180"/>
      <c r="C18" s="157">
        <v>811.31</v>
      </c>
      <c r="D18" s="1248" t="s">
        <v>501</v>
      </c>
      <c r="E18" s="1248"/>
      <c r="F18" s="1248"/>
      <c r="G18" s="1248"/>
      <c r="H18" s="152">
        <f>IF(OR(TrafficControl!$G$20="New Construction",AND(TrafficControl!$G$16="Signalized",TrafficControl!$G$20="Upgrade/Retrofit")),3*TrafficControl!$G$17,0)+IF(OR(TrafficControl!$H$20="New Construction",AND(TrafficControl!$H$16="Signalized",TrafficControl!$H$20="Upgrade/Retrofit")),3*TrafficControl!$H$17,0)+IF(OR(TrafficControl!$I$20="New Construction",AND(TrafficControl!$I$16="Signalized",TrafficControl!$I$20="Upgrade/Retrofit")),3*TrafficControl!$I$17,0)+IF(OR(TrafficControl!$J$20="New Construction",AND(TrafficControl!$J$16="Signalized",TrafficControl!$J$20="Upgrade/Retrofit")),3*TrafficControl!$J$17,0)</f>
        <v>0</v>
      </c>
      <c r="I18" s="153" t="s">
        <v>2</v>
      </c>
      <c r="J18" s="154" cm="1">
        <f t="array" aca="1" ref="J18" ca="1">IF(ISBLANK(M18),_xlfn.XLOOKUP(C18,INDIRECT("OUTPUT!$A$2:$A$935"),INDIRECT("OUTPUT!$E$2:$E$935")),M18)</f>
        <v>1373</v>
      </c>
      <c r="K18" s="199">
        <f ca="1">ROUND(H18*J18, -1)</f>
        <v>0</v>
      </c>
      <c r="L18" s="183"/>
      <c r="M18" s="869"/>
    </row>
    <row r="19" spans="1:15">
      <c r="B19" s="180"/>
      <c r="C19" s="122"/>
      <c r="D19" s="122"/>
      <c r="E19" s="122"/>
      <c r="F19" s="122"/>
      <c r="G19" s="200"/>
      <c r="H19" s="224"/>
      <c r="I19" s="224"/>
      <c r="J19" s="240"/>
      <c r="K19" s="271"/>
      <c r="L19" s="183"/>
      <c r="M19" s="662"/>
    </row>
    <row r="20" spans="1:15">
      <c r="B20" s="180"/>
      <c r="C20" s="122"/>
      <c r="D20" s="391" t="s">
        <v>1795</v>
      </c>
      <c r="E20" s="122"/>
      <c r="F20" s="122"/>
      <c r="G20" s="200"/>
      <c r="H20" s="224"/>
      <c r="I20" s="224"/>
      <c r="J20" s="240"/>
      <c r="K20" s="271"/>
      <c r="L20" s="183"/>
      <c r="M20" s="662"/>
    </row>
    <row r="21" spans="1:15">
      <c r="B21" s="180"/>
      <c r="C21" s="122"/>
      <c r="D21" s="122"/>
      <c r="E21" s="122"/>
      <c r="F21" s="122"/>
      <c r="G21" s="200"/>
      <c r="H21" s="224"/>
      <c r="I21" s="224"/>
      <c r="J21" s="240"/>
      <c r="K21" s="271"/>
      <c r="L21" s="183"/>
      <c r="M21" s="662"/>
    </row>
    <row r="22" spans="1:15" ht="29.25" customHeight="1">
      <c r="A22" s="868" t="str">
        <f ca="1">IFERROR(HYPERLINK("#"&amp;"ProjectEstimate!A"&amp;(8+MATCH($C22,ProjectEstimate!$A$9:$A$145,0)),CONCATENATE("Go to ",$C22))," ")</f>
        <v xml:space="preserve"> </v>
      </c>
      <c r="B22" s="180"/>
      <c r="C22" s="157">
        <v>832</v>
      </c>
      <c r="D22" s="1248" t="s">
        <v>556</v>
      </c>
      <c r="E22" s="1248"/>
      <c r="F22" s="1248"/>
      <c r="G22" s="1248"/>
      <c r="H22" s="152">
        <f>ROUNDUP(E26,0)</f>
        <v>0</v>
      </c>
      <c r="I22" s="153" t="s">
        <v>3</v>
      </c>
      <c r="J22" s="154" cm="1">
        <f t="array" aca="1" ref="J22" ca="1">IF(ISBLANK(M22),_xlfn.XLOOKUP(C22,INDIRECT("OUTPUT!$A$2:$A$935"),INDIRECT("OUTPUT!$E$2:$E$935")),M22)</f>
        <v>17</v>
      </c>
      <c r="K22" s="199">
        <f ca="1">ROUND(H22*J22, -1)</f>
        <v>0</v>
      </c>
      <c r="L22" s="180"/>
      <c r="M22" s="869"/>
    </row>
    <row r="23" spans="1:15">
      <c r="B23" s="180"/>
      <c r="C23" s="157"/>
      <c r="D23" s="256"/>
      <c r="E23" s="393">
        <f>G23*H23</f>
        <v>0</v>
      </c>
      <c r="F23" s="219" t="s">
        <v>66</v>
      </c>
      <c r="G23" s="253">
        <v>25</v>
      </c>
      <c r="H23" s="302">
        <f>IF(OR(Roadway!H52="Replacing/New",Roadway!H52="Both"),SUM(BasicProjectData!$G$22:$J$22)/1000,0)</f>
        <v>0</v>
      </c>
      <c r="I23" s="153"/>
      <c r="J23" s="196" t="s">
        <v>1606</v>
      </c>
      <c r="K23" s="199"/>
      <c r="L23" s="180"/>
      <c r="M23" s="662"/>
    </row>
    <row r="24" spans="1:15">
      <c r="B24" s="180"/>
      <c r="C24" s="122"/>
      <c r="D24" s="122"/>
      <c r="E24" s="393">
        <f>G24*H24</f>
        <v>0</v>
      </c>
      <c r="F24" s="219" t="s">
        <v>66</v>
      </c>
      <c r="G24" s="253">
        <v>200</v>
      </c>
      <c r="H24" s="224">
        <f>TrafficControl!I7</f>
        <v>0</v>
      </c>
      <c r="I24" s="200"/>
      <c r="J24" s="196" t="s">
        <v>1607</v>
      </c>
      <c r="K24" s="271"/>
      <c r="L24" s="180"/>
      <c r="M24" s="662"/>
    </row>
    <row r="25" spans="1:15" ht="15.75" thickBot="1">
      <c r="B25" s="180"/>
      <c r="C25" s="122"/>
      <c r="D25" s="122"/>
      <c r="E25" s="393">
        <f>G25*H25</f>
        <v>0</v>
      </c>
      <c r="F25" s="219" t="s">
        <v>66</v>
      </c>
      <c r="G25" s="253">
        <v>4</v>
      </c>
      <c r="H25" s="224">
        <f>Multimodal!I36</f>
        <v>0</v>
      </c>
      <c r="I25" s="200"/>
      <c r="J25" s="196" t="s">
        <v>3781</v>
      </c>
      <c r="K25" s="271"/>
      <c r="L25" s="180"/>
      <c r="M25" s="662"/>
    </row>
    <row r="26" spans="1:15" ht="15.75" thickBot="1">
      <c r="B26" s="180"/>
      <c r="C26" s="122"/>
      <c r="D26" s="131"/>
      <c r="E26" s="394">
        <f>SUM(E23:E25)</f>
        <v>0</v>
      </c>
      <c r="F26" s="219" t="s">
        <v>66</v>
      </c>
      <c r="G26" s="391"/>
      <c r="H26" s="392"/>
      <c r="I26" s="200"/>
      <c r="M26" s="670"/>
    </row>
    <row r="27" spans="1:15">
      <c r="B27" s="180"/>
      <c r="C27" s="182"/>
      <c r="D27" s="182"/>
      <c r="E27" s="182"/>
      <c r="F27" s="182"/>
      <c r="G27" s="182"/>
      <c r="H27" s="182"/>
      <c r="I27" s="182"/>
      <c r="M27" s="670"/>
    </row>
    <row r="28" spans="1:15" s="161" customFormat="1" ht="27" customHeight="1">
      <c r="A28" s="868" t="str">
        <f ca="1">IFERROR(HYPERLINK("#"&amp;"ProjectEstimate!A"&amp;(8+MATCH($C28,ProjectEstimate!$A$9:$A$145,0)),CONCATENATE("Go to ",$C28))," ")</f>
        <v xml:space="preserve"> </v>
      </c>
      <c r="B28" s="183"/>
      <c r="C28" s="270">
        <v>834.18</v>
      </c>
      <c r="D28" s="1248" t="s">
        <v>561</v>
      </c>
      <c r="E28" s="1248"/>
      <c r="F28" s="1248"/>
      <c r="G28" s="1248"/>
      <c r="H28" s="152">
        <f>ROUNDUP(E31,1)</f>
        <v>0</v>
      </c>
      <c r="I28" s="153" t="s">
        <v>2</v>
      </c>
      <c r="J28" s="154" cm="1">
        <f t="array" aca="1" ref="J28" ca="1">IF(ISBLANK(M28),_xlfn.XLOOKUP(C28,INDIRECT("OUTPUT!$A$2:$A$935"),INDIRECT("OUTPUT!$E$2:$E$935")),M28)</f>
        <v>67</v>
      </c>
      <c r="K28" s="199">
        <f ca="1">ROUND(H28*J28, -1)</f>
        <v>0</v>
      </c>
      <c r="L28" s="183"/>
      <c r="M28" s="869"/>
      <c r="N28" s="183"/>
      <c r="O28" s="183"/>
    </row>
    <row r="29" spans="1:15">
      <c r="C29" s="122"/>
      <c r="D29" s="122"/>
      <c r="E29" s="122"/>
      <c r="F29" s="122"/>
      <c r="G29" s="200"/>
      <c r="H29" s="224"/>
      <c r="I29" s="200"/>
      <c r="J29" s="240"/>
      <c r="K29" s="271"/>
      <c r="M29" s="662"/>
    </row>
    <row r="30" spans="1:15" ht="15.75" thickBot="1">
      <c r="C30" s="122"/>
      <c r="D30" s="229" t="s">
        <v>1601</v>
      </c>
      <c r="E30" s="395">
        <f>IF(Multimodal!$G$19=HIDDEN!$D$23,BasicProjectData!$G$22,0)+IF(Multimodal!$G$31=HIDDEN!$D$23,BasicProjectData!G22,0)</f>
        <v>0</v>
      </c>
      <c r="F30" s="200"/>
      <c r="G30" s="200"/>
      <c r="H30" s="391"/>
      <c r="I30" s="391"/>
      <c r="J30" s="196" t="s">
        <v>1711</v>
      </c>
      <c r="K30" s="271"/>
      <c r="M30" s="662"/>
    </row>
    <row r="31" spans="1:15" ht="15.75" thickBot="1">
      <c r="C31" s="122"/>
      <c r="D31" s="396" t="s">
        <v>1600</v>
      </c>
      <c r="E31" s="397">
        <f>G31/H31</f>
        <v>0</v>
      </c>
      <c r="F31" s="219" t="s">
        <v>66</v>
      </c>
      <c r="G31" s="398">
        <f>E30</f>
        <v>0</v>
      </c>
      <c r="H31" s="933">
        <v>10</v>
      </c>
      <c r="J31" s="196" t="s">
        <v>1612</v>
      </c>
      <c r="K31" s="271"/>
      <c r="M31" s="662"/>
    </row>
    <row r="32" spans="1:15">
      <c r="C32" s="122"/>
      <c r="D32" s="122"/>
      <c r="E32" s="122"/>
      <c r="F32" s="122"/>
      <c r="G32" s="200"/>
      <c r="H32" s="224"/>
      <c r="I32" s="224"/>
      <c r="J32" s="240"/>
      <c r="K32" s="271"/>
      <c r="M32" s="662"/>
    </row>
    <row r="33" spans="1:15" s="161" customFormat="1" ht="14.1" customHeight="1">
      <c r="A33" s="868" t="str">
        <f ca="1">IFERROR(HYPERLINK("#"&amp;"ProjectEstimate!A"&amp;(8+MATCH($C33,ProjectEstimate!$A$9:$A$145,0)),CONCATENATE("Go to ",$C33))," ")</f>
        <v xml:space="preserve"> </v>
      </c>
      <c r="B33" s="183"/>
      <c r="C33" s="270">
        <v>834.18700000000001</v>
      </c>
      <c r="D33" s="1248" t="s">
        <v>1710</v>
      </c>
      <c r="E33" s="1248"/>
      <c r="F33" s="1248"/>
      <c r="G33" s="1248"/>
      <c r="H33" s="152">
        <f>ROUNDUP(E36,1)</f>
        <v>0</v>
      </c>
      <c r="I33" s="153" t="s">
        <v>2</v>
      </c>
      <c r="J33" s="154" cm="1">
        <f t="array" aca="1" ref="J33" ca="1">IF(ISBLANK(M33),_xlfn.XLOOKUP(C33,INDIRECT("OUTPUT!$A$2:$A$935"),INDIRECT("OUTPUT!$E$2:$E$935")),M33)</f>
        <v>300</v>
      </c>
      <c r="K33" s="199">
        <f ca="1">ROUND(H33*J33, -1)</f>
        <v>0</v>
      </c>
      <c r="L33" s="183"/>
      <c r="M33" s="869"/>
      <c r="N33" s="183"/>
      <c r="O33" s="183"/>
    </row>
    <row r="34" spans="1:15" ht="14.1" customHeight="1">
      <c r="C34" s="122"/>
      <c r="D34" s="122"/>
      <c r="E34" s="122"/>
      <c r="F34" s="122"/>
      <c r="G34" s="200"/>
      <c r="H34" s="224"/>
      <c r="I34" s="200"/>
      <c r="J34" s="240"/>
      <c r="K34" s="399"/>
      <c r="M34" s="662"/>
    </row>
    <row r="35" spans="1:15" ht="14.1" customHeight="1" thickBot="1">
      <c r="C35" s="122"/>
      <c r="D35" s="229" t="s">
        <v>1601</v>
      </c>
      <c r="E35" s="395">
        <f>IF(Multimodal!$G$19=HIDDEN!$D$25,BasicProjectData!$G$22,0)+IF(Multimodal!$G$31=HIDDEN!$D$25,BasicProjectData!G22,0)</f>
        <v>0</v>
      </c>
      <c r="F35" s="200"/>
      <c r="G35" s="200"/>
      <c r="H35" s="391"/>
      <c r="I35" s="391"/>
      <c r="J35" s="196" t="s">
        <v>1712</v>
      </c>
      <c r="K35" s="399"/>
      <c r="M35" s="662"/>
    </row>
    <row r="36" spans="1:15" ht="14.1" customHeight="1" thickBot="1">
      <c r="C36" s="122"/>
      <c r="D36" s="396" t="s">
        <v>1600</v>
      </c>
      <c r="E36" s="397">
        <f>G36/H36</f>
        <v>0</v>
      </c>
      <c r="F36" s="219" t="s">
        <v>66</v>
      </c>
      <c r="G36" s="398">
        <f>E35</f>
        <v>0</v>
      </c>
      <c r="H36" s="933">
        <v>10</v>
      </c>
      <c r="J36" s="196" t="s">
        <v>1612</v>
      </c>
      <c r="K36" s="399"/>
      <c r="M36" s="662"/>
    </row>
    <row r="37" spans="1:15">
      <c r="B37" s="180"/>
      <c r="C37" s="122"/>
      <c r="D37" s="131"/>
      <c r="E37" s="235"/>
      <c r="F37" s="219"/>
      <c r="G37" s="207"/>
      <c r="H37" s="392"/>
      <c r="I37" s="200"/>
      <c r="J37" s="196"/>
      <c r="K37" s="271"/>
      <c r="L37" s="180"/>
      <c r="M37" s="662"/>
    </row>
    <row r="38" spans="1:15" ht="24.75" customHeight="1">
      <c r="A38" s="868" t="str">
        <f ca="1">IFERROR(HYPERLINK("#"&amp;"ProjectEstimate!A"&amp;(8+MATCH($C38,ProjectEstimate!$A$9:$A$145,0)),CONCATENATE("Go to ",$C38))," ")</f>
        <v xml:space="preserve"> </v>
      </c>
      <c r="B38" s="180"/>
      <c r="C38" s="157">
        <v>847.1</v>
      </c>
      <c r="D38" s="1248" t="s">
        <v>1587</v>
      </c>
      <c r="E38" s="1248"/>
      <c r="F38" s="1248"/>
      <c r="G38" s="1248"/>
      <c r="H38" s="152">
        <f>ROUNDUP(E40,0)</f>
        <v>0</v>
      </c>
      <c r="I38" s="153" t="s">
        <v>2</v>
      </c>
      <c r="J38" s="154" cm="1">
        <f t="array" aca="1" ref="J38" ca="1">IF(ISBLANK(M38),_xlfn.XLOOKUP(C38,INDIRECT("OUTPUT!$A$2:$A$935"),INDIRECT("OUTPUT!$E$2:$E$935")),M38)</f>
        <v>259</v>
      </c>
      <c r="K38" s="199">
        <f ca="1">ROUND(H38*J38, -1)</f>
        <v>0</v>
      </c>
      <c r="L38" s="180"/>
      <c r="M38" s="869"/>
    </row>
    <row r="39" spans="1:15" ht="15.75" thickBot="1">
      <c r="B39" s="180"/>
      <c r="C39" s="122"/>
      <c r="D39" s="122"/>
      <c r="E39" s="122"/>
      <c r="F39" s="122"/>
      <c r="G39" s="200"/>
      <c r="H39" s="224"/>
      <c r="I39" s="200"/>
      <c r="J39" s="240"/>
      <c r="K39" s="271"/>
      <c r="L39" s="180"/>
      <c r="M39" s="662"/>
    </row>
    <row r="40" spans="1:15" ht="15.75" thickBot="1">
      <c r="B40" s="180"/>
      <c r="C40" s="122"/>
      <c r="D40" s="131"/>
      <c r="E40" s="400">
        <f>ROUNDUP(G40/H40,0)</f>
        <v>0</v>
      </c>
      <c r="F40" s="219" t="s">
        <v>66</v>
      </c>
      <c r="G40" s="401">
        <f>E26</f>
        <v>0</v>
      </c>
      <c r="H40" s="934">
        <v>4</v>
      </c>
      <c r="I40" s="200"/>
      <c r="J40" s="196" t="s">
        <v>1609</v>
      </c>
      <c r="K40" s="271"/>
      <c r="L40" s="180"/>
      <c r="M40" s="662"/>
    </row>
    <row r="41" spans="1:15">
      <c r="B41" s="180"/>
      <c r="C41" s="122"/>
      <c r="D41" s="131"/>
      <c r="E41" s="496"/>
      <c r="F41" s="219"/>
      <c r="G41" s="401"/>
      <c r="H41" s="402"/>
      <c r="I41" s="200"/>
      <c r="J41" s="196"/>
      <c r="K41" s="271"/>
      <c r="L41" s="180"/>
      <c r="M41" s="662"/>
    </row>
    <row r="42" spans="1:15" ht="23.25" customHeight="1">
      <c r="A42" s="868" t="str">
        <f ca="1">IFERROR(HYPERLINK("#"&amp;"ProjectEstimate!A"&amp;(8+MATCH($C42,ProjectEstimate!$A$9:$A$145,0)),CONCATENATE("Go to ",$C42))," ")</f>
        <v xml:space="preserve"> </v>
      </c>
      <c r="B42" s="180"/>
      <c r="C42" s="157">
        <v>863.1</v>
      </c>
      <c r="D42" s="1248" t="s">
        <v>3757</v>
      </c>
      <c r="E42" s="1248"/>
      <c r="F42" s="1254"/>
      <c r="G42" s="1248"/>
      <c r="H42" s="152">
        <f>ROUNDUP(E47,0)</f>
        <v>0</v>
      </c>
      <c r="I42" s="153" t="s">
        <v>3</v>
      </c>
      <c r="J42" s="154" cm="1">
        <f t="array" aca="1" ref="J42" ca="1">IF(ISBLANK(M42),_xlfn.XLOOKUP(C42,INDIRECT("OUTPUT!$A$2:$A$935"),INDIRECT("OUTPUT!$E$2:$E$935")),M42)</f>
        <v>11</v>
      </c>
      <c r="K42" s="205">
        <f ca="1">ROUND(H42*J42, -1)</f>
        <v>0</v>
      </c>
      <c r="L42" s="180"/>
      <c r="M42" s="869"/>
    </row>
    <row r="43" spans="1:15">
      <c r="B43" s="180"/>
      <c r="C43" s="122"/>
      <c r="D43" s="131"/>
      <c r="E43" s="496"/>
      <c r="F43" s="219"/>
      <c r="G43" s="401"/>
      <c r="H43" s="402"/>
      <c r="I43" s="200"/>
      <c r="J43" s="196"/>
      <c r="K43" s="271"/>
      <c r="L43" s="180"/>
      <c r="M43" s="662"/>
    </row>
    <row r="44" spans="1:15">
      <c r="B44" s="180"/>
      <c r="C44" s="122"/>
      <c r="D44" s="131" t="s">
        <v>3762</v>
      </c>
      <c r="E44" s="403">
        <f>G44*H44*I44</f>
        <v>0</v>
      </c>
      <c r="F44" s="219" t="s">
        <v>66</v>
      </c>
      <c r="G44" s="404">
        <f>Multimodal!I47</f>
        <v>0</v>
      </c>
      <c r="H44" s="935">
        <v>100</v>
      </c>
      <c r="I44" s="322">
        <v>5</v>
      </c>
      <c r="J44" s="196" t="s">
        <v>3769</v>
      </c>
      <c r="K44" s="271"/>
      <c r="L44" s="180"/>
      <c r="M44" s="662"/>
    </row>
    <row r="45" spans="1:15">
      <c r="B45" s="180"/>
      <c r="C45" s="122"/>
      <c r="D45" s="131" t="s">
        <v>3763</v>
      </c>
      <c r="E45" s="403">
        <f>G45*H45*I45</f>
        <v>0</v>
      </c>
      <c r="F45" s="219" t="s">
        <v>66</v>
      </c>
      <c r="G45" s="404">
        <f>Multimodal!I48</f>
        <v>0</v>
      </c>
      <c r="H45" s="935">
        <v>30</v>
      </c>
      <c r="I45" s="322">
        <v>5</v>
      </c>
      <c r="J45" s="196" t="s">
        <v>3768</v>
      </c>
      <c r="K45" s="271"/>
      <c r="L45" s="180"/>
      <c r="M45" s="662"/>
    </row>
    <row r="46" spans="1:15" ht="15.75" thickBot="1">
      <c r="B46" s="180"/>
      <c r="C46" s="122"/>
      <c r="D46" s="131" t="s">
        <v>3764</v>
      </c>
      <c r="E46" s="502">
        <f>G46*H46*I46</f>
        <v>0</v>
      </c>
      <c r="F46" s="219" t="s">
        <v>66</v>
      </c>
      <c r="G46" s="404">
        <f>Multimodal!I39</f>
        <v>0</v>
      </c>
      <c r="H46" s="935">
        <v>16</v>
      </c>
      <c r="I46" s="936">
        <v>30</v>
      </c>
      <c r="J46" s="196" t="s">
        <v>3766</v>
      </c>
      <c r="K46" s="271"/>
      <c r="L46" s="180"/>
      <c r="M46" s="662"/>
    </row>
    <row r="47" spans="1:15" ht="15.75" thickBot="1">
      <c r="B47" s="180"/>
      <c r="C47" s="122"/>
      <c r="D47" s="131" t="s">
        <v>1877</v>
      </c>
      <c r="E47" s="503">
        <f>SUM(E44:E46)</f>
        <v>0</v>
      </c>
      <c r="F47" s="219"/>
      <c r="G47" s="404"/>
      <c r="H47" s="251"/>
      <c r="I47" s="322"/>
      <c r="J47" s="196"/>
      <c r="K47" s="271"/>
      <c r="L47" s="180"/>
      <c r="M47" s="662"/>
    </row>
    <row r="48" spans="1:15" ht="18.75" customHeight="1">
      <c r="B48" s="183"/>
      <c r="C48" s="122"/>
      <c r="D48" s="122"/>
      <c r="E48" s="122"/>
      <c r="F48" s="122"/>
      <c r="G48" s="200"/>
      <c r="H48" s="224"/>
      <c r="I48" s="224"/>
      <c r="J48" s="240"/>
      <c r="K48" s="271"/>
      <c r="L48" s="183"/>
      <c r="M48" s="662"/>
    </row>
    <row r="49" spans="1:15" ht="26.25" customHeight="1">
      <c r="A49" s="868" t="str">
        <f ca="1">IFERROR(HYPERLINK("#"&amp;"ProjectEstimate!A"&amp;(8+MATCH($C49,ProjectEstimate!$A$9:$A$145,0)),CONCATENATE("Go to ",$C49))," ")</f>
        <v xml:space="preserve"> </v>
      </c>
      <c r="B49" s="183"/>
      <c r="C49" s="157">
        <v>864.04</v>
      </c>
      <c r="D49" s="1248" t="s">
        <v>1728</v>
      </c>
      <c r="E49" s="1248"/>
      <c r="F49" s="1248"/>
      <c r="G49" s="1248"/>
      <c r="H49" s="152">
        <f>ROUNDUP(SUM(E51:E56),0)</f>
        <v>0</v>
      </c>
      <c r="I49" s="153" t="s">
        <v>3</v>
      </c>
      <c r="J49" s="154" cm="1">
        <f t="array" aca="1" ref="J49" ca="1">IF(ISBLANK(M49),_xlfn.XLOOKUP(C49,INDIRECT("OUTPUT!$A$2:$A$935"),INDIRECT("OUTPUT!$E$2:$E$935")),M49)</f>
        <v>11</v>
      </c>
      <c r="K49" s="199">
        <f ca="1">ROUND(H49*J49, -1)</f>
        <v>0</v>
      </c>
      <c r="L49" s="183"/>
      <c r="M49" s="869"/>
    </row>
    <row r="50" spans="1:15">
      <c r="B50" s="183"/>
      <c r="C50" s="122"/>
      <c r="D50" s="229" t="s">
        <v>1788</v>
      </c>
      <c r="E50" s="395">
        <f>SUMIF(Multimodal!G15:J15,HIDDEN!$D$15,BasicProjectData!G22:J22)+SUMIF(Multimodal!G27:J27,HIDDEN!$D$15,BasicProjectData!G22:J22)</f>
        <v>0</v>
      </c>
      <c r="F50" s="122"/>
      <c r="G50" s="200"/>
      <c r="H50" s="224"/>
      <c r="I50" s="224"/>
      <c r="J50" s="240"/>
      <c r="K50" s="271"/>
      <c r="L50" s="183"/>
      <c r="M50" s="662"/>
    </row>
    <row r="51" spans="1:15">
      <c r="B51" s="183"/>
      <c r="C51" s="122"/>
      <c r="D51" s="229" t="s">
        <v>1791</v>
      </c>
      <c r="E51" s="224">
        <f>ROUNDUP(G51/H51,-1)</f>
        <v>0</v>
      </c>
      <c r="F51" s="219" t="s">
        <v>66</v>
      </c>
      <c r="G51" s="398">
        <f>E50</f>
        <v>0</v>
      </c>
      <c r="H51" s="322">
        <v>150</v>
      </c>
      <c r="I51" s="224"/>
      <c r="J51" s="196" t="s">
        <v>1789</v>
      </c>
      <c r="K51" s="271"/>
      <c r="L51" s="183"/>
      <c r="M51" s="662"/>
    </row>
    <row r="52" spans="1:15" ht="18.75" customHeight="1">
      <c r="B52" s="183"/>
      <c r="C52" s="122"/>
      <c r="D52" s="229" t="s">
        <v>1792</v>
      </c>
      <c r="E52" s="403">
        <f>G52*H52</f>
        <v>0</v>
      </c>
      <c r="F52" s="219" t="s">
        <v>66</v>
      </c>
      <c r="G52" s="404">
        <f>E51</f>
        <v>0</v>
      </c>
      <c r="H52" s="405">
        <v>20</v>
      </c>
      <c r="I52" s="224"/>
      <c r="J52" s="196" t="s">
        <v>1790</v>
      </c>
      <c r="K52" s="271"/>
      <c r="L52" s="183"/>
      <c r="M52" s="662"/>
    </row>
    <row r="53" spans="1:15" ht="18.75" customHeight="1">
      <c r="B53" s="183"/>
      <c r="C53" s="122"/>
      <c r="D53" s="229" t="s">
        <v>1802</v>
      </c>
      <c r="E53" s="403">
        <f>G53*H53</f>
        <v>0</v>
      </c>
      <c r="F53" s="219" t="s">
        <v>66</v>
      </c>
      <c r="G53" s="404">
        <f>TrafficControl!$I$7*2</f>
        <v>0</v>
      </c>
      <c r="H53" s="405">
        <v>20</v>
      </c>
      <c r="I53" s="224"/>
      <c r="J53" s="196" t="s">
        <v>1806</v>
      </c>
      <c r="K53" s="271"/>
      <c r="L53" s="183"/>
      <c r="M53" s="662"/>
    </row>
    <row r="54" spans="1:15" ht="18.75" customHeight="1">
      <c r="B54" s="183"/>
      <c r="C54" s="122"/>
      <c r="D54" s="229" t="s">
        <v>1803</v>
      </c>
      <c r="E54" s="403">
        <f>G54*H54</f>
        <v>0</v>
      </c>
      <c r="F54" s="219" t="s">
        <v>66</v>
      </c>
      <c r="G54" s="404">
        <f>TrafficControl!$I$7*2</f>
        <v>0</v>
      </c>
      <c r="H54" s="405">
        <v>12</v>
      </c>
      <c r="I54" s="224"/>
      <c r="J54" s="196" t="s">
        <v>1806</v>
      </c>
      <c r="K54" s="271"/>
      <c r="L54" s="183"/>
      <c r="M54" s="662"/>
    </row>
    <row r="55" spans="1:15" ht="18.75" customHeight="1">
      <c r="B55" s="183"/>
      <c r="C55" s="122"/>
      <c r="D55" s="229" t="s">
        <v>1804</v>
      </c>
      <c r="E55" s="403">
        <f>G55*H55</f>
        <v>0</v>
      </c>
      <c r="F55" s="219" t="s">
        <v>66</v>
      </c>
      <c r="G55" s="404">
        <f>TrafficControl!$I$7*2</f>
        <v>0</v>
      </c>
      <c r="H55" s="405">
        <v>30</v>
      </c>
      <c r="I55" s="224"/>
      <c r="J55" s="196" t="s">
        <v>1806</v>
      </c>
      <c r="K55" s="271"/>
      <c r="L55" s="183"/>
      <c r="M55" s="662"/>
    </row>
    <row r="56" spans="1:15" ht="18.75" customHeight="1">
      <c r="B56" s="183"/>
      <c r="C56" s="122"/>
      <c r="D56" s="229" t="s">
        <v>1805</v>
      </c>
      <c r="E56" s="403">
        <f>G56*H56</f>
        <v>0</v>
      </c>
      <c r="F56" s="219" t="s">
        <v>66</v>
      </c>
      <c r="G56" s="404">
        <f>TrafficControl!$I$7*2</f>
        <v>0</v>
      </c>
      <c r="H56" s="405">
        <v>30</v>
      </c>
      <c r="I56" s="224"/>
      <c r="J56" s="196" t="s">
        <v>1806</v>
      </c>
      <c r="K56" s="271"/>
      <c r="L56" s="183"/>
      <c r="M56" s="662"/>
    </row>
    <row r="57" spans="1:15" ht="18.75" customHeight="1">
      <c r="B57" s="183"/>
      <c r="C57" s="122"/>
      <c r="D57" s="122"/>
      <c r="E57" s="122"/>
      <c r="F57" s="122"/>
      <c r="G57" s="200"/>
      <c r="H57" s="224"/>
      <c r="I57" s="224"/>
      <c r="J57" s="196"/>
      <c r="K57" s="271"/>
      <c r="L57" s="183"/>
      <c r="M57" s="662"/>
    </row>
    <row r="58" spans="1:15" s="161" customFormat="1" ht="24.95" customHeight="1">
      <c r="A58" s="868" t="str">
        <f ca="1">IFERROR(HYPERLINK("#"&amp;"ProjectEstimate!A"&amp;(8+MATCH($C58,ProjectEstimate!$A$9:$A$145,0)),CONCATENATE("Go to ",$C58))," ")</f>
        <v xml:space="preserve"> </v>
      </c>
      <c r="B58" s="183"/>
      <c r="C58" s="157">
        <v>866.10599999999999</v>
      </c>
      <c r="D58" s="1248" t="s">
        <v>25</v>
      </c>
      <c r="E58" s="1248"/>
      <c r="F58" s="1248"/>
      <c r="G58" s="1248"/>
      <c r="H58" s="152">
        <f>ROUNDUP(E64,0)</f>
        <v>0</v>
      </c>
      <c r="I58" s="153" t="s">
        <v>17</v>
      </c>
      <c r="J58" s="154" cm="1">
        <f t="array" aca="1" ref="J58" ca="1">IF(ISBLANK(M58),_xlfn.XLOOKUP(C58,INDIRECT("OUTPUT!$A$2:$A$935"),INDIRECT("OUTPUT!$E$2:$E$935")),M58)</f>
        <v>2</v>
      </c>
      <c r="K58" s="199">
        <f ca="1">ROUND(H58*J58, -1)</f>
        <v>0</v>
      </c>
      <c r="L58" s="181"/>
      <c r="M58" s="869"/>
      <c r="N58" s="183"/>
      <c r="O58" s="183"/>
    </row>
    <row r="59" spans="1:15" s="161" customFormat="1" ht="14.1" customHeight="1">
      <c r="A59" s="183"/>
      <c r="B59" s="183"/>
      <c r="C59" s="122"/>
      <c r="E59" s="122"/>
      <c r="F59" s="122"/>
      <c r="G59" s="200"/>
      <c r="H59" s="200"/>
      <c r="I59" s="200"/>
      <c r="J59" s="200"/>
      <c r="K59" s="271"/>
      <c r="L59" s="183"/>
      <c r="M59" s="668"/>
      <c r="N59" s="183"/>
      <c r="O59" s="183"/>
    </row>
    <row r="60" spans="1:15" s="161" customFormat="1" ht="14.1" customHeight="1">
      <c r="A60" s="183"/>
      <c r="B60" s="183"/>
      <c r="C60" s="396" t="s">
        <v>3746</v>
      </c>
      <c r="E60" s="122"/>
      <c r="F60" s="122"/>
      <c r="G60" s="200"/>
      <c r="H60" s="200"/>
      <c r="I60" s="200"/>
      <c r="J60" s="200"/>
      <c r="K60" s="271"/>
      <c r="L60" s="183"/>
      <c r="M60" s="668"/>
      <c r="N60" s="183"/>
      <c r="O60" s="183"/>
    </row>
    <row r="61" spans="1:15" s="161" customFormat="1" ht="14.1" customHeight="1">
      <c r="A61" s="183"/>
      <c r="B61" s="183"/>
      <c r="C61" s="396"/>
      <c r="E61" s="122"/>
      <c r="F61" s="122"/>
      <c r="G61" s="200"/>
      <c r="H61" s="200"/>
      <c r="I61" s="200"/>
      <c r="J61" s="200"/>
      <c r="K61" s="271"/>
      <c r="L61" s="183"/>
      <c r="M61" s="668"/>
      <c r="N61" s="183"/>
      <c r="O61" s="183"/>
    </row>
    <row r="62" spans="1:15" s="161" customFormat="1" ht="14.1" customHeight="1">
      <c r="A62" s="183"/>
      <c r="B62" s="183"/>
      <c r="C62" s="122"/>
      <c r="D62" s="122"/>
      <c r="E62" s="122"/>
      <c r="F62" s="122"/>
      <c r="G62" s="489" t="str">
        <f>Roadway!G6</f>
        <v>Major Roadway</v>
      </c>
      <c r="H62" s="489" t="str">
        <f>Roadway!H6</f>
        <v>Roadway 2 Name</v>
      </c>
      <c r="I62" s="489" t="str">
        <f>Roadway!I6</f>
        <v>Roadway 3 Name</v>
      </c>
      <c r="J62" s="489" t="str">
        <f>Roadway!J6</f>
        <v>Roadway 4 Name</v>
      </c>
      <c r="K62" s="271"/>
      <c r="L62" s="183"/>
      <c r="M62" s="668"/>
      <c r="N62" s="183"/>
      <c r="O62" s="183"/>
    </row>
    <row r="63" spans="1:15" s="161" customFormat="1" ht="24.75" customHeight="1" thickBot="1">
      <c r="A63" s="183"/>
      <c r="B63" s="183"/>
      <c r="C63" s="122"/>
      <c r="D63" s="122"/>
      <c r="E63" s="122"/>
      <c r="F63" s="122"/>
      <c r="G63" s="490">
        <f>Roadway!G10</f>
        <v>0</v>
      </c>
      <c r="H63" s="490">
        <f>Roadway!H10</f>
        <v>0</v>
      </c>
      <c r="I63" s="490">
        <f>Roadway!I10</f>
        <v>0</v>
      </c>
      <c r="J63" s="490">
        <f>Roadway!J10</f>
        <v>0</v>
      </c>
      <c r="K63" s="271"/>
      <c r="L63" s="183"/>
      <c r="M63" s="668"/>
      <c r="N63" s="183"/>
      <c r="O63" s="183"/>
    </row>
    <row r="64" spans="1:15" s="161" customFormat="1" ht="14.1" customHeight="1" thickBot="1">
      <c r="A64" s="183"/>
      <c r="B64" s="183"/>
      <c r="C64" s="122"/>
      <c r="D64" s="131" t="s">
        <v>1558</v>
      </c>
      <c r="E64" s="236">
        <f>SUM(G64:J64)*K64</f>
        <v>0</v>
      </c>
      <c r="F64" s="219" t="s">
        <v>66</v>
      </c>
      <c r="G64" s="488">
        <f>IF(OR(G63=HIDDEN!$B$14,G63=HIDDEN!$B$15,G63=HIDDEN!$B$17),Roadway!G7,0)</f>
        <v>0</v>
      </c>
      <c r="H64" s="487">
        <f>IF(OR(H63=HIDDEN!$B$14,H63=HIDDEN!$B$15,H63=HIDDEN!$B$17),Roadway!H7,0)</f>
        <v>0</v>
      </c>
      <c r="I64" s="487">
        <f>IF(OR(I63=HIDDEN!$B$14,I63=HIDDEN!$B$15,I63=HIDDEN!$B$17),Roadway!I7,0)</f>
        <v>0</v>
      </c>
      <c r="J64" s="368">
        <f>IF(OR(J63=HIDDEN!$B$14,J63=HIDDEN!$B$15,J63=HIDDEN!$B$17),Roadway!J7,0)</f>
        <v>0</v>
      </c>
      <c r="K64" s="406">
        <v>2</v>
      </c>
      <c r="L64" s="183"/>
      <c r="M64" s="668"/>
      <c r="N64" s="183"/>
      <c r="O64" s="183"/>
    </row>
    <row r="65" spans="1:19" s="161" customFormat="1" ht="14.1" customHeight="1">
      <c r="A65" s="183"/>
      <c r="B65" s="183"/>
      <c r="C65" s="122"/>
      <c r="D65" s="122"/>
      <c r="E65" s="122"/>
      <c r="F65" s="122"/>
      <c r="G65" s="200"/>
      <c r="H65" s="224"/>
      <c r="I65" s="224"/>
      <c r="J65" s="240"/>
      <c r="K65" s="271"/>
      <c r="L65" s="183"/>
      <c r="M65" s="668"/>
      <c r="N65" s="183"/>
      <c r="O65" s="183"/>
    </row>
    <row r="66" spans="1:19" s="161" customFormat="1" ht="14.1" customHeight="1">
      <c r="A66" s="868" t="str">
        <f ca="1">IFERROR(HYPERLINK("#"&amp;"ProjectEstimate!A"&amp;(8+MATCH($C66,ProjectEstimate!$A$9:$A$145,0)),CONCATENATE("Go to ",$C66))," ")</f>
        <v xml:space="preserve"> </v>
      </c>
      <c r="B66" s="183"/>
      <c r="C66" s="157">
        <v>866.11199999999997</v>
      </c>
      <c r="D66" s="1253" t="s">
        <v>1559</v>
      </c>
      <c r="E66" s="1253"/>
      <c r="F66" s="1253"/>
      <c r="G66" s="1253"/>
      <c r="H66" s="152">
        <f>ROUNDUP(E72,0)</f>
        <v>0</v>
      </c>
      <c r="I66" s="153" t="s">
        <v>17</v>
      </c>
      <c r="J66" s="154" cm="1">
        <f t="array" aca="1" ref="J66" ca="1">IF(ISBLANK(M66),_xlfn.XLOOKUP(C66,INDIRECT("OUTPUT!$A$2:$A$935"),INDIRECT("OUTPUT!$E$2:$E$935")),M66)</f>
        <v>7</v>
      </c>
      <c r="K66" s="199">
        <f ca="1">ROUND(H66*J66, -1)</f>
        <v>0</v>
      </c>
      <c r="L66" s="183"/>
      <c r="M66" s="869"/>
      <c r="N66" s="183"/>
      <c r="O66" s="183"/>
    </row>
    <row r="67" spans="1:19" s="161" customFormat="1" ht="14.1" customHeight="1">
      <c r="A67" s="183"/>
      <c r="B67" s="183"/>
      <c r="C67" s="122"/>
      <c r="D67" s="122"/>
      <c r="E67" s="122"/>
      <c r="F67" s="122"/>
      <c r="G67" s="200"/>
      <c r="H67" s="224"/>
      <c r="I67" s="200"/>
      <c r="J67" s="240"/>
      <c r="K67" s="271"/>
      <c r="L67" s="183"/>
      <c r="M67" s="668"/>
      <c r="N67" s="183"/>
      <c r="O67" s="183"/>
    </row>
    <row r="68" spans="1:19" s="161" customFormat="1" ht="14.1" customHeight="1">
      <c r="A68" s="183"/>
      <c r="B68" s="183"/>
      <c r="C68" s="122"/>
      <c r="D68" s="229" t="s">
        <v>1610</v>
      </c>
      <c r="E68" s="395">
        <f>G68*H68</f>
        <v>0</v>
      </c>
      <c r="F68" s="219"/>
      <c r="G68" s="207">
        <f>SUM(TrafficControl!G18:J19)*12</f>
        <v>0</v>
      </c>
      <c r="H68" s="406">
        <f>SUM(TrafficControl!G17:J17)</f>
        <v>0</v>
      </c>
      <c r="I68" s="200"/>
      <c r="J68" s="196" t="s">
        <v>1611</v>
      </c>
      <c r="K68" s="271"/>
      <c r="L68" s="183"/>
      <c r="M68" s="668"/>
      <c r="N68" s="183"/>
      <c r="O68" s="183"/>
    </row>
    <row r="69" spans="1:19" s="161" customFormat="1" ht="14.1" customHeight="1">
      <c r="A69" s="183"/>
      <c r="B69" s="183"/>
      <c r="C69" s="122"/>
      <c r="D69" s="229" t="s">
        <v>1869</v>
      </c>
      <c r="E69" s="395">
        <f>G69*H69+(G70/H70)*I70</f>
        <v>0</v>
      </c>
      <c r="F69" s="219" t="s">
        <v>66</v>
      </c>
      <c r="G69" s="207">
        <f>Roadway!G34</f>
        <v>0</v>
      </c>
      <c r="H69" s="407">
        <v>2</v>
      </c>
      <c r="I69" s="200"/>
      <c r="J69" s="196" t="s">
        <v>3886</v>
      </c>
      <c r="K69" s="271"/>
      <c r="L69" s="183"/>
      <c r="M69" s="668"/>
      <c r="N69" s="183"/>
      <c r="O69" s="183"/>
    </row>
    <row r="70" spans="1:19" s="161" customFormat="1" ht="14.1" customHeight="1">
      <c r="A70" s="183"/>
      <c r="B70" s="183"/>
      <c r="C70" s="122"/>
      <c r="D70" s="229"/>
      <c r="E70" s="395"/>
      <c r="F70" s="219"/>
      <c r="G70" s="408">
        <f>G69</f>
        <v>0</v>
      </c>
      <c r="H70" s="409">
        <v>4</v>
      </c>
      <c r="I70" s="936">
        <v>8</v>
      </c>
      <c r="J70" s="196" t="s">
        <v>3765</v>
      </c>
      <c r="K70" s="271"/>
      <c r="L70" s="183"/>
      <c r="M70" s="668"/>
      <c r="N70" s="183"/>
      <c r="O70" s="183"/>
    </row>
    <row r="71" spans="1:19" s="161" customFormat="1" ht="14.1" customHeight="1" thickBot="1">
      <c r="A71" s="183"/>
      <c r="B71" s="183"/>
      <c r="C71" s="359"/>
      <c r="D71" s="282" t="s">
        <v>3890</v>
      </c>
      <c r="E71" s="395">
        <f>G71*(H71*I71+(G72/H72)*I72)</f>
        <v>0</v>
      </c>
      <c r="F71" s="219" t="s">
        <v>66</v>
      </c>
      <c r="G71" s="639">
        <f>SUM(Roadway!G16:J16)/2</f>
        <v>0</v>
      </c>
      <c r="H71" s="937">
        <v>50</v>
      </c>
      <c r="I71" s="407">
        <v>2</v>
      </c>
      <c r="J71" s="196" t="s">
        <v>3888</v>
      </c>
      <c r="K71" s="271"/>
      <c r="L71" s="183"/>
      <c r="M71" s="668"/>
      <c r="N71" s="183"/>
      <c r="O71" s="183"/>
      <c r="S71" s="196"/>
    </row>
    <row r="72" spans="1:19" s="161" customFormat="1" ht="14.1" customHeight="1" thickBot="1">
      <c r="A72" s="183"/>
      <c r="B72" s="183"/>
      <c r="C72" s="122"/>
      <c r="D72" s="122"/>
      <c r="E72" s="236">
        <f>SUM(E68:E71)</f>
        <v>0</v>
      </c>
      <c r="F72" s="122"/>
      <c r="G72" s="408">
        <f>H71</f>
        <v>50</v>
      </c>
      <c r="H72" s="409">
        <v>4</v>
      </c>
      <c r="I72" s="938">
        <v>8</v>
      </c>
      <c r="J72" s="196" t="s">
        <v>3889</v>
      </c>
      <c r="K72" s="271"/>
      <c r="L72" s="183"/>
      <c r="M72" s="668"/>
      <c r="N72" s="183"/>
      <c r="O72" s="183"/>
    </row>
    <row r="73" spans="1:19" s="161" customFormat="1" ht="14.1" customHeight="1">
      <c r="A73" s="183"/>
      <c r="B73" s="183"/>
      <c r="C73" s="122"/>
      <c r="D73" s="122"/>
      <c r="E73" s="122"/>
      <c r="F73" s="122"/>
      <c r="G73" s="200"/>
      <c r="H73" s="224"/>
      <c r="I73" s="224"/>
      <c r="J73" s="240"/>
      <c r="K73" s="271"/>
      <c r="L73" s="183"/>
      <c r="M73" s="668"/>
      <c r="N73" s="183"/>
      <c r="O73" s="183"/>
    </row>
    <row r="74" spans="1:19" s="161" customFormat="1" ht="24.95" customHeight="1">
      <c r="A74" s="868" t="str">
        <f ca="1">IFERROR(HYPERLINK("#"&amp;"ProjectEstimate!A"&amp;(8+MATCH($C74,ProjectEstimate!$A$9:$A$145,0)),CONCATENATE("Go to ",$C74))," ")</f>
        <v xml:space="preserve"> </v>
      </c>
      <c r="B74" s="183"/>
      <c r="C74" s="157">
        <v>867.10599999999999</v>
      </c>
      <c r="D74" s="1248" t="s">
        <v>613</v>
      </c>
      <c r="E74" s="1248"/>
      <c r="F74" s="1248"/>
      <c r="G74" s="1248"/>
      <c r="H74" s="152">
        <f>ROUNDUP(E79,0)</f>
        <v>0</v>
      </c>
      <c r="I74" s="153" t="s">
        <v>17</v>
      </c>
      <c r="J74" s="154" cm="1">
        <f t="array" aca="1" ref="J74" ca="1">IF(ISBLANK(M74),_xlfn.XLOOKUP(C74,INDIRECT("OUTPUT!$A$2:$A$935"),INDIRECT("OUTPUT!$E$2:$E$935")),M74)</f>
        <v>2</v>
      </c>
      <c r="K74" s="199">
        <f ca="1">ROUND(H74*J74, -1)</f>
        <v>0</v>
      </c>
      <c r="L74" s="181"/>
      <c r="M74" s="869"/>
      <c r="N74" s="183"/>
      <c r="O74" s="183"/>
    </row>
    <row r="75" spans="1:19" s="161" customFormat="1" ht="14.1" customHeight="1">
      <c r="A75" s="183"/>
      <c r="B75" s="183"/>
      <c r="C75" s="122"/>
      <c r="D75" s="122"/>
      <c r="E75" s="122"/>
      <c r="F75" s="122"/>
      <c r="G75" s="200"/>
      <c r="H75" s="224"/>
      <c r="I75" s="200"/>
      <c r="J75" s="240"/>
      <c r="K75" s="271"/>
      <c r="L75" s="183"/>
      <c r="M75" s="668"/>
      <c r="N75" s="183"/>
      <c r="O75" s="183"/>
    </row>
    <row r="76" spans="1:19" s="161" customFormat="1" ht="14.1" customHeight="1">
      <c r="A76" s="183"/>
      <c r="B76" s="183"/>
      <c r="C76" s="396" t="s">
        <v>3747</v>
      </c>
      <c r="D76" s="122"/>
      <c r="E76" s="122"/>
      <c r="F76" s="122"/>
      <c r="G76" s="200"/>
      <c r="H76" s="224"/>
      <c r="I76" s="200"/>
      <c r="J76" s="240"/>
      <c r="K76" s="271"/>
      <c r="L76" s="183"/>
      <c r="M76" s="668"/>
      <c r="N76" s="183"/>
      <c r="O76" s="183"/>
    </row>
    <row r="77" spans="1:19" s="161" customFormat="1" ht="14.1" customHeight="1">
      <c r="A77" s="183"/>
      <c r="B77" s="183"/>
      <c r="C77" s="122"/>
      <c r="D77" s="122"/>
      <c r="E77" s="122"/>
      <c r="F77" s="122"/>
      <c r="G77" s="489" t="str">
        <f>Roadway!G6</f>
        <v>Major Roadway</v>
      </c>
      <c r="H77" s="489" t="str">
        <f>Roadway!H6</f>
        <v>Roadway 2 Name</v>
      </c>
      <c r="I77" s="489" t="str">
        <f>Roadway!I6</f>
        <v>Roadway 3 Name</v>
      </c>
      <c r="J77" s="489" t="str">
        <f>Roadway!J6</f>
        <v>Roadway 4 Name</v>
      </c>
      <c r="K77" s="399"/>
      <c r="L77" s="183"/>
      <c r="M77" s="668"/>
      <c r="N77" s="183"/>
      <c r="O77" s="183"/>
    </row>
    <row r="78" spans="1:19" s="161" customFormat="1" ht="22.5" customHeight="1" thickBot="1">
      <c r="A78" s="183"/>
      <c r="B78" s="183"/>
      <c r="C78" s="122"/>
      <c r="D78" s="122"/>
      <c r="E78" s="122"/>
      <c r="F78" s="122"/>
      <c r="G78" s="490">
        <f>Roadway!G10</f>
        <v>0</v>
      </c>
      <c r="H78" s="490">
        <f>Roadway!H10</f>
        <v>0</v>
      </c>
      <c r="I78" s="490">
        <f>Roadway!I10</f>
        <v>0</v>
      </c>
      <c r="J78" s="490">
        <f>Roadway!J10</f>
        <v>0</v>
      </c>
      <c r="K78" s="399"/>
      <c r="L78" s="183"/>
      <c r="M78" s="668"/>
      <c r="N78" s="183"/>
      <c r="O78" s="183"/>
    </row>
    <row r="79" spans="1:19" s="161" customFormat="1" ht="14.1" customHeight="1" thickBot="1">
      <c r="A79" s="183"/>
      <c r="B79" s="183"/>
      <c r="C79" s="122"/>
      <c r="D79" s="131" t="s">
        <v>1560</v>
      </c>
      <c r="E79" s="236">
        <f>SUM(G79:J79)*J80</f>
        <v>0</v>
      </c>
      <c r="F79" s="219" t="s">
        <v>66</v>
      </c>
      <c r="G79" s="488">
        <f>IF(OR(G78=HIDDEN!$B$14,G78=HIDDEN!$B$15,G78=HIDDEN!$B$17),Roadway!G7,0)</f>
        <v>0</v>
      </c>
      <c r="H79" s="487">
        <f>IF(OR(H78=HIDDEN!$B$14,H78=HIDDEN!$B$15,H78=HIDDEN!$B$17),Roadway!H7,0)</f>
        <v>0</v>
      </c>
      <c r="I79" s="487">
        <f>IF(OR(I78=HIDDEN!$B$14,I78=HIDDEN!$B$15,I78=HIDDEN!$B$17),Roadway!I7,0)</f>
        <v>0</v>
      </c>
      <c r="J79" s="368">
        <f>IF(OR(J78=HIDDEN!$B$14,J78=HIDDEN!$B$15,J78=HIDDEN!$B$17),Roadway!J7,0)</f>
        <v>0</v>
      </c>
      <c r="L79" s="183"/>
      <c r="M79" s="668"/>
      <c r="N79" s="183"/>
      <c r="O79" s="183"/>
    </row>
    <row r="80" spans="1:19" s="161" customFormat="1" ht="14.1" customHeight="1">
      <c r="A80" s="183"/>
      <c r="B80" s="183"/>
      <c r="C80" s="122"/>
      <c r="D80" s="122"/>
      <c r="E80" s="122"/>
      <c r="F80" s="122"/>
      <c r="G80" s="200"/>
      <c r="H80" s="224"/>
      <c r="I80" s="224"/>
      <c r="J80" s="406">
        <v>2</v>
      </c>
      <c r="K80" s="271"/>
      <c r="L80" s="183"/>
      <c r="M80" s="668"/>
      <c r="N80" s="183"/>
      <c r="O80" s="183"/>
    </row>
    <row r="81" spans="1:15" s="161" customFormat="1" ht="14.1" customHeight="1">
      <c r="A81" s="868" t="str">
        <f ca="1">IFERROR(HYPERLINK("#"&amp;"ProjectEstimate!A"&amp;(8+MATCH($C81,ProjectEstimate!$A$9:$A$145,0)),CONCATENATE("Go to ",$C81))," ")</f>
        <v xml:space="preserve"> </v>
      </c>
      <c r="B81" s="183"/>
      <c r="C81" s="270">
        <v>874.1</v>
      </c>
      <c r="D81" s="1227" t="s">
        <v>617</v>
      </c>
      <c r="E81" s="1227"/>
      <c r="F81" s="1227"/>
      <c r="G81" s="1227"/>
      <c r="H81" s="152">
        <f>ROUNDUP(H84,0)</f>
        <v>0</v>
      </c>
      <c r="I81" s="153" t="s">
        <v>2</v>
      </c>
      <c r="J81" s="154" cm="1">
        <f t="array" aca="1" ref="J81" ca="1">IF(ISBLANK(M81),_xlfn.XLOOKUP(C81,INDIRECT("OUTPUT!$A$2:$A$935"),INDIRECT("OUTPUT!$E$2:$E$935")),M81)</f>
        <v>189</v>
      </c>
      <c r="K81" s="199">
        <f ca="1">ROUND(H81*J81, -1)</f>
        <v>0</v>
      </c>
      <c r="L81" s="183"/>
      <c r="M81" s="869"/>
      <c r="N81" s="183"/>
      <c r="O81" s="183"/>
    </row>
    <row r="82" spans="1:15" s="161" customFormat="1" ht="14.1" customHeight="1">
      <c r="A82" s="183"/>
      <c r="B82" s="183"/>
      <c r="C82" s="122"/>
      <c r="D82" s="122"/>
      <c r="E82" s="122"/>
      <c r="F82" s="122"/>
      <c r="G82" s="200"/>
      <c r="H82" s="224"/>
      <c r="I82" s="200"/>
      <c r="J82" s="240"/>
      <c r="K82" s="271"/>
      <c r="L82" s="183"/>
      <c r="M82" s="668"/>
      <c r="N82" s="183"/>
      <c r="O82" s="183"/>
    </row>
    <row r="83" spans="1:15" s="161" customFormat="1" ht="14.1" customHeight="1" thickBot="1">
      <c r="A83" s="183"/>
      <c r="B83" s="183"/>
      <c r="C83" s="183"/>
      <c r="D83" s="183" t="s">
        <v>1727</v>
      </c>
      <c r="E83" s="183"/>
      <c r="F83" s="122"/>
      <c r="G83" s="200"/>
      <c r="H83" s="540">
        <f>IF(OR(Roadway!H52="Both",Roadway!H52="Relocating"),SUM(BasicProjectData!$G$22:$J$22)/D84,0)</f>
        <v>0</v>
      </c>
      <c r="I83" s="200" t="s">
        <v>2</v>
      </c>
      <c r="J83" s="183"/>
      <c r="K83" s="286"/>
      <c r="L83" s="183"/>
      <c r="M83" s="668"/>
      <c r="N83" s="183"/>
      <c r="O83" s="183"/>
    </row>
    <row r="84" spans="1:15" s="161" customFormat="1" ht="14.1" customHeight="1" thickTop="1">
      <c r="A84" s="183"/>
      <c r="B84" s="183"/>
      <c r="C84" s="183"/>
      <c r="D84" s="939">
        <v>100</v>
      </c>
      <c r="E84" s="122"/>
      <c r="F84" s="122"/>
      <c r="G84" s="200" t="s">
        <v>18</v>
      </c>
      <c r="H84" s="224">
        <f>SUM(H83)</f>
        <v>0</v>
      </c>
      <c r="I84" s="200" t="s">
        <v>2</v>
      </c>
      <c r="J84" s="183"/>
      <c r="K84" s="286"/>
      <c r="L84" s="183"/>
      <c r="M84" s="668"/>
      <c r="N84" s="183"/>
      <c r="O84" s="183"/>
    </row>
    <row r="85" spans="1:15" s="161" customFormat="1" ht="14.1" customHeight="1">
      <c r="A85" s="183"/>
      <c r="B85" s="183"/>
      <c r="C85" s="183"/>
      <c r="D85" s="122"/>
      <c r="E85" s="122"/>
      <c r="F85" s="122"/>
      <c r="G85" s="200"/>
      <c r="H85" s="224"/>
      <c r="I85" s="200"/>
      <c r="J85" s="183"/>
      <c r="K85" s="286"/>
      <c r="L85" s="183"/>
      <c r="M85" s="668"/>
      <c r="N85" s="183"/>
      <c r="O85" s="183"/>
    </row>
    <row r="86" spans="1:15" s="161" customFormat="1" ht="14.1" customHeight="1">
      <c r="A86" s="868" t="str">
        <f ca="1">IFERROR(HYPERLINK("#"&amp;"ProjectEstimate!A"&amp;(8+MATCH($C86,ProjectEstimate!$A$9:$A$145,0)),CONCATENATE("Go to ",$C86))," ")</f>
        <v xml:space="preserve"> </v>
      </c>
      <c r="B86" s="183"/>
      <c r="C86" s="270">
        <v>874.2</v>
      </c>
      <c r="D86" s="1227" t="s">
        <v>618</v>
      </c>
      <c r="E86" s="1227"/>
      <c r="F86" s="1227"/>
      <c r="G86" s="1227"/>
      <c r="H86" s="152">
        <f>ROUNDUP(H89,0)</f>
        <v>0</v>
      </c>
      <c r="I86" s="153" t="s">
        <v>2</v>
      </c>
      <c r="J86" s="154" cm="1">
        <f t="array" aca="1" ref="J86" ca="1">IF(ISBLANK(M86),_xlfn.XLOOKUP(C86,INDIRECT("OUTPUT!$A$2:$A$935"),INDIRECT("OUTPUT!$E$2:$E$935")),M86)</f>
        <v>188</v>
      </c>
      <c r="K86" s="199">
        <f ca="1">ROUND(H86*J86, -1)</f>
        <v>0</v>
      </c>
      <c r="L86" s="183"/>
      <c r="M86" s="869"/>
      <c r="N86" s="183"/>
      <c r="O86" s="183"/>
    </row>
    <row r="87" spans="1:15" s="161" customFormat="1" ht="14.1" customHeight="1">
      <c r="A87" s="183"/>
      <c r="B87" s="183"/>
      <c r="C87" s="122"/>
      <c r="D87" s="122"/>
      <c r="E87" s="122"/>
      <c r="F87" s="122"/>
      <c r="G87" s="200"/>
      <c r="H87" s="224"/>
      <c r="I87" s="200"/>
      <c r="J87" s="240"/>
      <c r="K87" s="271"/>
      <c r="L87" s="183"/>
      <c r="M87" s="668"/>
      <c r="N87" s="181"/>
      <c r="O87" s="183"/>
    </row>
    <row r="88" spans="1:15" s="161" customFormat="1" ht="14.1" customHeight="1" thickBot="1">
      <c r="A88" s="183"/>
      <c r="B88" s="183"/>
      <c r="C88" s="183"/>
      <c r="D88" s="183" t="s">
        <v>1727</v>
      </c>
      <c r="E88" s="183"/>
      <c r="F88" s="122"/>
      <c r="G88" s="200"/>
      <c r="H88" s="540">
        <f>IF(OR(Roadway!H52="Both",Roadway!H52="Relocating"),(SUM(BasicProjectData!$G$22:$J$22)/D89),0)</f>
        <v>0</v>
      </c>
      <c r="I88" s="200" t="s">
        <v>2</v>
      </c>
      <c r="J88" s="183"/>
      <c r="K88" s="286"/>
      <c r="L88" s="183"/>
      <c r="M88" s="668"/>
      <c r="N88" s="183"/>
      <c r="O88" s="183"/>
    </row>
    <row r="89" spans="1:15" s="161" customFormat="1" ht="14.1" customHeight="1" thickTop="1">
      <c r="A89" s="183"/>
      <c r="B89" s="183"/>
      <c r="C89" s="183"/>
      <c r="D89" s="939">
        <v>100</v>
      </c>
      <c r="E89" s="122"/>
      <c r="F89" s="122"/>
      <c r="G89" s="200" t="s">
        <v>18</v>
      </c>
      <c r="H89" s="224">
        <f>SUM(H88)</f>
        <v>0</v>
      </c>
      <c r="I89" s="200" t="s">
        <v>2</v>
      </c>
      <c r="J89" s="183"/>
      <c r="K89" s="286"/>
      <c r="L89" s="183"/>
      <c r="M89" s="668"/>
      <c r="N89" s="183"/>
      <c r="O89" s="183"/>
    </row>
    <row r="90" spans="1:15" s="161" customFormat="1" ht="14.1" customHeight="1">
      <c r="A90" s="183"/>
      <c r="B90" s="183"/>
      <c r="C90" s="183"/>
      <c r="D90" s="183"/>
      <c r="E90" s="183"/>
      <c r="F90" s="122"/>
      <c r="G90" s="200"/>
      <c r="H90" s="224"/>
      <c r="I90" s="200"/>
      <c r="J90" s="183"/>
      <c r="K90" s="286"/>
      <c r="L90" s="183"/>
      <c r="M90" s="668"/>
      <c r="N90" s="183"/>
      <c r="O90" s="183"/>
    </row>
    <row r="91" spans="1:15" s="161" customFormat="1" ht="14.1" customHeight="1">
      <c r="A91" s="183"/>
      <c r="B91" s="183"/>
      <c r="C91" s="183"/>
      <c r="D91" s="122"/>
      <c r="E91" s="122"/>
      <c r="F91" s="122"/>
      <c r="G91" s="200"/>
      <c r="H91" s="224"/>
      <c r="I91" s="200"/>
      <c r="J91" s="183"/>
      <c r="K91" s="286"/>
      <c r="L91" s="183"/>
      <c r="M91" s="668"/>
      <c r="N91" s="183"/>
      <c r="O91" s="183"/>
    </row>
    <row r="92" spans="1:15" s="161" customFormat="1" ht="14.1" customHeight="1">
      <c r="A92" s="183"/>
      <c r="B92" s="183"/>
      <c r="C92" s="366" t="s">
        <v>3806</v>
      </c>
      <c r="E92" s="122"/>
      <c r="F92" s="122"/>
      <c r="G92" s="200"/>
      <c r="H92" s="224"/>
      <c r="I92" s="200"/>
      <c r="J92" s="183"/>
      <c r="K92" s="286"/>
      <c r="L92" s="183"/>
      <c r="M92" s="668"/>
      <c r="N92" s="183"/>
      <c r="O92" s="183"/>
    </row>
    <row r="93" spans="1:15" s="161" customFormat="1" ht="14.1" customHeight="1">
      <c r="A93" s="183"/>
      <c r="B93" s="183"/>
      <c r="C93" s="183"/>
      <c r="D93" s="534" t="s">
        <v>3807</v>
      </c>
      <c r="E93" s="535"/>
      <c r="F93" s="535"/>
      <c r="G93" s="536"/>
      <c r="H93" s="537">
        <f>E11</f>
        <v>0</v>
      </c>
      <c r="I93" s="536" t="s">
        <v>17</v>
      </c>
      <c r="J93" s="538">
        <f ca="1">J8</f>
        <v>75</v>
      </c>
      <c r="K93" s="539">
        <f ca="1">-ROUND(H93*J93, -1)</f>
        <v>0</v>
      </c>
      <c r="L93" s="183"/>
      <c r="M93" s="668"/>
      <c r="N93" s="183"/>
      <c r="O93" s="183"/>
    </row>
    <row r="94" spans="1:15" s="161" customFormat="1" ht="14.1" customHeight="1">
      <c r="A94" s="183"/>
      <c r="B94" s="183"/>
      <c r="C94" s="183"/>
      <c r="D94" s="534" t="s">
        <v>3808</v>
      </c>
      <c r="E94" s="535"/>
      <c r="F94" s="535"/>
      <c r="G94" s="536"/>
      <c r="H94" s="537">
        <f>E16</f>
        <v>0</v>
      </c>
      <c r="I94" s="536" t="s">
        <v>17</v>
      </c>
      <c r="J94" s="538">
        <f ca="1">J13</f>
        <v>1848</v>
      </c>
      <c r="K94" s="539">
        <f ca="1">-ROUND(H94*J94, -1)</f>
        <v>0</v>
      </c>
      <c r="L94" s="183"/>
      <c r="M94" s="671"/>
      <c r="N94" s="183"/>
      <c r="O94" s="183"/>
    </row>
    <row r="95" spans="1:15" s="161" customFormat="1" ht="14.1" customHeight="1">
      <c r="A95" s="183"/>
      <c r="B95" s="183"/>
      <c r="C95" s="183"/>
      <c r="D95" s="396"/>
      <c r="E95" s="122"/>
      <c r="F95" s="122"/>
      <c r="G95" s="200"/>
      <c r="H95" s="224"/>
      <c r="I95" s="200"/>
      <c r="J95" s="240"/>
      <c r="K95" s="399"/>
      <c r="L95" s="183"/>
      <c r="M95" s="308"/>
      <c r="N95" s="183"/>
      <c r="O95" s="183"/>
    </row>
    <row r="96" spans="1:15">
      <c r="J96" s="410" t="s">
        <v>18</v>
      </c>
      <c r="K96" s="411">
        <f ca="1">SUM(K8:K63,K65:K95)</f>
        <v>0</v>
      </c>
    </row>
    <row r="105" spans="3:11" ht="14.1" customHeight="1">
      <c r="C105" s="122"/>
      <c r="D105" s="122"/>
      <c r="E105" s="122"/>
      <c r="F105" s="122"/>
      <c r="G105" s="200"/>
      <c r="H105" s="224"/>
      <c r="I105" s="224"/>
      <c r="J105" s="240"/>
      <c r="K105" s="399"/>
    </row>
    <row r="106" spans="3:11" ht="14.1" customHeight="1"/>
  </sheetData>
  <sheetProtection algorithmName="SHA-512" hashValue="uTE3oPsWnMuwM9XjQ35V2vwPXLdYZHh3WNYlg6TCdHZGLq/KNG2usmG/+ExQG0sV0sXRL/0nRR2aPlX8ii3kfQ==" saltValue="OHrkClLq/DbwuT3n7Vb3oQ==" spinCount="100000" sheet="1" objects="1" scenarios="1"/>
  <mergeCells count="22">
    <mergeCell ref="M6:M7"/>
    <mergeCell ref="D42:G42"/>
    <mergeCell ref="D28:G28"/>
    <mergeCell ref="K2:L2"/>
    <mergeCell ref="K3:L3"/>
    <mergeCell ref="D86:G86"/>
    <mergeCell ref="D8:G8"/>
    <mergeCell ref="D22:G22"/>
    <mergeCell ref="D38:G38"/>
    <mergeCell ref="D33:G33"/>
    <mergeCell ref="D81:G81"/>
    <mergeCell ref="D49:G49"/>
    <mergeCell ref="D58:G58"/>
    <mergeCell ref="D66:G66"/>
    <mergeCell ref="D74:G74"/>
    <mergeCell ref="D13:G13"/>
    <mergeCell ref="D18:G18"/>
    <mergeCell ref="A2:A6"/>
    <mergeCell ref="F2:G2"/>
    <mergeCell ref="F3:G3"/>
    <mergeCell ref="C6:K6"/>
    <mergeCell ref="C7:K7"/>
  </mergeCells>
  <phoneticPr fontId="7" type="noConversion"/>
  <conditionalFormatting sqref="D2:D3">
    <cfRule type="expression" dxfId="23" priority="4">
      <formula>D2=""</formula>
    </cfRule>
  </conditionalFormatting>
  <conditionalFormatting sqref="F2:F3">
    <cfRule type="expression" dxfId="22" priority="2">
      <formula>F2=""</formula>
    </cfRule>
  </conditionalFormatting>
  <conditionalFormatting sqref="J2">
    <cfRule type="expression" dxfId="21" priority="1">
      <formula>J2=""</formula>
    </cfRule>
  </conditionalFormatting>
  <pageMargins left="0.75" right="0.75" top="1" bottom="1" header="0.5" footer="0.5"/>
  <pageSetup scale="83" fitToHeight="0" orientation="portrait" r:id="rId1"/>
  <headerFooter alignWithMargins="0">
    <oddHeader>&amp;C&amp;"Arial,Bold Italic"&amp;20DRAFT - TOOL STILL IN PRODUCTION</oddHeader>
    <oddFooter>&amp;C&amp;"Futura Bk BT,Book"Page &amp;P</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818D4-CB91-4EEC-816A-C255E2A6056A}">
  <sheetPr codeName="Sheet9">
    <tabColor theme="0" tint="-0.249977111117893"/>
    <pageSetUpPr fitToPage="1"/>
  </sheetPr>
  <dimension ref="A2:AD142"/>
  <sheetViews>
    <sheetView workbookViewId="0">
      <selection activeCell="J29" sqref="J29"/>
    </sheetView>
  </sheetViews>
  <sheetFormatPr defaultColWidth="9.140625" defaultRowHeight="15"/>
  <cols>
    <col min="1" max="1" width="11.42578125" style="391" customWidth="1"/>
    <col min="2" max="2" width="1.7109375" style="391" customWidth="1"/>
    <col min="3" max="3" width="20.42578125" style="391" customWidth="1"/>
    <col min="4" max="4" width="9.42578125" style="391" customWidth="1"/>
    <col min="5" max="5" width="12" style="391" customWidth="1"/>
    <col min="6" max="6" width="4.42578125" style="391" bestFit="1" customWidth="1"/>
    <col min="7" max="7" width="36" style="391" customWidth="1"/>
    <col min="8" max="8" width="11.42578125" style="391" customWidth="1"/>
    <col min="9" max="9" width="10.42578125" style="391" bestFit="1" customWidth="1"/>
    <col min="10" max="10" width="15" style="391" bestFit="1" customWidth="1"/>
    <col min="11" max="11" width="12.28515625" style="391" customWidth="1"/>
    <col min="12" max="12" width="3.85546875" style="391" customWidth="1"/>
    <col min="13" max="13" width="12.85546875" style="391" customWidth="1"/>
    <col min="14" max="14" width="11.85546875" style="391" customWidth="1"/>
    <col min="15" max="15" width="12.28515625" style="391" bestFit="1" customWidth="1"/>
    <col min="16" max="16" width="9.140625" style="391" customWidth="1"/>
    <col min="17" max="17" width="12" style="391" customWidth="1"/>
    <col min="18" max="18" width="11" style="391" bestFit="1" customWidth="1"/>
    <col min="19" max="19" width="9.140625" style="391" customWidth="1"/>
    <col min="20" max="20" width="12.42578125" style="391" customWidth="1"/>
    <col min="21" max="21" width="11" style="391" bestFit="1" customWidth="1"/>
    <col min="22" max="16383" width="9.140625" style="391"/>
    <col min="16384" max="16384" width="9.140625" style="391" bestFit="1"/>
  </cols>
  <sheetData>
    <row r="2" spans="1:13">
      <c r="B2" s="427"/>
      <c r="M2" s="427"/>
    </row>
    <row r="3" spans="1:13">
      <c r="B3" s="508"/>
      <c r="C3" s="509" t="s">
        <v>8</v>
      </c>
      <c r="D3" s="940"/>
      <c r="E3" s="510" t="s">
        <v>9</v>
      </c>
      <c r="F3" s="941"/>
      <c r="G3" s="511"/>
      <c r="H3" s="511"/>
      <c r="I3" s="511"/>
      <c r="J3" s="150" t="s">
        <v>1613</v>
      </c>
      <c r="K3" s="1258">
        <f>BasicProjectData!$G$17</f>
        <v>0</v>
      </c>
      <c r="L3" s="1222"/>
      <c r="M3" s="557"/>
    </row>
    <row r="4" spans="1:13">
      <c r="A4" s="1218" t="s">
        <v>3954</v>
      </c>
      <c r="B4" s="508"/>
      <c r="C4" s="509" t="s">
        <v>10</v>
      </c>
      <c r="D4" s="940"/>
      <c r="E4" s="510" t="s">
        <v>9</v>
      </c>
      <c r="F4" s="941"/>
      <c r="G4" s="512"/>
      <c r="H4" s="512"/>
      <c r="I4" s="512"/>
      <c r="J4" s="150" t="s">
        <v>11</v>
      </c>
      <c r="K4" s="1222">
        <f>BasicProjectData!E7</f>
        <v>0</v>
      </c>
      <c r="L4" s="1222"/>
      <c r="M4" s="508"/>
    </row>
    <row r="5" spans="1:13">
      <c r="A5" s="1218"/>
      <c r="B5" s="412"/>
      <c r="C5" s="414"/>
      <c r="D5" s="427"/>
      <c r="E5" s="413"/>
      <c r="F5" s="513"/>
      <c r="G5" s="514"/>
      <c r="H5" s="514"/>
      <c r="I5" s="514"/>
      <c r="J5" s="413"/>
      <c r="K5" s="412"/>
      <c r="L5" s="412"/>
      <c r="M5" s="412"/>
    </row>
    <row r="6" spans="1:13" ht="15" customHeight="1">
      <c r="A6" s="1218"/>
      <c r="B6" s="413"/>
      <c r="C6" s="414"/>
      <c r="D6" s="1259" t="s">
        <v>1735</v>
      </c>
      <c r="E6" s="1259"/>
      <c r="F6" s="1259"/>
      <c r="G6" s="1259"/>
      <c r="H6" s="1259"/>
      <c r="I6" s="1259"/>
      <c r="J6" s="1259"/>
      <c r="K6" s="1259"/>
      <c r="L6" s="413"/>
      <c r="M6" s="413"/>
    </row>
    <row r="7" spans="1:13">
      <c r="A7" s="1218"/>
      <c r="B7" s="413"/>
      <c r="C7" s="414"/>
      <c r="D7" s="415"/>
      <c r="E7" s="415"/>
      <c r="F7" s="415"/>
      <c r="G7" s="415"/>
      <c r="H7" s="415"/>
      <c r="I7" s="415"/>
      <c r="J7" s="415"/>
      <c r="K7" s="415"/>
      <c r="L7" s="413"/>
      <c r="M7" s="1244" t="s">
        <v>3923</v>
      </c>
    </row>
    <row r="8" spans="1:13">
      <c r="A8" s="1218"/>
      <c r="B8" s="413"/>
      <c r="C8" s="423" t="s">
        <v>77</v>
      </c>
      <c r="D8" s="1260" t="s">
        <v>21</v>
      </c>
      <c r="E8" s="1260"/>
      <c r="F8" s="1260"/>
      <c r="G8" s="1260"/>
      <c r="H8" s="423" t="s">
        <v>805</v>
      </c>
      <c r="I8" s="423" t="s">
        <v>803</v>
      </c>
      <c r="J8" s="423" t="s">
        <v>804</v>
      </c>
      <c r="K8" s="423" t="s">
        <v>826</v>
      </c>
      <c r="L8" s="413"/>
      <c r="M8" s="1245"/>
    </row>
    <row r="9" spans="1:13">
      <c r="A9" s="868" t="str">
        <f ca="1">IFERROR(HYPERLINK("#"&amp;"ProjectEstimate!A"&amp;(8+MATCH($C9,ProjectEstimate!$A$9:$A$145,0)),CONCATENATE("Go to ",$C9))," ")</f>
        <v xml:space="preserve"> </v>
      </c>
      <c r="B9" s="413"/>
      <c r="C9" s="153">
        <f>IF(AND(TrafficControl!G15="Unsignalized",TrafficControl!G16="Signalized"),815.01,816.01)</f>
        <v>816.01</v>
      </c>
      <c r="D9" s="1248" t="str">
        <f>"Traffic Signal Location 1 - "&amp;TrafficControl!$G$14</f>
        <v xml:space="preserve">Traffic Signal Location 1 - </v>
      </c>
      <c r="E9" s="1248"/>
      <c r="F9" s="1248"/>
      <c r="G9" s="1248"/>
      <c r="H9" s="152">
        <v>1</v>
      </c>
      <c r="I9" s="153" t="s">
        <v>22</v>
      </c>
      <c r="J9" s="416">
        <f>K55</f>
        <v>0</v>
      </c>
      <c r="K9" s="577">
        <f>$K$55</f>
        <v>0</v>
      </c>
      <c r="L9" s="181"/>
      <c r="M9" s="1111">
        <f>K9</f>
        <v>0</v>
      </c>
    </row>
    <row r="10" spans="1:13">
      <c r="B10" s="413"/>
      <c r="C10" s="200"/>
      <c r="D10" s="1257" t="s">
        <v>1723</v>
      </c>
      <c r="E10" s="1257"/>
      <c r="F10" s="1257"/>
      <c r="G10" s="1257"/>
      <c r="H10" s="224"/>
      <c r="I10" s="200"/>
      <c r="J10" s="390"/>
      <c r="K10" s="569"/>
      <c r="L10" s="183"/>
      <c r="M10" s="662"/>
    </row>
    <row r="11" spans="1:13">
      <c r="A11" s="868" t="str">
        <f ca="1">IFERROR(HYPERLINK("#"&amp;"ProjectEstimate!A"&amp;(8+MATCH($C11,ProjectEstimate!$A$9:$A$145,0)),CONCATENATE("Go to ",$C11))," ")</f>
        <v xml:space="preserve"> </v>
      </c>
      <c r="B11" s="413"/>
      <c r="C11" s="153">
        <f>IF(AND(TrafficControl!H15="Unsignalized",TrafficControl!H16="Signalized"),815.02,816.02)</f>
        <v>816.02</v>
      </c>
      <c r="D11" s="1248" t="str">
        <f>"Traffic Signal Location 2 - "&amp;TrafficControl!H14</f>
        <v xml:space="preserve">Traffic Signal Location 2 - </v>
      </c>
      <c r="E11" s="1248"/>
      <c r="F11" s="1248"/>
      <c r="G11" s="1248"/>
      <c r="H11" s="152">
        <v>1</v>
      </c>
      <c r="I11" s="153" t="s">
        <v>22</v>
      </c>
      <c r="J11" s="416">
        <f>K84</f>
        <v>0</v>
      </c>
      <c r="K11" s="577">
        <f>$K$84</f>
        <v>0</v>
      </c>
      <c r="L11" s="183"/>
      <c r="M11" s="1111">
        <f>K11</f>
        <v>0</v>
      </c>
    </row>
    <row r="12" spans="1:13">
      <c r="B12" s="413"/>
      <c r="C12" s="570"/>
      <c r="D12" s="1257" t="s">
        <v>1723</v>
      </c>
      <c r="E12" s="1257"/>
      <c r="F12" s="1257"/>
      <c r="G12" s="1257"/>
      <c r="H12" s="417"/>
      <c r="I12" s="415"/>
      <c r="J12" s="417"/>
      <c r="K12" s="571"/>
      <c r="L12" s="413"/>
      <c r="M12" s="672"/>
    </row>
    <row r="13" spans="1:13">
      <c r="A13" s="868" t="str">
        <f ca="1">IFERROR(HYPERLINK("#"&amp;"ProjectEstimate!A"&amp;(8+MATCH($C13,ProjectEstimate!$A$9:$A$145,0)),CONCATENATE("Go to ",$C13))," ")</f>
        <v xml:space="preserve"> </v>
      </c>
      <c r="B13" s="413"/>
      <c r="C13" s="153">
        <f>IF(AND(TrafficControl!I15="Unsignalized",TrafficControl!I16="Signalized"),815.03,816.03)</f>
        <v>816.03</v>
      </c>
      <c r="D13" s="1248" t="str">
        <f>"Traffic Signal Location 3 - "&amp;TrafficControl!I14</f>
        <v xml:space="preserve">Traffic Signal Location 3 - </v>
      </c>
      <c r="E13" s="1248"/>
      <c r="F13" s="1248"/>
      <c r="G13" s="1248"/>
      <c r="H13" s="152">
        <v>1</v>
      </c>
      <c r="I13" s="153" t="s">
        <v>22</v>
      </c>
      <c r="J13" s="416">
        <f>K113</f>
        <v>0</v>
      </c>
      <c r="K13" s="577">
        <f>$K$113</f>
        <v>0</v>
      </c>
      <c r="L13" s="413"/>
      <c r="M13" s="1111">
        <f>K13</f>
        <v>0</v>
      </c>
    </row>
    <row r="14" spans="1:13">
      <c r="B14" s="413"/>
      <c r="C14" s="570"/>
      <c r="D14" s="1257" t="s">
        <v>1723</v>
      </c>
      <c r="E14" s="1257"/>
      <c r="F14" s="1257"/>
      <c r="G14" s="1257"/>
      <c r="H14" s="417"/>
      <c r="I14" s="415"/>
      <c r="J14" s="417"/>
      <c r="K14" s="571"/>
      <c r="L14" s="413"/>
      <c r="M14" s="672"/>
    </row>
    <row r="15" spans="1:13">
      <c r="A15" s="868" t="str">
        <f ca="1">IFERROR(HYPERLINK("#"&amp;"ProjectEstimate!A"&amp;(8+MATCH($C15,ProjectEstimate!$A$9:$A$145,0)),CONCATENATE("Go to ",$C15))," ")</f>
        <v xml:space="preserve"> </v>
      </c>
      <c r="B15" s="413"/>
      <c r="C15" s="153">
        <v>816.04</v>
      </c>
      <c r="D15" s="1248" t="str">
        <f>"Traffic Signal Location 4 - "&amp;TrafficControl!J14</f>
        <v xml:space="preserve">Traffic Signal Location 4 - </v>
      </c>
      <c r="E15" s="1248"/>
      <c r="F15" s="1248"/>
      <c r="G15" s="1248"/>
      <c r="H15" s="152">
        <v>1</v>
      </c>
      <c r="I15" s="153" t="s">
        <v>22</v>
      </c>
      <c r="J15" s="416">
        <f>K142</f>
        <v>0</v>
      </c>
      <c r="K15" s="577">
        <f>$K$142</f>
        <v>0</v>
      </c>
      <c r="L15" s="413"/>
      <c r="M15" s="1111">
        <f>K15</f>
        <v>0</v>
      </c>
    </row>
    <row r="16" spans="1:13">
      <c r="B16" s="413"/>
      <c r="C16" s="570"/>
      <c r="D16" s="1257" t="s">
        <v>1723</v>
      </c>
      <c r="E16" s="1257"/>
      <c r="F16" s="1257"/>
      <c r="G16" s="1257"/>
      <c r="H16" s="417"/>
      <c r="I16" s="415"/>
      <c r="J16" s="417"/>
      <c r="K16" s="571"/>
      <c r="L16" s="413"/>
      <c r="M16" s="672"/>
    </row>
    <row r="17" spans="1:30">
      <c r="A17" s="868" t="str">
        <f ca="1">IFERROR(HYPERLINK("#"&amp;"ProjectEstimate!A"&amp;(8+MATCH($C17,ProjectEstimate!$A$9:$A$145,0)),CONCATENATE("Go to ",$C17))," ")</f>
        <v xml:space="preserve"> </v>
      </c>
      <c r="B17" s="413"/>
      <c r="C17" s="153">
        <v>816.99</v>
      </c>
      <c r="D17" s="1248" t="s">
        <v>808</v>
      </c>
      <c r="E17" s="1248"/>
      <c r="F17" s="1248"/>
      <c r="G17" s="1248"/>
      <c r="H17" s="417">
        <f>Multimodal!$I$45</f>
        <v>0</v>
      </c>
      <c r="I17" s="415" t="s">
        <v>2</v>
      </c>
      <c r="J17" s="418">
        <v>1800</v>
      </c>
      <c r="K17" s="576">
        <f>ROUND(J17*H17,-1)</f>
        <v>0</v>
      </c>
      <c r="L17" s="413"/>
      <c r="M17" s="1112"/>
    </row>
    <row r="18" spans="1:30">
      <c r="B18" s="413"/>
      <c r="C18" s="414"/>
      <c r="D18" s="1257" t="s">
        <v>1724</v>
      </c>
      <c r="E18" s="1257"/>
      <c r="F18" s="1257"/>
      <c r="G18" s="1257"/>
      <c r="H18" s="417"/>
      <c r="I18" s="415"/>
      <c r="J18" s="417"/>
      <c r="K18" s="571"/>
      <c r="L18" s="413"/>
      <c r="M18" s="672"/>
    </row>
    <row r="19" spans="1:30">
      <c r="A19" s="868" t="str">
        <f ca="1">IFERROR(HYPERLINK("#"&amp;"ProjectEstimate!A"&amp;(8+MATCH($C19,ProjectEstimate!$A$9:$A$145,0)),CONCATENATE("Go to ",$C19))," ")</f>
        <v xml:space="preserve"> </v>
      </c>
      <c r="B19" s="413"/>
      <c r="C19" s="153">
        <v>824.1</v>
      </c>
      <c r="D19" s="1248" t="s">
        <v>1725</v>
      </c>
      <c r="E19" s="1248"/>
      <c r="F19" s="1248"/>
      <c r="G19" s="1248"/>
      <c r="H19" s="419">
        <f>TrafficControl!$I$9</f>
        <v>0</v>
      </c>
      <c r="I19" s="415" t="s">
        <v>2</v>
      </c>
      <c r="J19" s="416">
        <f>IF(ISBLANK(M19),_xlfn.XLOOKUP(C19,Output[Item '#],Output[Unit Price (Max or Override)]),M19)</f>
        <v>22250</v>
      </c>
      <c r="K19" s="576">
        <f>ROUND(J19*H19,-1)</f>
        <v>0</v>
      </c>
      <c r="L19" s="413"/>
      <c r="M19" s="1112"/>
    </row>
    <row r="20" spans="1:30" ht="25.5" customHeight="1">
      <c r="B20" s="413"/>
      <c r="C20" s="414"/>
      <c r="D20" s="1256" t="s">
        <v>3993</v>
      </c>
      <c r="E20" s="1256"/>
      <c r="F20" s="1256"/>
      <c r="G20" s="1256"/>
      <c r="H20" s="417"/>
      <c r="I20" s="415"/>
      <c r="J20" s="417"/>
      <c r="K20" s="571"/>
      <c r="L20" s="413"/>
      <c r="M20" s="672"/>
    </row>
    <row r="21" spans="1:30" ht="15" customHeight="1">
      <c r="A21" s="868" t="str">
        <f ca="1">IFERROR(HYPERLINK("#"&amp;"ProjectEstimate!A"&amp;(8+MATCH($C21,ProjectEstimate!$A$9:$A$145,0)),CONCATENATE("Go to ",$C21))," ")</f>
        <v xml:space="preserve"> </v>
      </c>
      <c r="C21" s="572">
        <v>826</v>
      </c>
      <c r="D21" s="1248" t="s">
        <v>1922</v>
      </c>
      <c r="E21" s="1248"/>
      <c r="F21" s="1248"/>
      <c r="G21" s="1248"/>
      <c r="H21" s="419">
        <f>TrafficControl!$I$10</f>
        <v>0</v>
      </c>
      <c r="I21" s="415" t="s">
        <v>2</v>
      </c>
      <c r="J21" s="418">
        <v>75000</v>
      </c>
      <c r="K21" s="576">
        <f>ROUND(J21*H21,-1)</f>
        <v>0</v>
      </c>
      <c r="L21" s="420"/>
      <c r="M21" s="1112"/>
    </row>
    <row r="22" spans="1:30" ht="15" customHeight="1">
      <c r="C22" s="572"/>
      <c r="D22" s="1257" t="s">
        <v>1726</v>
      </c>
      <c r="E22" s="1257"/>
      <c r="F22" s="1257"/>
      <c r="G22" s="1257"/>
      <c r="H22" s="420"/>
      <c r="I22" s="420"/>
      <c r="J22" s="420"/>
      <c r="K22" s="420"/>
      <c r="L22" s="420"/>
      <c r="M22" s="673"/>
    </row>
    <row r="23" spans="1:30" ht="15" customHeight="1">
      <c r="A23" s="868" t="str">
        <f ca="1">IFERROR(HYPERLINK("#"&amp;"ProjectEstimate!A"&amp;(8+MATCH($C23,ProjectEstimate!$A$9:$A$145,0)),CONCATENATE("Go to ",$C23))," ")</f>
        <v xml:space="preserve"> </v>
      </c>
      <c r="C23" s="572" t="s">
        <v>3828</v>
      </c>
      <c r="D23" s="1248" t="s">
        <v>3685</v>
      </c>
      <c r="E23" s="1248"/>
      <c r="F23" s="1248"/>
      <c r="G23" s="1248"/>
      <c r="H23" s="419">
        <f>COUNTIF(TrafficControl!G16:J16,"Roundabout")</f>
        <v>0</v>
      </c>
      <c r="I23" s="422" t="s">
        <v>22</v>
      </c>
      <c r="J23" s="418">
        <f>OUTPUT!E144</f>
        <v>500000</v>
      </c>
      <c r="K23" s="576">
        <f>J23*H23</f>
        <v>0</v>
      </c>
      <c r="L23" s="420"/>
      <c r="M23" s="1112"/>
    </row>
    <row r="24" spans="1:30" ht="15" customHeight="1">
      <c r="C24" s="572"/>
      <c r="D24" s="1257" t="s">
        <v>3956</v>
      </c>
      <c r="E24" s="1257"/>
      <c r="F24" s="1257"/>
      <c r="G24" s="1257"/>
      <c r="H24" s="420"/>
      <c r="I24" s="420"/>
      <c r="J24" s="420"/>
      <c r="K24" s="420"/>
      <c r="L24" s="420"/>
      <c r="M24" s="673"/>
    </row>
    <row r="25" spans="1:30" ht="15" customHeight="1">
      <c r="C25" s="572"/>
      <c r="D25" s="560"/>
      <c r="E25" s="560"/>
      <c r="F25" s="560"/>
      <c r="G25" s="560"/>
      <c r="H25" s="420"/>
      <c r="I25" s="420"/>
      <c r="J25" s="420"/>
      <c r="K25" s="420"/>
      <c r="L25" s="420"/>
      <c r="M25" s="673"/>
    </row>
    <row r="26" spans="1:30" ht="15" customHeight="1" thickBot="1">
      <c r="B26" s="431"/>
      <c r="C26" s="573"/>
      <c r="D26" s="574"/>
      <c r="E26" s="574"/>
      <c r="F26" s="574"/>
      <c r="G26" s="574"/>
      <c r="H26" s="575"/>
      <c r="I26" s="575"/>
      <c r="J26" s="575"/>
      <c r="K26" s="575"/>
      <c r="L26" s="575"/>
      <c r="M26" s="673"/>
    </row>
    <row r="27" spans="1:30">
      <c r="B27" s="427"/>
      <c r="C27" s="414" t="str">
        <f>D9</f>
        <v xml:space="preserve">Traffic Signal Location 1 - </v>
      </c>
      <c r="H27" s="422"/>
      <c r="I27" s="422"/>
      <c r="J27" s="421"/>
      <c r="K27" s="427"/>
      <c r="M27" s="673"/>
      <c r="N27" s="420"/>
      <c r="O27" s="420"/>
      <c r="P27" s="420"/>
      <c r="Q27" s="420"/>
      <c r="Z27" s="420"/>
      <c r="AA27" s="420"/>
      <c r="AB27" s="420"/>
      <c r="AC27" s="420"/>
      <c r="AD27" s="420"/>
    </row>
    <row r="28" spans="1:30">
      <c r="B28" s="427"/>
      <c r="C28" s="420"/>
      <c r="D28" s="421"/>
      <c r="E28" s="422"/>
      <c r="F28" s="423" t="s">
        <v>803</v>
      </c>
      <c r="G28" s="423" t="s">
        <v>829</v>
      </c>
      <c r="I28" s="423" t="s">
        <v>804</v>
      </c>
      <c r="J28" s="423" t="s">
        <v>805</v>
      </c>
      <c r="K28" s="423" t="s">
        <v>806</v>
      </c>
      <c r="M28" s="674"/>
    </row>
    <row r="29" spans="1:30">
      <c r="C29" s="562" t="s">
        <v>807</v>
      </c>
      <c r="F29" s="424" t="s">
        <v>2</v>
      </c>
      <c r="G29" s="420" t="s">
        <v>1795</v>
      </c>
      <c r="I29" s="425">
        <v>1500</v>
      </c>
      <c r="J29" s="942">
        <f>IF(OR(TrafficControl!$G$20="Upgrade/Retrofit",TrafficControl!$G$20="New Construction"),TrafficControl!$G$40-TrafficControl!$G$30,0)</f>
        <v>0</v>
      </c>
      <c r="K29" s="425">
        <f>IF(M29="",ROUND(I29*J29,-1),ROUND(M29*J29,-1))</f>
        <v>0</v>
      </c>
      <c r="M29" s="869"/>
    </row>
    <row r="30" spans="1:30">
      <c r="C30" s="562" t="s">
        <v>1569</v>
      </c>
      <c r="F30" s="424" t="s">
        <v>2</v>
      </c>
      <c r="G30" s="420" t="s">
        <v>3862</v>
      </c>
      <c r="I30" s="425">
        <v>2500</v>
      </c>
      <c r="J30" s="942">
        <f>IF(OR(TrafficControl!$G$20="Upgrade/Retrofit",TrafficControl!$G$20="New Construction"),IF(TrafficControl!$G$18&gt;2,1,0)+IF(TrafficControl!$G$19&gt;2,1,0),0)</f>
        <v>0</v>
      </c>
      <c r="K30" s="425">
        <f t="shared" ref="K30:K53" si="0">IF(M30="",ROUND(I30*J30,-1),ROUND(M30*J30,-1))</f>
        <v>0</v>
      </c>
      <c r="M30" s="869"/>
    </row>
    <row r="31" spans="1:30">
      <c r="B31" s="427"/>
      <c r="C31" s="562" t="s">
        <v>809</v>
      </c>
      <c r="D31" s="420"/>
      <c r="E31" s="420"/>
      <c r="F31" s="424" t="s">
        <v>17</v>
      </c>
      <c r="G31" s="420" t="s">
        <v>1715</v>
      </c>
      <c r="I31" s="425">
        <v>9</v>
      </c>
      <c r="J31" s="942">
        <f>IF(TrafficControl!$G$16="Signalized",IF(TrafficControl!$G$20="New Construction",500,0),0)</f>
        <v>0</v>
      </c>
      <c r="K31" s="425">
        <f t="shared" si="0"/>
        <v>0</v>
      </c>
      <c r="M31" s="869"/>
    </row>
    <row r="32" spans="1:30">
      <c r="C32" s="562" t="s">
        <v>810</v>
      </c>
      <c r="D32" s="421"/>
      <c r="E32" s="420"/>
      <c r="F32" s="424" t="s">
        <v>2</v>
      </c>
      <c r="G32" s="420" t="s">
        <v>3863</v>
      </c>
      <c r="I32" s="425">
        <v>1500</v>
      </c>
      <c r="J32" s="942">
        <f>IF(OR(TrafficControl!$G$20="Upgrade/Retrofit",TrafficControl!$G$20="New Construction"),TrafficControl!$G$41-TrafficControl!$G$31,0)</f>
        <v>0</v>
      </c>
      <c r="K32" s="425">
        <f t="shared" si="0"/>
        <v>0</v>
      </c>
      <c r="M32" s="869"/>
    </row>
    <row r="33" spans="2:13">
      <c r="C33" s="562" t="s">
        <v>811</v>
      </c>
      <c r="D33" s="426"/>
      <c r="E33" s="426"/>
      <c r="F33" s="424" t="s">
        <v>2</v>
      </c>
      <c r="G33" s="420" t="s">
        <v>3863</v>
      </c>
      <c r="I33" s="425">
        <v>1000</v>
      </c>
      <c r="J33" s="942">
        <f>J32</f>
        <v>0</v>
      </c>
      <c r="K33" s="425">
        <f t="shared" si="0"/>
        <v>0</v>
      </c>
      <c r="M33" s="869"/>
    </row>
    <row r="34" spans="2:13">
      <c r="C34" s="562" t="s">
        <v>812</v>
      </c>
      <c r="D34" s="420"/>
      <c r="E34" s="420"/>
      <c r="F34" s="424" t="s">
        <v>2</v>
      </c>
      <c r="G34" s="420" t="s">
        <v>3863</v>
      </c>
      <c r="I34" s="425">
        <v>900</v>
      </c>
      <c r="J34" s="942">
        <f>IF(OR(TrafficControl!$G$20="Upgrade/Retrofit",TrafficControl!$G$20="New Construction"),TrafficControl!$G$41-TrafficControl!$G$31,0)</f>
        <v>0</v>
      </c>
      <c r="K34" s="425">
        <f t="shared" si="0"/>
        <v>0</v>
      </c>
      <c r="M34" s="869"/>
    </row>
    <row r="35" spans="2:13">
      <c r="C35" s="562" t="s">
        <v>1616</v>
      </c>
      <c r="F35" s="424" t="s">
        <v>2</v>
      </c>
      <c r="G35" s="563" t="s">
        <v>1593</v>
      </c>
      <c r="I35" s="425">
        <v>2000</v>
      </c>
      <c r="J35" s="942">
        <f>IF(BasicProjectData!$G$18=3,0,IF(OR(TrafficControl!$G$20="Upgrade/Retrofit",TrafficControl!$G$20="New Construction"),TrafficControl!$G$38-TrafficControl!$G$28,0))</f>
        <v>0</v>
      </c>
      <c r="K35" s="425">
        <f t="shared" si="0"/>
        <v>0</v>
      </c>
      <c r="M35" s="869"/>
    </row>
    <row r="36" spans="2:13">
      <c r="C36" s="562" t="s">
        <v>1693</v>
      </c>
      <c r="F36" s="424" t="s">
        <v>2</v>
      </c>
      <c r="G36" s="563" t="s">
        <v>1593</v>
      </c>
      <c r="I36" s="425">
        <v>2500</v>
      </c>
      <c r="J36" s="942">
        <f>IF(BasicProjectData!$G$18=3,IF(OR(TrafficControl!$G$20="Upgrade/Retrofit",TrafficControl!$G$20="New Construction"),TrafficControl!$G$38-TrafficControl!$G$28,0),0)</f>
        <v>0</v>
      </c>
      <c r="K36" s="425">
        <f t="shared" si="0"/>
        <v>0</v>
      </c>
      <c r="M36" s="869"/>
    </row>
    <row r="37" spans="2:13">
      <c r="C37" s="562" t="s">
        <v>813</v>
      </c>
      <c r="D37" s="420"/>
      <c r="E37" s="420"/>
      <c r="F37" s="424" t="s">
        <v>2</v>
      </c>
      <c r="G37" s="420" t="s">
        <v>1730</v>
      </c>
      <c r="I37" s="425">
        <v>750</v>
      </c>
      <c r="J37" s="942">
        <f>SUM(J34:J36)</f>
        <v>0</v>
      </c>
      <c r="K37" s="425">
        <f t="shared" si="0"/>
        <v>0</v>
      </c>
      <c r="M37" s="869"/>
    </row>
    <row r="38" spans="2:13" ht="15" customHeight="1">
      <c r="C38" s="562" t="s">
        <v>814</v>
      </c>
      <c r="D38" s="426"/>
      <c r="E38" s="426"/>
      <c r="F38" s="424" t="s">
        <v>2</v>
      </c>
      <c r="G38" s="420" t="s">
        <v>832</v>
      </c>
      <c r="I38" s="425">
        <v>500</v>
      </c>
      <c r="J38" s="942">
        <f>IF(AND(TrafficControl!$G$16="Signalized",OR(TrafficControl!$G$20="New Construction",TrafficControl!$G$20="Upgrade/Retrofit")),TrafficControl!$G$38-TrafficControl!$G$28,0)</f>
        <v>0</v>
      </c>
      <c r="K38" s="425">
        <f t="shared" si="0"/>
        <v>0</v>
      </c>
      <c r="M38" s="869"/>
    </row>
    <row r="39" spans="2:13">
      <c r="C39" s="562" t="s">
        <v>815</v>
      </c>
      <c r="D39" s="426"/>
      <c r="E39" s="426"/>
      <c r="F39" s="424" t="s">
        <v>2</v>
      </c>
      <c r="G39" s="420" t="s">
        <v>833</v>
      </c>
      <c r="I39" s="425">
        <v>1500</v>
      </c>
      <c r="J39" s="942">
        <f>IF(OR(TrafficControl!$G$20="Adding LPI's",TrafficControl!$G$34="To be replaced"),1,0)</f>
        <v>0</v>
      </c>
      <c r="K39" s="425">
        <f t="shared" si="0"/>
        <v>0</v>
      </c>
      <c r="M39" s="869"/>
    </row>
    <row r="40" spans="2:13">
      <c r="C40" s="562" t="s">
        <v>816</v>
      </c>
      <c r="D40" s="427"/>
      <c r="F40" s="424" t="s">
        <v>2</v>
      </c>
      <c r="G40" s="420" t="s">
        <v>830</v>
      </c>
      <c r="H40" s="40"/>
      <c r="I40" s="425">
        <v>1500</v>
      </c>
      <c r="J40" s="942">
        <f>IF(OR(TrafficControl!$G$20="Adding LPI's",TrafficControl!$G$34="To be replaced",TrafficControl!$G$20="New Construction"),1,0)</f>
        <v>0</v>
      </c>
      <c r="K40" s="425">
        <f t="shared" si="0"/>
        <v>0</v>
      </c>
      <c r="M40" s="869"/>
    </row>
    <row r="41" spans="2:13">
      <c r="C41" s="562" t="s">
        <v>817</v>
      </c>
      <c r="F41" s="424" t="s">
        <v>2</v>
      </c>
      <c r="G41" s="420" t="s">
        <v>830</v>
      </c>
      <c r="H41" s="40"/>
      <c r="I41" s="425">
        <v>5000</v>
      </c>
      <c r="J41" s="942">
        <f>J40</f>
        <v>0</v>
      </c>
      <c r="K41" s="425">
        <f t="shared" si="0"/>
        <v>0</v>
      </c>
      <c r="M41" s="869"/>
    </row>
    <row r="42" spans="2:13">
      <c r="C42" s="562" t="s">
        <v>818</v>
      </c>
      <c r="D42" s="420"/>
      <c r="E42" s="420"/>
      <c r="F42" s="424" t="s">
        <v>2</v>
      </c>
      <c r="G42" s="420" t="s">
        <v>830</v>
      </c>
      <c r="I42" s="425">
        <v>21500</v>
      </c>
      <c r="J42" s="942">
        <f>J41</f>
        <v>0</v>
      </c>
      <c r="K42" s="425">
        <f t="shared" si="0"/>
        <v>0</v>
      </c>
      <c r="M42" s="869"/>
    </row>
    <row r="43" spans="2:13">
      <c r="C43" s="562" t="s">
        <v>819</v>
      </c>
      <c r="F43" s="421" t="s">
        <v>2</v>
      </c>
      <c r="G43" s="420" t="s">
        <v>834</v>
      </c>
      <c r="I43" s="425">
        <v>1500</v>
      </c>
      <c r="J43" s="942">
        <f>IF(OR(TrafficControl!$G$20="New Construction",TrafficControl!$G$20="Upgrade/Retrofit"),TrafficControl!$G$39-TrafficControl!$G$29,0)</f>
        <v>0</v>
      </c>
      <c r="K43" s="425">
        <f t="shared" si="0"/>
        <v>0</v>
      </c>
      <c r="M43" s="869"/>
    </row>
    <row r="44" spans="2:13">
      <c r="C44" s="562" t="s">
        <v>820</v>
      </c>
      <c r="F44" s="421" t="s">
        <v>2</v>
      </c>
      <c r="G44" s="420" t="s">
        <v>834</v>
      </c>
      <c r="I44" s="425">
        <v>1500</v>
      </c>
      <c r="J44" s="942">
        <f>J43</f>
        <v>0</v>
      </c>
      <c r="K44" s="425">
        <f t="shared" si="0"/>
        <v>0</v>
      </c>
      <c r="M44" s="869"/>
    </row>
    <row r="45" spans="2:13">
      <c r="B45" s="427"/>
      <c r="C45" s="562" t="s">
        <v>821</v>
      </c>
      <c r="D45" s="428"/>
      <c r="E45" s="420"/>
      <c r="F45" s="424" t="s">
        <v>2</v>
      </c>
      <c r="G45" s="420" t="s">
        <v>831</v>
      </c>
      <c r="I45" s="425">
        <v>5500</v>
      </c>
      <c r="J45" s="942">
        <f>SUM(J46:J48)</f>
        <v>0</v>
      </c>
      <c r="K45" s="425">
        <f t="shared" si="0"/>
        <v>0</v>
      </c>
      <c r="M45" s="869"/>
    </row>
    <row r="46" spans="2:13">
      <c r="B46" s="427"/>
      <c r="C46" s="562" t="s">
        <v>822</v>
      </c>
      <c r="D46" s="428"/>
      <c r="E46" s="428"/>
      <c r="F46" s="424" t="s">
        <v>2</v>
      </c>
      <c r="G46" s="420" t="s">
        <v>1732</v>
      </c>
      <c r="I46" s="425">
        <v>12000</v>
      </c>
      <c r="J46" s="942">
        <f>IF(OR(TrafficControl!$G$20="New Construction",TrafficControl!$G$20="Upgrade/Retrofit"),IF(TrafficControl!$G$18&gt;4,IF(TrafficControl!$G$16="Signalized",TrafficControl!$G$39-TrafficControl!$G$29,0),0),0)</f>
        <v>0</v>
      </c>
      <c r="K46" s="425">
        <f t="shared" si="0"/>
        <v>0</v>
      </c>
      <c r="M46" s="869"/>
    </row>
    <row r="47" spans="2:13">
      <c r="C47" s="428" t="s">
        <v>823</v>
      </c>
      <c r="D47" s="428"/>
      <c r="E47" s="428"/>
      <c r="F47" s="424" t="s">
        <v>2</v>
      </c>
      <c r="G47" s="420" t="s">
        <v>1731</v>
      </c>
      <c r="I47" s="425">
        <v>10500</v>
      </c>
      <c r="J47" s="942">
        <f>IF(OR(TrafficControl!$G$20="New Construction",TrafficControl!$G$20="Upgrade/Retrofit"),IF(TrafficControl!$G$18&gt;2,IF(TrafficControl!$G$16="Signalized",TrafficControl!$G$39-TrafficControl!$G$29,0),0),0)-J46</f>
        <v>0</v>
      </c>
      <c r="K47" s="425">
        <f t="shared" si="0"/>
        <v>0</v>
      </c>
      <c r="M47" s="869"/>
    </row>
    <row r="48" spans="2:13">
      <c r="C48" s="428" t="s">
        <v>835</v>
      </c>
      <c r="D48" s="428"/>
      <c r="E48" s="428"/>
      <c r="F48" s="424" t="s">
        <v>2</v>
      </c>
      <c r="G48" s="420" t="s">
        <v>3780</v>
      </c>
      <c r="I48" s="425">
        <v>8500</v>
      </c>
      <c r="J48" s="942">
        <f>IF(OR(TrafficControl!$G$20="New Construction",TrafficControl!$G$20="Upgrade/Retrofit"),IF(TrafficControl!$G$18&lt;3,IF(TrafficControl!$G$16="Signalized",TrafficControl!$G$39-TrafficControl!$G$29,0),0),0)</f>
        <v>0</v>
      </c>
      <c r="K48" s="425">
        <f t="shared" si="0"/>
        <v>0</v>
      </c>
      <c r="M48" s="869"/>
    </row>
    <row r="49" spans="2:20">
      <c r="C49" s="563" t="s">
        <v>824</v>
      </c>
      <c r="F49" s="424" t="s">
        <v>2</v>
      </c>
      <c r="G49" s="420" t="s">
        <v>3846</v>
      </c>
      <c r="I49" s="425">
        <v>25000</v>
      </c>
      <c r="J49" s="942">
        <f>IF(AND(TrafficControl!$G$43="Video",NOT(TrafficControl!$G$33="Video")),1,0)</f>
        <v>0</v>
      </c>
      <c r="K49" s="425">
        <f t="shared" si="0"/>
        <v>0</v>
      </c>
      <c r="M49" s="869"/>
    </row>
    <row r="50" spans="2:20">
      <c r="B50" s="427"/>
      <c r="C50" s="562" t="s">
        <v>825</v>
      </c>
      <c r="D50" s="420"/>
      <c r="E50" s="420"/>
      <c r="F50" s="424" t="s">
        <v>2</v>
      </c>
      <c r="G50" s="420"/>
      <c r="I50" s="425">
        <v>8000</v>
      </c>
      <c r="J50" s="942">
        <f>IF(TrafficControl!$G$45="Yes",1,0)</f>
        <v>0</v>
      </c>
      <c r="K50" s="425">
        <f t="shared" si="0"/>
        <v>0</v>
      </c>
      <c r="M50" s="869"/>
    </row>
    <row r="51" spans="2:20">
      <c r="C51" s="420" t="s">
        <v>827</v>
      </c>
      <c r="D51" s="426"/>
      <c r="E51" s="96"/>
      <c r="F51" s="97" t="s">
        <v>2</v>
      </c>
      <c r="G51" s="420" t="s">
        <v>1729</v>
      </c>
      <c r="I51" s="429">
        <v>500</v>
      </c>
      <c r="J51" s="942">
        <f>IF(OR(TrafficControl!$G$20="Signal Timing Updates",AND(NOT(TrafficControl!$G$44="No"),NOT(ISBLANK(TrafficControl!$G$44)))),1,0)</f>
        <v>0</v>
      </c>
      <c r="K51" s="425">
        <f t="shared" si="0"/>
        <v>0</v>
      </c>
      <c r="M51" s="869"/>
    </row>
    <row r="52" spans="2:20">
      <c r="C52" s="420" t="s">
        <v>3687</v>
      </c>
      <c r="D52" s="426"/>
      <c r="E52" s="96"/>
      <c r="F52" s="97" t="s">
        <v>2</v>
      </c>
      <c r="G52" s="420" t="s">
        <v>1568</v>
      </c>
      <c r="I52" s="429">
        <v>500</v>
      </c>
      <c r="J52" s="942">
        <f>IF(TrafficControl!$G$43="Loop",TrafficControl!$G$17*2,0)</f>
        <v>0</v>
      </c>
      <c r="K52" s="425">
        <f t="shared" si="0"/>
        <v>0</v>
      </c>
      <c r="M52" s="869"/>
    </row>
    <row r="53" spans="2:20" ht="15.75" customHeight="1">
      <c r="C53" s="1068" t="s">
        <v>828</v>
      </c>
      <c r="D53" s="1068"/>
      <c r="E53" s="1068"/>
      <c r="F53" s="97" t="s">
        <v>17</v>
      </c>
      <c r="G53" s="420" t="s">
        <v>3688</v>
      </c>
      <c r="I53" s="429">
        <v>18</v>
      </c>
      <c r="J53" s="942">
        <f>IF(TrafficControl!$G$43="Loop",TrafficControl!$G$17*1000,0)</f>
        <v>0</v>
      </c>
      <c r="K53" s="425">
        <f t="shared" si="0"/>
        <v>0</v>
      </c>
      <c r="M53" s="869"/>
    </row>
    <row r="54" spans="2:20">
      <c r="C54" s="564"/>
      <c r="G54" s="421"/>
      <c r="H54" s="421"/>
      <c r="I54" s="421"/>
      <c r="J54" s="425"/>
      <c r="K54" s="420"/>
      <c r="M54" s="673"/>
    </row>
    <row r="55" spans="2:20" ht="15.75" thickBot="1">
      <c r="B55" s="567"/>
      <c r="C55" s="431"/>
      <c r="D55" s="431"/>
      <c r="E55" s="431"/>
      <c r="F55" s="431"/>
      <c r="G55" s="431"/>
      <c r="H55" s="432"/>
      <c r="I55" s="433" t="s">
        <v>826</v>
      </c>
      <c r="J55" s="433">
        <v>816.01</v>
      </c>
      <c r="K55" s="568">
        <f>IFERROR(SUM(K29:K53),0)</f>
        <v>0</v>
      </c>
      <c r="L55" s="431"/>
      <c r="M55" s="673"/>
    </row>
    <row r="56" spans="2:20">
      <c r="B56" s="430"/>
      <c r="C56" s="414" t="str">
        <f>D11</f>
        <v xml:space="preserve">Traffic Signal Location 2 - </v>
      </c>
      <c r="H56" s="421"/>
      <c r="I56" s="422"/>
      <c r="J56" s="427"/>
      <c r="K56" s="427"/>
      <c r="M56" s="675"/>
      <c r="N56" s="434"/>
      <c r="P56" s="435"/>
      <c r="Q56" s="434"/>
      <c r="T56" s="434"/>
    </row>
    <row r="57" spans="2:20">
      <c r="C57" s="420"/>
      <c r="D57" s="421"/>
      <c r="E57" s="422"/>
      <c r="F57" s="423" t="s">
        <v>803</v>
      </c>
      <c r="G57" s="423" t="s">
        <v>829</v>
      </c>
      <c r="H57" s="436"/>
      <c r="I57" s="423" t="s">
        <v>804</v>
      </c>
      <c r="J57" s="423" t="s">
        <v>805</v>
      </c>
      <c r="K57" s="423" t="s">
        <v>806</v>
      </c>
      <c r="M57" s="673"/>
    </row>
    <row r="58" spans="2:20">
      <c r="C58" s="562" t="s">
        <v>807</v>
      </c>
      <c r="F58" s="424" t="s">
        <v>2</v>
      </c>
      <c r="G58" s="420" t="s">
        <v>1795</v>
      </c>
      <c r="I58" s="425">
        <f t="shared" ref="I58:I80" si="1">I29</f>
        <v>1500</v>
      </c>
      <c r="J58" s="942">
        <f>IF(OR(TrafficControl!$H$20="Upgrade/Retrofit",TrafficControl!$H$20="New Construction"),TrafficControl!$H$40-TrafficControl!$H$30,0)</f>
        <v>0</v>
      </c>
      <c r="K58" s="425">
        <f>IF(M58="",ROUND(I58*J58,-1),ROUND(M58*J58,-1))</f>
        <v>0</v>
      </c>
      <c r="M58" s="869"/>
    </row>
    <row r="59" spans="2:20">
      <c r="C59" s="562" t="s">
        <v>1569</v>
      </c>
      <c r="F59" s="424" t="s">
        <v>2</v>
      </c>
      <c r="G59" s="420" t="s">
        <v>3862</v>
      </c>
      <c r="H59" s="414"/>
      <c r="I59" s="425">
        <f t="shared" si="1"/>
        <v>2500</v>
      </c>
      <c r="J59" s="942">
        <f>IF(OR(TrafficControl!$H$20="Upgrade/Retrofit",TrafficControl!$H$20="New Construction"),IF(TrafficControl!$H$18&gt;2,1,0)+IF(TrafficControl!$H$19&gt;2,1,0),0)</f>
        <v>0</v>
      </c>
      <c r="K59" s="425">
        <f t="shared" ref="K59:K82" si="2">IF(M59="",ROUND(I59*J59,-1),ROUND(M59*J59,-1))</f>
        <v>0</v>
      </c>
      <c r="L59" s="437"/>
      <c r="M59" s="869"/>
    </row>
    <row r="60" spans="2:20">
      <c r="C60" s="562" t="s">
        <v>809</v>
      </c>
      <c r="D60" s="420"/>
      <c r="E60" s="420"/>
      <c r="F60" s="424" t="s">
        <v>17</v>
      </c>
      <c r="G60" s="420" t="s">
        <v>1715</v>
      </c>
      <c r="I60" s="425">
        <f t="shared" si="1"/>
        <v>9</v>
      </c>
      <c r="J60" s="942">
        <f>IF(TrafficControl!$H$16="Signalized",IF(TrafficControl!$H$20="New Construction",500,0),0)</f>
        <v>0</v>
      </c>
      <c r="K60" s="425">
        <f t="shared" si="2"/>
        <v>0</v>
      </c>
      <c r="M60" s="869"/>
    </row>
    <row r="61" spans="2:20">
      <c r="C61" s="562" t="s">
        <v>810</v>
      </c>
      <c r="D61" s="421"/>
      <c r="E61" s="420"/>
      <c r="F61" s="424" t="s">
        <v>2</v>
      </c>
      <c r="G61" s="420" t="s">
        <v>3863</v>
      </c>
      <c r="H61" s="424"/>
      <c r="I61" s="425">
        <f t="shared" si="1"/>
        <v>1500</v>
      </c>
      <c r="J61" s="942">
        <f>IF(OR(TrafficControl!$H$20="Upgrade/Retrofit",TrafficControl!$H$20="New Construction"),TrafficControl!$H$41-TrafficControl!$H$31,0)</f>
        <v>0</v>
      </c>
      <c r="K61" s="425">
        <f t="shared" si="2"/>
        <v>0</v>
      </c>
      <c r="L61" s="425"/>
      <c r="M61" s="869"/>
    </row>
    <row r="62" spans="2:20">
      <c r="C62" s="562" t="s">
        <v>811</v>
      </c>
      <c r="D62" s="426"/>
      <c r="E62" s="426"/>
      <c r="F62" s="424" t="s">
        <v>2</v>
      </c>
      <c r="G62" s="420" t="s">
        <v>3863</v>
      </c>
      <c r="I62" s="425">
        <f t="shared" si="1"/>
        <v>1000</v>
      </c>
      <c r="J62" s="942">
        <f>J61</f>
        <v>0</v>
      </c>
      <c r="K62" s="425">
        <f t="shared" si="2"/>
        <v>0</v>
      </c>
      <c r="M62" s="869"/>
    </row>
    <row r="63" spans="2:20">
      <c r="C63" s="562" t="s">
        <v>812</v>
      </c>
      <c r="D63" s="420"/>
      <c r="E63" s="420"/>
      <c r="F63" s="424" t="s">
        <v>2</v>
      </c>
      <c r="G63" s="420" t="s">
        <v>3863</v>
      </c>
      <c r="H63" s="157"/>
      <c r="I63" s="425">
        <f t="shared" si="1"/>
        <v>900</v>
      </c>
      <c r="J63" s="942">
        <f>IF(OR(TrafficControl!$H$20="Upgrade/Retrofit",TrafficControl!$H$20="New Construction"),TrafficControl!$H$41-TrafficControl!$H$31,0)</f>
        <v>0</v>
      </c>
      <c r="K63" s="425">
        <f t="shared" si="2"/>
        <v>0</v>
      </c>
      <c r="L63" s="438"/>
      <c r="M63" s="869"/>
      <c r="N63" s="157"/>
      <c r="O63" s="157"/>
      <c r="P63" s="157"/>
      <c r="Q63" s="157"/>
      <c r="R63" s="157"/>
    </row>
    <row r="64" spans="2:20">
      <c r="C64" s="562" t="s">
        <v>1616</v>
      </c>
      <c r="F64" s="424" t="s">
        <v>2</v>
      </c>
      <c r="G64" s="563" t="s">
        <v>1593</v>
      </c>
      <c r="H64" s="157"/>
      <c r="I64" s="425">
        <f t="shared" si="1"/>
        <v>2000</v>
      </c>
      <c r="J64" s="942">
        <f>IF(BasicProjectData!$G$18=3,0,IF(OR(TrafficControl!$H$20="Upgrade/Retrofit",TrafficControl!$H$20="New Construction"),TrafficControl!$H$38-TrafficControl!$H$28,0))</f>
        <v>0</v>
      </c>
      <c r="K64" s="425">
        <f t="shared" si="2"/>
        <v>0</v>
      </c>
      <c r="L64" s="439"/>
      <c r="M64" s="869"/>
      <c r="N64" s="157"/>
      <c r="O64" s="157"/>
      <c r="P64" s="157"/>
      <c r="Q64" s="157"/>
      <c r="R64" s="157"/>
    </row>
    <row r="65" spans="3:18">
      <c r="C65" s="562" t="s">
        <v>1693</v>
      </c>
      <c r="F65" s="424" t="s">
        <v>2</v>
      </c>
      <c r="G65" s="563" t="s">
        <v>1593</v>
      </c>
      <c r="H65" s="157"/>
      <c r="I65" s="425">
        <f t="shared" si="1"/>
        <v>2500</v>
      </c>
      <c r="J65" s="942">
        <f>IF(BasicProjectData!$G$18=3,IF(OR(TrafficControl!$H$20="Upgrade/Retrofit",TrafficControl!$H$20="New Construction"),TrafficControl!$H$38-TrafficControl!$H$28,0),0)</f>
        <v>0</v>
      </c>
      <c r="K65" s="425">
        <f t="shared" si="2"/>
        <v>0</v>
      </c>
      <c r="L65" s="439"/>
      <c r="M65" s="869"/>
      <c r="N65" s="157"/>
      <c r="O65" s="157"/>
      <c r="P65" s="157"/>
      <c r="Q65" s="157"/>
      <c r="R65" s="157"/>
    </row>
    <row r="66" spans="3:18">
      <c r="C66" s="562" t="s">
        <v>813</v>
      </c>
      <c r="D66" s="420"/>
      <c r="E66" s="420"/>
      <c r="F66" s="424" t="s">
        <v>2</v>
      </c>
      <c r="G66" s="420" t="s">
        <v>1730</v>
      </c>
      <c r="H66" s="157"/>
      <c r="I66" s="425">
        <f t="shared" si="1"/>
        <v>750</v>
      </c>
      <c r="J66" s="942">
        <f>SUM(J63:J65)</f>
        <v>0</v>
      </c>
      <c r="K66" s="425">
        <f t="shared" si="2"/>
        <v>0</v>
      </c>
      <c r="L66" s="439"/>
      <c r="M66" s="869"/>
      <c r="N66" s="151"/>
      <c r="O66" s="152"/>
      <c r="P66" s="153"/>
      <c r="Q66" s="154"/>
      <c r="R66" s="155"/>
    </row>
    <row r="67" spans="3:18">
      <c r="C67" s="562" t="s">
        <v>814</v>
      </c>
      <c r="D67" s="426"/>
      <c r="E67" s="426"/>
      <c r="F67" s="424" t="s">
        <v>2</v>
      </c>
      <c r="G67" s="420" t="s">
        <v>832</v>
      </c>
      <c r="H67" s="440"/>
      <c r="I67" s="425">
        <f t="shared" si="1"/>
        <v>500</v>
      </c>
      <c r="J67" s="942">
        <f>IF(AND(TrafficControl!$H$16="Signalized",OR(TrafficControl!$H$20="New Construction",TrafficControl!$H$20="Upgrade/Retrofit")),TrafficControl!$H$38-TrafficControl!$H$28,0)</f>
        <v>0</v>
      </c>
      <c r="K67" s="425">
        <f t="shared" si="2"/>
        <v>0</v>
      </c>
      <c r="L67" s="154"/>
      <c r="M67" s="869"/>
    </row>
    <row r="68" spans="3:18">
      <c r="C68" s="562" t="s">
        <v>815</v>
      </c>
      <c r="D68" s="426"/>
      <c r="E68" s="426"/>
      <c r="F68" s="424" t="s">
        <v>2</v>
      </c>
      <c r="G68" s="420" t="s">
        <v>833</v>
      </c>
      <c r="H68" s="157"/>
      <c r="I68" s="425">
        <f t="shared" si="1"/>
        <v>1500</v>
      </c>
      <c r="J68" s="942">
        <f>IF(OR(TrafficControl!$H$20="Adding LPI's",TrafficControl!$H$34="To be replaced"),1,0)</f>
        <v>0</v>
      </c>
      <c r="K68" s="425">
        <f t="shared" si="2"/>
        <v>0</v>
      </c>
      <c r="L68" s="154"/>
      <c r="M68" s="869"/>
    </row>
    <row r="69" spans="3:18" ht="14.25" customHeight="1">
      <c r="C69" s="562" t="s">
        <v>816</v>
      </c>
      <c r="D69" s="427"/>
      <c r="F69" s="424" t="s">
        <v>2</v>
      </c>
      <c r="G69" s="420" t="s">
        <v>830</v>
      </c>
      <c r="H69" s="441"/>
      <c r="I69" s="425">
        <f t="shared" si="1"/>
        <v>1500</v>
      </c>
      <c r="J69" s="942">
        <f>IF(OR(TrafficControl!$H$20="Adding LPI's",TrafficControl!$H$34="To be replaced",TrafficControl!$H$20="New Construction"),1,0)</f>
        <v>0</v>
      </c>
      <c r="K69" s="425">
        <f t="shared" si="2"/>
        <v>0</v>
      </c>
      <c r="L69" s="154"/>
      <c r="M69" s="869"/>
    </row>
    <row r="70" spans="3:18">
      <c r="C70" s="562" t="s">
        <v>817</v>
      </c>
      <c r="F70" s="424" t="s">
        <v>2</v>
      </c>
      <c r="G70" s="420" t="s">
        <v>830</v>
      </c>
      <c r="H70" s="441"/>
      <c r="I70" s="425">
        <f t="shared" si="1"/>
        <v>5000</v>
      </c>
      <c r="J70" s="942">
        <f>J69</f>
        <v>0</v>
      </c>
      <c r="K70" s="425">
        <f t="shared" si="2"/>
        <v>0</v>
      </c>
      <c r="L70" s="154"/>
      <c r="M70" s="869"/>
    </row>
    <row r="71" spans="3:18">
      <c r="C71" s="562" t="s">
        <v>818</v>
      </c>
      <c r="D71" s="420"/>
      <c r="E71" s="420"/>
      <c r="F71" s="424" t="s">
        <v>2</v>
      </c>
      <c r="G71" s="420" t="s">
        <v>830</v>
      </c>
      <c r="H71" s="421"/>
      <c r="I71" s="425">
        <f t="shared" si="1"/>
        <v>21500</v>
      </c>
      <c r="J71" s="942">
        <f>J70</f>
        <v>0</v>
      </c>
      <c r="K71" s="425">
        <f t="shared" si="2"/>
        <v>0</v>
      </c>
      <c r="L71" s="425"/>
      <c r="M71" s="869"/>
    </row>
    <row r="72" spans="3:18">
      <c r="C72" s="562" t="s">
        <v>819</v>
      </c>
      <c r="F72" s="421" t="s">
        <v>2</v>
      </c>
      <c r="G72" s="420" t="s">
        <v>834</v>
      </c>
      <c r="H72" s="421"/>
      <c r="I72" s="425">
        <f t="shared" si="1"/>
        <v>1500</v>
      </c>
      <c r="J72" s="942">
        <f>IF(OR(TrafficControl!$H$20="New Construction",TrafficControl!$H$20="Upgrade/Retrofit"),TrafficControl!$H$39-TrafficControl!$H$29,0)</f>
        <v>0</v>
      </c>
      <c r="K72" s="425">
        <f t="shared" si="2"/>
        <v>0</v>
      </c>
      <c r="L72" s="425"/>
      <c r="M72" s="869"/>
    </row>
    <row r="73" spans="3:18">
      <c r="C73" s="562" t="s">
        <v>820</v>
      </c>
      <c r="F73" s="421" t="s">
        <v>2</v>
      </c>
      <c r="G73" s="420" t="s">
        <v>834</v>
      </c>
      <c r="I73" s="425">
        <f t="shared" si="1"/>
        <v>1500</v>
      </c>
      <c r="J73" s="942">
        <f>J72</f>
        <v>0</v>
      </c>
      <c r="K73" s="425">
        <f t="shared" si="2"/>
        <v>0</v>
      </c>
      <c r="M73" s="869"/>
    </row>
    <row r="74" spans="3:18">
      <c r="C74" s="562" t="s">
        <v>821</v>
      </c>
      <c r="D74" s="428"/>
      <c r="E74" s="420"/>
      <c r="F74" s="424" t="s">
        <v>2</v>
      </c>
      <c r="G74" s="420" t="s">
        <v>831</v>
      </c>
      <c r="I74" s="425">
        <f t="shared" si="1"/>
        <v>5500</v>
      </c>
      <c r="J74" s="942">
        <f>SUM(J75:J77)</f>
        <v>0</v>
      </c>
      <c r="K74" s="425">
        <f t="shared" si="2"/>
        <v>0</v>
      </c>
      <c r="M74" s="869"/>
    </row>
    <row r="75" spans="3:18">
      <c r="C75" s="562" t="s">
        <v>822</v>
      </c>
      <c r="D75" s="428"/>
      <c r="E75" s="428"/>
      <c r="F75" s="424" t="s">
        <v>2</v>
      </c>
      <c r="G75" s="420" t="s">
        <v>1732</v>
      </c>
      <c r="I75" s="425">
        <f t="shared" si="1"/>
        <v>12000</v>
      </c>
      <c r="J75" s="942">
        <f>IF(OR(TrafficControl!$H$20="New Construction",TrafficControl!$H$20="Upgrade/Retrofit"),IF(TrafficControl!$H$18&gt;4,IF(TrafficControl!$H$16="Signalized",TrafficControl!$H$39-TrafficControl!$H$29,0),0),0)</f>
        <v>0</v>
      </c>
      <c r="K75" s="425">
        <f t="shared" si="2"/>
        <v>0</v>
      </c>
      <c r="M75" s="869"/>
    </row>
    <row r="76" spans="3:18">
      <c r="C76" s="428" t="s">
        <v>823</v>
      </c>
      <c r="D76" s="428"/>
      <c r="E76" s="428"/>
      <c r="F76" s="424" t="s">
        <v>2</v>
      </c>
      <c r="G76" s="420" t="s">
        <v>1731</v>
      </c>
      <c r="I76" s="425">
        <f t="shared" si="1"/>
        <v>10500</v>
      </c>
      <c r="J76" s="942">
        <f>IF(OR(TrafficControl!$H$20="New Construction",TrafficControl!$H$20="Upgrade/Retrofit"),IF(TrafficControl!$H$18&gt;2,IF(TrafficControl!$H$16="Signalized",TrafficControl!$H$39-TrafficControl!$H$29,0),0),0)-J75</f>
        <v>0</v>
      </c>
      <c r="K76" s="425">
        <f t="shared" si="2"/>
        <v>0</v>
      </c>
      <c r="M76" s="869"/>
    </row>
    <row r="77" spans="3:18">
      <c r="C77" s="428" t="s">
        <v>835</v>
      </c>
      <c r="D77" s="428"/>
      <c r="E77" s="428"/>
      <c r="F77" s="424" t="s">
        <v>2</v>
      </c>
      <c r="G77" s="420" t="s">
        <v>3780</v>
      </c>
      <c r="I77" s="425">
        <f t="shared" si="1"/>
        <v>8500</v>
      </c>
      <c r="J77" s="942">
        <f>IF(OR(TrafficControl!$H$20="New Construction",TrafficControl!$H$20="Upgrade/Retrofit"),IF(TrafficControl!$H$18&lt;3,IF(TrafficControl!$H$16="Signalized",TrafficControl!$H$39-TrafficControl!$H$29,0),0),0)</f>
        <v>0</v>
      </c>
      <c r="K77" s="425">
        <f t="shared" si="2"/>
        <v>0</v>
      </c>
      <c r="M77" s="869"/>
    </row>
    <row r="78" spans="3:18">
      <c r="C78" s="563" t="s">
        <v>824</v>
      </c>
      <c r="F78" s="424" t="s">
        <v>2</v>
      </c>
      <c r="G78" s="420" t="s">
        <v>3846</v>
      </c>
      <c r="I78" s="425">
        <f t="shared" si="1"/>
        <v>25000</v>
      </c>
      <c r="J78" s="942">
        <f>IF(AND(TrafficControl!$H$43="Video",NOT(TrafficControl!$H$33="Video")),1,0)</f>
        <v>0</v>
      </c>
      <c r="K78" s="425">
        <f t="shared" si="2"/>
        <v>0</v>
      </c>
      <c r="M78" s="869"/>
    </row>
    <row r="79" spans="3:18">
      <c r="C79" s="562" t="s">
        <v>825</v>
      </c>
      <c r="D79" s="420"/>
      <c r="E79" s="420"/>
      <c r="F79" s="424" t="s">
        <v>2</v>
      </c>
      <c r="G79" s="420"/>
      <c r="I79" s="425">
        <f t="shared" si="1"/>
        <v>8000</v>
      </c>
      <c r="J79" s="942">
        <f>IF(TrafficControl!$H$45="Yes",1,0)</f>
        <v>0</v>
      </c>
      <c r="K79" s="425">
        <f t="shared" si="2"/>
        <v>0</v>
      </c>
      <c r="M79" s="869"/>
    </row>
    <row r="80" spans="3:18">
      <c r="C80" s="420" t="s">
        <v>827</v>
      </c>
      <c r="D80" s="426"/>
      <c r="E80" s="96"/>
      <c r="F80" s="97" t="s">
        <v>2</v>
      </c>
      <c r="G80" s="420" t="s">
        <v>1729</v>
      </c>
      <c r="I80" s="425">
        <f t="shared" si="1"/>
        <v>500</v>
      </c>
      <c r="J80" s="942">
        <f>IF(OR(TrafficControl!$H$20="Signal Timing Updates",AND(NOT(TrafficControl!$H$44="No"),NOT(ISBLANK(TrafficControl!$H$44)))),1,0)</f>
        <v>0</v>
      </c>
      <c r="K80" s="425">
        <f t="shared" si="2"/>
        <v>0</v>
      </c>
      <c r="M80" s="869"/>
    </row>
    <row r="81" spans="2:13">
      <c r="C81" s="420" t="s">
        <v>3687</v>
      </c>
      <c r="D81" s="426"/>
      <c r="E81" s="96"/>
      <c r="F81" s="97" t="s">
        <v>2</v>
      </c>
      <c r="G81" s="420" t="s">
        <v>1568</v>
      </c>
      <c r="I81" s="429">
        <v>500</v>
      </c>
      <c r="J81" s="942">
        <f>IF(TrafficControl!$H$43="Loop",TrafficControl!$H$17*2,0)</f>
        <v>0</v>
      </c>
      <c r="K81" s="425">
        <f t="shared" si="2"/>
        <v>0</v>
      </c>
      <c r="M81" s="869"/>
    </row>
    <row r="82" spans="2:13">
      <c r="C82" s="1068" t="s">
        <v>828</v>
      </c>
      <c r="D82" s="1068"/>
      <c r="E82" s="1068"/>
      <c r="F82" s="97" t="s">
        <v>17</v>
      </c>
      <c r="G82" s="420" t="s">
        <v>3688</v>
      </c>
      <c r="I82" s="425">
        <f>I53</f>
        <v>18</v>
      </c>
      <c r="J82" s="942">
        <f>IF(TrafficControl!$H$43="Loop",TrafficControl!$H$17*1000,0)</f>
        <v>0</v>
      </c>
      <c r="K82" s="425">
        <f t="shared" si="2"/>
        <v>0</v>
      </c>
      <c r="M82" s="869"/>
    </row>
    <row r="83" spans="2:13">
      <c r="I83" s="442"/>
      <c r="M83" s="673"/>
    </row>
    <row r="84" spans="2:13" ht="15.75" thickBot="1">
      <c r="B84" s="431"/>
      <c r="C84" s="431"/>
      <c r="D84" s="431"/>
      <c r="E84" s="431"/>
      <c r="F84" s="431"/>
      <c r="G84" s="431"/>
      <c r="H84" s="431"/>
      <c r="I84" s="443" t="s">
        <v>826</v>
      </c>
      <c r="J84" s="444">
        <v>816.02</v>
      </c>
      <c r="K84" s="566">
        <f>IFERROR(SUM(K58:K82),0)</f>
        <v>0</v>
      </c>
      <c r="L84" s="431"/>
      <c r="M84" s="673"/>
    </row>
    <row r="85" spans="2:13">
      <c r="C85" s="414" t="str">
        <f>D13</f>
        <v xml:space="preserve">Traffic Signal Location 3 - </v>
      </c>
      <c r="I85" s="427"/>
      <c r="J85" s="427"/>
      <c r="K85" s="427"/>
      <c r="M85" s="673"/>
    </row>
    <row r="86" spans="2:13">
      <c r="C86" s="420"/>
      <c r="D86" s="421"/>
      <c r="E86" s="422"/>
      <c r="F86" s="423" t="s">
        <v>803</v>
      </c>
      <c r="G86" s="423" t="s">
        <v>829</v>
      </c>
      <c r="I86" s="423" t="s">
        <v>804</v>
      </c>
      <c r="J86" s="423" t="s">
        <v>805</v>
      </c>
      <c r="K86" s="423" t="s">
        <v>806</v>
      </c>
      <c r="M86" s="673"/>
    </row>
    <row r="87" spans="2:13">
      <c r="C87" s="562" t="s">
        <v>807</v>
      </c>
      <c r="F87" s="424" t="s">
        <v>2</v>
      </c>
      <c r="G87" s="420" t="s">
        <v>1795</v>
      </c>
      <c r="I87" s="425">
        <f t="shared" ref="I87:I109" si="3">I29</f>
        <v>1500</v>
      </c>
      <c r="J87" s="942">
        <f>IF(OR(TrafficControl!$I$20="Upgrade/Retrofit",TrafficControl!$I$20="New Construction"),TrafficControl!$I$40-TrafficControl!$I$30,0)</f>
        <v>0</v>
      </c>
      <c r="K87" s="425">
        <f>IF(M87="",ROUND(I87*J87,-1),ROUND(M87*J87,-1))</f>
        <v>0</v>
      </c>
      <c r="M87" s="869"/>
    </row>
    <row r="88" spans="2:13">
      <c r="C88" s="562" t="s">
        <v>1569</v>
      </c>
      <c r="F88" s="424" t="s">
        <v>2</v>
      </c>
      <c r="G88" s="420" t="s">
        <v>3862</v>
      </c>
      <c r="I88" s="425">
        <f t="shared" si="3"/>
        <v>2500</v>
      </c>
      <c r="J88" s="942">
        <f>IF(OR(TrafficControl!$I$20="Upgrade/Retrofit",TrafficControl!$I$20="New Construction"),IF(TrafficControl!$I$18&gt;2,1,0)+IF(TrafficControl!$I$19&gt;2,1,0),0)</f>
        <v>0</v>
      </c>
      <c r="K88" s="425">
        <f t="shared" ref="K88:K111" si="4">IF(M88="",ROUND(I88*J88,-1),ROUND(M88*J88,-1))</f>
        <v>0</v>
      </c>
      <c r="M88" s="869"/>
    </row>
    <row r="89" spans="2:13">
      <c r="C89" s="562" t="s">
        <v>809</v>
      </c>
      <c r="D89" s="420"/>
      <c r="E89" s="420"/>
      <c r="F89" s="424" t="s">
        <v>17</v>
      </c>
      <c r="G89" s="420" t="s">
        <v>1715</v>
      </c>
      <c r="I89" s="425">
        <f t="shared" si="3"/>
        <v>9</v>
      </c>
      <c r="J89" s="942">
        <f>IF(TrafficControl!$I$16="Signalized",IF(TrafficControl!$I$20="New Construction",500,0),0)</f>
        <v>0</v>
      </c>
      <c r="K89" s="425">
        <f t="shared" si="4"/>
        <v>0</v>
      </c>
      <c r="M89" s="869"/>
    </row>
    <row r="90" spans="2:13">
      <c r="C90" s="562" t="s">
        <v>810</v>
      </c>
      <c r="D90" s="421"/>
      <c r="E90" s="420"/>
      <c r="F90" s="424" t="s">
        <v>2</v>
      </c>
      <c r="G90" s="420" t="s">
        <v>3863</v>
      </c>
      <c r="I90" s="425">
        <f t="shared" si="3"/>
        <v>1500</v>
      </c>
      <c r="J90" s="942">
        <f>IF(OR(TrafficControl!$I$20="Upgrade/Retrofit",TrafficControl!$I$20="New Construction"),TrafficControl!$I$41-TrafficControl!$I$31,0)</f>
        <v>0</v>
      </c>
      <c r="K90" s="425">
        <f t="shared" si="4"/>
        <v>0</v>
      </c>
      <c r="M90" s="869"/>
    </row>
    <row r="91" spans="2:13">
      <c r="C91" s="562" t="s">
        <v>811</v>
      </c>
      <c r="D91" s="426"/>
      <c r="E91" s="426"/>
      <c r="F91" s="424" t="s">
        <v>2</v>
      </c>
      <c r="G91" s="420" t="s">
        <v>3863</v>
      </c>
      <c r="I91" s="425">
        <f t="shared" si="3"/>
        <v>1000</v>
      </c>
      <c r="J91" s="942">
        <f>J90</f>
        <v>0</v>
      </c>
      <c r="K91" s="425">
        <f t="shared" si="4"/>
        <v>0</v>
      </c>
      <c r="M91" s="869"/>
    </row>
    <row r="92" spans="2:13">
      <c r="C92" s="562" t="s">
        <v>812</v>
      </c>
      <c r="D92" s="420"/>
      <c r="E92" s="420"/>
      <c r="F92" s="424" t="s">
        <v>2</v>
      </c>
      <c r="G92" s="420" t="s">
        <v>3863</v>
      </c>
      <c r="I92" s="425">
        <f t="shared" si="3"/>
        <v>900</v>
      </c>
      <c r="J92" s="942">
        <f>IF(OR(TrafficControl!$I$20="Upgrade/Retrofit",TrafficControl!$I$20="New Construction"),TrafficControl!$I$41-TrafficControl!$I$31,0)</f>
        <v>0</v>
      </c>
      <c r="K92" s="425">
        <f t="shared" si="4"/>
        <v>0</v>
      </c>
      <c r="M92" s="869"/>
    </row>
    <row r="93" spans="2:13">
      <c r="C93" s="562" t="s">
        <v>1616</v>
      </c>
      <c r="F93" s="424" t="s">
        <v>2</v>
      </c>
      <c r="G93" s="563" t="s">
        <v>1593</v>
      </c>
      <c r="I93" s="425">
        <f t="shared" si="3"/>
        <v>2000</v>
      </c>
      <c r="J93" s="942">
        <f>IF(BasicProjectData!$G$18=3,0,IF(OR(TrafficControl!$I$20="Upgrade/Retrofit",TrafficControl!$I$20="New Construction"),TrafficControl!$I$38-TrafficControl!$I$28,0))</f>
        <v>0</v>
      </c>
      <c r="K93" s="425">
        <f t="shared" si="4"/>
        <v>0</v>
      </c>
      <c r="M93" s="869"/>
    </row>
    <row r="94" spans="2:13">
      <c r="C94" s="562" t="s">
        <v>1693</v>
      </c>
      <c r="F94" s="424" t="s">
        <v>2</v>
      </c>
      <c r="G94" s="563" t="s">
        <v>1593</v>
      </c>
      <c r="I94" s="425">
        <f t="shared" si="3"/>
        <v>2500</v>
      </c>
      <c r="J94" s="942">
        <f>IF(BasicProjectData!$G$18=3,IF(OR(TrafficControl!$I$20="Upgrade/Retrofit",TrafficControl!$I$20="New Construction"),TrafficControl!$I$38-TrafficControl!$I$28,0),0)</f>
        <v>0</v>
      </c>
      <c r="K94" s="425">
        <f t="shared" si="4"/>
        <v>0</v>
      </c>
      <c r="M94" s="869"/>
    </row>
    <row r="95" spans="2:13">
      <c r="C95" s="562" t="s">
        <v>813</v>
      </c>
      <c r="D95" s="420"/>
      <c r="E95" s="420"/>
      <c r="F95" s="424" t="s">
        <v>2</v>
      </c>
      <c r="G95" s="420" t="s">
        <v>1730</v>
      </c>
      <c r="I95" s="425">
        <f t="shared" si="3"/>
        <v>750</v>
      </c>
      <c r="J95" s="942">
        <f>SUM(J92:J94)</f>
        <v>0</v>
      </c>
      <c r="K95" s="425">
        <f t="shared" si="4"/>
        <v>0</v>
      </c>
      <c r="M95" s="869"/>
    </row>
    <row r="96" spans="2:13">
      <c r="C96" s="562" t="s">
        <v>814</v>
      </c>
      <c r="D96" s="426"/>
      <c r="E96" s="426"/>
      <c r="F96" s="424" t="s">
        <v>2</v>
      </c>
      <c r="G96" s="420" t="s">
        <v>832</v>
      </c>
      <c r="I96" s="425">
        <f t="shared" si="3"/>
        <v>500</v>
      </c>
      <c r="J96" s="942">
        <f>IF(AND(TrafficControl!$I$16="Signalized",OR(TrafficControl!$I$20="New Construction",TrafficControl!$I$20="Upgrade/Retrofit")),TrafficControl!$I$38-TrafficControl!$I$28,0)</f>
        <v>0</v>
      </c>
      <c r="K96" s="425">
        <f t="shared" si="4"/>
        <v>0</v>
      </c>
      <c r="M96" s="869"/>
    </row>
    <row r="97" spans="3:13">
      <c r="C97" s="562" t="s">
        <v>815</v>
      </c>
      <c r="D97" s="426"/>
      <c r="E97" s="426"/>
      <c r="F97" s="424" t="s">
        <v>2</v>
      </c>
      <c r="G97" s="420" t="s">
        <v>833</v>
      </c>
      <c r="I97" s="425">
        <f t="shared" si="3"/>
        <v>1500</v>
      </c>
      <c r="J97" s="942">
        <f>IF(OR(TrafficControl!$I$20="Adding LPI's",TrafficControl!$I$34="To be replaced"),1,0)</f>
        <v>0</v>
      </c>
      <c r="K97" s="425">
        <f t="shared" si="4"/>
        <v>0</v>
      </c>
      <c r="M97" s="869"/>
    </row>
    <row r="98" spans="3:13">
      <c r="C98" s="562" t="s">
        <v>816</v>
      </c>
      <c r="D98" s="427"/>
      <c r="F98" s="424" t="s">
        <v>2</v>
      </c>
      <c r="G98" s="420" t="s">
        <v>830</v>
      </c>
      <c r="I98" s="425">
        <f t="shared" si="3"/>
        <v>1500</v>
      </c>
      <c r="J98" s="942">
        <f>IF(OR(TrafficControl!$I$20="Adding LPI's",TrafficControl!$I$34="To be replaced",TrafficControl!$I$20="New Construction"),1,0)</f>
        <v>0</v>
      </c>
      <c r="K98" s="425">
        <f t="shared" si="4"/>
        <v>0</v>
      </c>
      <c r="M98" s="869"/>
    </row>
    <row r="99" spans="3:13">
      <c r="C99" s="562" t="s">
        <v>817</v>
      </c>
      <c r="F99" s="424" t="s">
        <v>2</v>
      </c>
      <c r="G99" s="420" t="s">
        <v>830</v>
      </c>
      <c r="I99" s="425">
        <f t="shared" si="3"/>
        <v>5000</v>
      </c>
      <c r="J99" s="942">
        <f>J98</f>
        <v>0</v>
      </c>
      <c r="K99" s="425">
        <f t="shared" si="4"/>
        <v>0</v>
      </c>
      <c r="M99" s="869"/>
    </row>
    <row r="100" spans="3:13">
      <c r="C100" s="562" t="s">
        <v>818</v>
      </c>
      <c r="D100" s="420"/>
      <c r="E100" s="420"/>
      <c r="F100" s="424" t="s">
        <v>2</v>
      </c>
      <c r="G100" s="420" t="s">
        <v>830</v>
      </c>
      <c r="I100" s="425">
        <f t="shared" si="3"/>
        <v>21500</v>
      </c>
      <c r="J100" s="942">
        <f>J99</f>
        <v>0</v>
      </c>
      <c r="K100" s="425">
        <f t="shared" si="4"/>
        <v>0</v>
      </c>
      <c r="M100" s="869"/>
    </row>
    <row r="101" spans="3:13">
      <c r="C101" s="562" t="s">
        <v>819</v>
      </c>
      <c r="F101" s="421" t="s">
        <v>2</v>
      </c>
      <c r="G101" s="420" t="s">
        <v>834</v>
      </c>
      <c r="I101" s="425">
        <f t="shared" si="3"/>
        <v>1500</v>
      </c>
      <c r="J101" s="942">
        <f>IF(OR(TrafficControl!$I$20="New Construction",TrafficControl!$I$20="Upgrade/Retrofit"),TrafficControl!$I$39-TrafficControl!$I$29,0)</f>
        <v>0</v>
      </c>
      <c r="K101" s="425">
        <f t="shared" si="4"/>
        <v>0</v>
      </c>
      <c r="M101" s="869"/>
    </row>
    <row r="102" spans="3:13">
      <c r="C102" s="562" t="s">
        <v>820</v>
      </c>
      <c r="F102" s="421" t="s">
        <v>2</v>
      </c>
      <c r="G102" s="420" t="s">
        <v>834</v>
      </c>
      <c r="I102" s="425">
        <f t="shared" si="3"/>
        <v>1500</v>
      </c>
      <c r="J102" s="942">
        <f>J101</f>
        <v>0</v>
      </c>
      <c r="K102" s="425">
        <f t="shared" si="4"/>
        <v>0</v>
      </c>
      <c r="M102" s="869"/>
    </row>
    <row r="103" spans="3:13">
      <c r="C103" s="562" t="s">
        <v>821</v>
      </c>
      <c r="D103" s="428"/>
      <c r="E103" s="420"/>
      <c r="F103" s="424" t="s">
        <v>2</v>
      </c>
      <c r="G103" s="420" t="s">
        <v>831</v>
      </c>
      <c r="I103" s="425">
        <f t="shared" si="3"/>
        <v>5500</v>
      </c>
      <c r="J103" s="942">
        <f>SUM(J104:J106)</f>
        <v>0</v>
      </c>
      <c r="K103" s="425">
        <f t="shared" si="4"/>
        <v>0</v>
      </c>
      <c r="M103" s="869"/>
    </row>
    <row r="104" spans="3:13">
      <c r="C104" s="562" t="s">
        <v>822</v>
      </c>
      <c r="D104" s="428"/>
      <c r="E104" s="428"/>
      <c r="F104" s="424" t="s">
        <v>2</v>
      </c>
      <c r="G104" s="420" t="s">
        <v>1732</v>
      </c>
      <c r="I104" s="425">
        <f t="shared" si="3"/>
        <v>12000</v>
      </c>
      <c r="J104" s="942">
        <f>IF(OR(TrafficControl!$I$20="New Construction",TrafficControl!$I$20="Upgrade/Retrofit"),IF(TrafficControl!$I$18&gt;4,IF(TrafficControl!$I$16="Signalized",TrafficControl!$I$39-TrafficControl!$I$29,0),0),0)</f>
        <v>0</v>
      </c>
      <c r="K104" s="425">
        <f t="shared" si="4"/>
        <v>0</v>
      </c>
      <c r="M104" s="869"/>
    </row>
    <row r="105" spans="3:13">
      <c r="C105" s="428" t="s">
        <v>823</v>
      </c>
      <c r="D105" s="428"/>
      <c r="E105" s="428"/>
      <c r="F105" s="424" t="s">
        <v>2</v>
      </c>
      <c r="G105" s="420" t="s">
        <v>1731</v>
      </c>
      <c r="I105" s="425">
        <f t="shared" si="3"/>
        <v>10500</v>
      </c>
      <c r="J105" s="942">
        <f>IF(OR(TrafficControl!$I$20="New Construction",TrafficControl!$I$20="Upgrade/Retrofit"),IF(TrafficControl!$I$18&gt;2,IF(TrafficControl!$I$16="Signalized",TrafficControl!$I$39-TrafficControl!$I$29,0),0),0)-J104</f>
        <v>0</v>
      </c>
      <c r="K105" s="425">
        <f t="shared" si="4"/>
        <v>0</v>
      </c>
      <c r="M105" s="869"/>
    </row>
    <row r="106" spans="3:13">
      <c r="C106" s="428" t="s">
        <v>835</v>
      </c>
      <c r="D106" s="428"/>
      <c r="E106" s="428"/>
      <c r="F106" s="424" t="s">
        <v>2</v>
      </c>
      <c r="G106" s="420" t="s">
        <v>3780</v>
      </c>
      <c r="I106" s="425">
        <f t="shared" si="3"/>
        <v>8500</v>
      </c>
      <c r="J106" s="942">
        <f>IF(OR(TrafficControl!$I$20="New Construction",TrafficControl!$I$20="Upgrade/Retrofit"),IF(TrafficControl!$I$18&lt;3,IF(TrafficControl!$I$16="Signalized",TrafficControl!$I$39-TrafficControl!$I$29,0),0),0)</f>
        <v>0</v>
      </c>
      <c r="K106" s="425">
        <f t="shared" si="4"/>
        <v>0</v>
      </c>
      <c r="M106" s="869"/>
    </row>
    <row r="107" spans="3:13">
      <c r="C107" s="563" t="s">
        <v>824</v>
      </c>
      <c r="F107" s="424" t="s">
        <v>2</v>
      </c>
      <c r="G107" s="420" t="s">
        <v>3846</v>
      </c>
      <c r="I107" s="425">
        <f t="shared" si="3"/>
        <v>25000</v>
      </c>
      <c r="J107" s="942">
        <f>IF(AND(TrafficControl!$I$43="Video",NOT(TrafficControl!$I$33="Video")),1,0)</f>
        <v>0</v>
      </c>
      <c r="K107" s="425">
        <f t="shared" si="4"/>
        <v>0</v>
      </c>
      <c r="M107" s="869"/>
    </row>
    <row r="108" spans="3:13">
      <c r="C108" s="562" t="s">
        <v>825</v>
      </c>
      <c r="D108" s="420"/>
      <c r="E108" s="420"/>
      <c r="F108" s="424" t="s">
        <v>2</v>
      </c>
      <c r="G108" s="420"/>
      <c r="I108" s="425">
        <f t="shared" si="3"/>
        <v>8000</v>
      </c>
      <c r="J108" s="942">
        <f>IF(TrafficControl!$I$45="Yes",1,0)</f>
        <v>0</v>
      </c>
      <c r="K108" s="425">
        <f t="shared" si="4"/>
        <v>0</v>
      </c>
      <c r="M108" s="869"/>
    </row>
    <row r="109" spans="3:13">
      <c r="C109" s="420" t="s">
        <v>827</v>
      </c>
      <c r="D109" s="426"/>
      <c r="E109" s="96"/>
      <c r="F109" s="97" t="s">
        <v>2</v>
      </c>
      <c r="G109" s="420" t="s">
        <v>1729</v>
      </c>
      <c r="I109" s="425">
        <f t="shared" si="3"/>
        <v>500</v>
      </c>
      <c r="J109" s="942">
        <f>IF(OR(TrafficControl!$I$20="Signal Timing Updates",AND(NOT(TrafficControl!$I$44="No"),NOT(ISBLANK(TrafficControl!$I$44)))),1,0)</f>
        <v>0</v>
      </c>
      <c r="K109" s="425">
        <f t="shared" si="4"/>
        <v>0</v>
      </c>
      <c r="M109" s="869"/>
    </row>
    <row r="110" spans="3:13">
      <c r="C110" s="420" t="s">
        <v>3687</v>
      </c>
      <c r="D110" s="426"/>
      <c r="E110" s="96"/>
      <c r="F110" s="97" t="s">
        <v>2</v>
      </c>
      <c r="G110" s="420" t="s">
        <v>1568</v>
      </c>
      <c r="I110" s="429">
        <v>500</v>
      </c>
      <c r="J110" s="942">
        <f>IF(TrafficControl!$I$43="Loop",TrafficControl!$I$17*2,0)</f>
        <v>0</v>
      </c>
      <c r="K110" s="425">
        <f t="shared" si="4"/>
        <v>0</v>
      </c>
      <c r="M110" s="869"/>
    </row>
    <row r="111" spans="3:13">
      <c r="C111" s="1068" t="s">
        <v>828</v>
      </c>
      <c r="D111" s="1068"/>
      <c r="E111" s="1068"/>
      <c r="F111" s="97" t="s">
        <v>17</v>
      </c>
      <c r="G111" s="420" t="s">
        <v>3688</v>
      </c>
      <c r="I111" s="425">
        <f>I53</f>
        <v>18</v>
      </c>
      <c r="J111" s="942">
        <f>IF(TrafficControl!$I$43="Loop",TrafficControl!$I$17*1000,0)</f>
        <v>0</v>
      </c>
      <c r="K111" s="425">
        <f t="shared" si="4"/>
        <v>0</v>
      </c>
      <c r="M111" s="869"/>
    </row>
    <row r="112" spans="3:13">
      <c r="M112" s="673"/>
    </row>
    <row r="113" spans="2:13" ht="15.75" thickBot="1">
      <c r="B113" s="431"/>
      <c r="C113" s="431"/>
      <c r="D113" s="431"/>
      <c r="E113" s="431"/>
      <c r="F113" s="431"/>
      <c r="G113" s="431"/>
      <c r="H113" s="431"/>
      <c r="I113" s="443" t="s">
        <v>826</v>
      </c>
      <c r="J113" s="443">
        <v>816.03</v>
      </c>
      <c r="K113" s="566">
        <f>SUM(K87:K111)</f>
        <v>0</v>
      </c>
      <c r="L113" s="431"/>
      <c r="M113" s="673"/>
    </row>
    <row r="114" spans="2:13">
      <c r="C114" s="414" t="str">
        <f>D15</f>
        <v xml:space="preserve">Traffic Signal Location 4 - </v>
      </c>
      <c r="I114" s="427"/>
      <c r="J114" s="427"/>
      <c r="M114" s="673"/>
    </row>
    <row r="115" spans="2:13">
      <c r="C115" s="420"/>
      <c r="D115" s="421"/>
      <c r="E115" s="422"/>
      <c r="F115" s="423" t="s">
        <v>803</v>
      </c>
      <c r="G115" s="423" t="s">
        <v>829</v>
      </c>
      <c r="I115" s="423" t="s">
        <v>804</v>
      </c>
      <c r="J115" s="423" t="s">
        <v>805</v>
      </c>
      <c r="K115" s="423" t="s">
        <v>806</v>
      </c>
      <c r="M115" s="673"/>
    </row>
    <row r="116" spans="2:13">
      <c r="C116" s="562" t="s">
        <v>807</v>
      </c>
      <c r="F116" s="424" t="s">
        <v>2</v>
      </c>
      <c r="G116" s="420" t="s">
        <v>1795</v>
      </c>
      <c r="I116" s="425">
        <f t="shared" ref="I116:I138" si="5">I87</f>
        <v>1500</v>
      </c>
      <c r="J116" s="942">
        <f>IF(OR(TrafficControl!$J$20="Upgrade/Retrofit",TrafficControl!$J$20="New Construction"),TrafficControl!$J$40-TrafficControl!$J$30,0)</f>
        <v>0</v>
      </c>
      <c r="K116" s="425">
        <f t="shared" ref="K116:K140" si="6">IF(M116="",ROUND(I116*J116,-1),ROUND(M116*J116,-1))</f>
        <v>0</v>
      </c>
      <c r="M116" s="869"/>
    </row>
    <row r="117" spans="2:13">
      <c r="C117" s="562" t="s">
        <v>1569</v>
      </c>
      <c r="F117" s="424" t="s">
        <v>2</v>
      </c>
      <c r="G117" s="420" t="s">
        <v>3862</v>
      </c>
      <c r="I117" s="425">
        <f t="shared" si="5"/>
        <v>2500</v>
      </c>
      <c r="J117" s="942">
        <f>IF(OR(TrafficControl!$J$20="Upgrade/Retrofit",TrafficControl!$J$20="New Construction"),IF(TrafficControl!$J$18&gt;2,1,0)+IF(TrafficControl!$J$19&gt;2,1,0),0)</f>
        <v>0</v>
      </c>
      <c r="K117" s="425">
        <f t="shared" si="6"/>
        <v>0</v>
      </c>
      <c r="M117" s="869"/>
    </row>
    <row r="118" spans="2:13">
      <c r="C118" s="562" t="s">
        <v>809</v>
      </c>
      <c r="D118" s="420"/>
      <c r="E118" s="420"/>
      <c r="F118" s="424" t="s">
        <v>17</v>
      </c>
      <c r="G118" s="420" t="s">
        <v>1715</v>
      </c>
      <c r="I118" s="425">
        <f t="shared" si="5"/>
        <v>9</v>
      </c>
      <c r="J118" s="942">
        <f>IF(TrafficControl!$J$16="Signalized",IF(TrafficControl!$J$20="New Construction",500,0),0)</f>
        <v>0</v>
      </c>
      <c r="K118" s="425">
        <f t="shared" si="6"/>
        <v>0</v>
      </c>
      <c r="M118" s="869"/>
    </row>
    <row r="119" spans="2:13">
      <c r="C119" s="562" t="s">
        <v>810</v>
      </c>
      <c r="D119" s="421"/>
      <c r="E119" s="420"/>
      <c r="F119" s="424" t="s">
        <v>2</v>
      </c>
      <c r="G119" s="420" t="s">
        <v>3863</v>
      </c>
      <c r="I119" s="425">
        <f t="shared" si="5"/>
        <v>1500</v>
      </c>
      <c r="J119" s="942">
        <f>IF(OR(TrafficControl!$J$20="Upgrade/Retrofit",TrafficControl!$J$20="New Construction"),TrafficControl!$J$41-TrafficControl!$J$31,0)</f>
        <v>0</v>
      </c>
      <c r="K119" s="425">
        <f t="shared" si="6"/>
        <v>0</v>
      </c>
      <c r="M119" s="869"/>
    </row>
    <row r="120" spans="2:13">
      <c r="C120" s="562" t="s">
        <v>811</v>
      </c>
      <c r="D120" s="426"/>
      <c r="E120" s="426"/>
      <c r="F120" s="424" t="s">
        <v>2</v>
      </c>
      <c r="G120" s="420" t="s">
        <v>3863</v>
      </c>
      <c r="I120" s="425">
        <f t="shared" si="5"/>
        <v>1000</v>
      </c>
      <c r="J120" s="942">
        <f>J119</f>
        <v>0</v>
      </c>
      <c r="K120" s="425">
        <f t="shared" si="6"/>
        <v>0</v>
      </c>
      <c r="M120" s="869"/>
    </row>
    <row r="121" spans="2:13">
      <c r="C121" s="562" t="s">
        <v>812</v>
      </c>
      <c r="D121" s="420"/>
      <c r="E121" s="420"/>
      <c r="F121" s="424" t="s">
        <v>2</v>
      </c>
      <c r="G121" s="420" t="s">
        <v>3863</v>
      </c>
      <c r="I121" s="425">
        <f t="shared" si="5"/>
        <v>900</v>
      </c>
      <c r="J121" s="942">
        <f>IF(OR(TrafficControl!$J$20="Upgrade/Retrofit",TrafficControl!$J$20="New Construction"),TrafficControl!$J$41-TrafficControl!$J$31,0)</f>
        <v>0</v>
      </c>
      <c r="K121" s="425">
        <f t="shared" si="6"/>
        <v>0</v>
      </c>
      <c r="M121" s="869"/>
    </row>
    <row r="122" spans="2:13">
      <c r="C122" s="562" t="s">
        <v>1616</v>
      </c>
      <c r="F122" s="424" t="s">
        <v>2</v>
      </c>
      <c r="G122" s="563" t="s">
        <v>1593</v>
      </c>
      <c r="I122" s="425">
        <f t="shared" si="5"/>
        <v>2000</v>
      </c>
      <c r="J122" s="942">
        <f>IF(BasicProjectData!$G$18=3,0,IF(OR(TrafficControl!$J$20="Upgrade/Retrofit",TrafficControl!$J$20="New Construction"),TrafficControl!$J$38-TrafficControl!$J$28,0))</f>
        <v>0</v>
      </c>
      <c r="K122" s="425">
        <f t="shared" si="6"/>
        <v>0</v>
      </c>
      <c r="M122" s="869"/>
    </row>
    <row r="123" spans="2:13">
      <c r="C123" s="562" t="s">
        <v>1693</v>
      </c>
      <c r="F123" s="424" t="s">
        <v>2</v>
      </c>
      <c r="G123" s="563" t="s">
        <v>1593</v>
      </c>
      <c r="I123" s="425">
        <f t="shared" si="5"/>
        <v>2500</v>
      </c>
      <c r="J123" s="942">
        <f>IF(BasicProjectData!$G$18=3,IF(OR(TrafficControl!$J$20="Upgrade/Retrofit",TrafficControl!$J$20="New Construction"),TrafficControl!$J$38-TrafficControl!$J$28,0),0)</f>
        <v>0</v>
      </c>
      <c r="K123" s="425">
        <f t="shared" si="6"/>
        <v>0</v>
      </c>
      <c r="M123" s="869"/>
    </row>
    <row r="124" spans="2:13">
      <c r="C124" s="562" t="s">
        <v>813</v>
      </c>
      <c r="D124" s="420"/>
      <c r="E124" s="420"/>
      <c r="F124" s="424" t="s">
        <v>2</v>
      </c>
      <c r="G124" s="420" t="s">
        <v>1730</v>
      </c>
      <c r="I124" s="425">
        <f t="shared" si="5"/>
        <v>750</v>
      </c>
      <c r="J124" s="942">
        <f>SUM(J121:J123)</f>
        <v>0</v>
      </c>
      <c r="K124" s="425">
        <f t="shared" si="6"/>
        <v>0</v>
      </c>
      <c r="M124" s="869"/>
    </row>
    <row r="125" spans="2:13">
      <c r="C125" s="562" t="s">
        <v>814</v>
      </c>
      <c r="D125" s="426"/>
      <c r="E125" s="426"/>
      <c r="F125" s="424" t="s">
        <v>2</v>
      </c>
      <c r="G125" s="420" t="s">
        <v>832</v>
      </c>
      <c r="I125" s="425">
        <f t="shared" si="5"/>
        <v>500</v>
      </c>
      <c r="J125" s="942">
        <f>IF(AND(TrafficControl!$J$16="Signalized",OR(TrafficControl!$J$20="New Construction",TrafficControl!$J$20="Upgrade/Retrofit")),TrafficControl!$J$38-TrafficControl!$J$28,0)</f>
        <v>0</v>
      </c>
      <c r="K125" s="425">
        <f t="shared" si="6"/>
        <v>0</v>
      </c>
      <c r="M125" s="869"/>
    </row>
    <row r="126" spans="2:13">
      <c r="C126" s="562" t="s">
        <v>815</v>
      </c>
      <c r="D126" s="426"/>
      <c r="E126" s="426"/>
      <c r="F126" s="424" t="s">
        <v>2</v>
      </c>
      <c r="G126" s="420" t="s">
        <v>833</v>
      </c>
      <c r="I126" s="425">
        <f t="shared" si="5"/>
        <v>1500</v>
      </c>
      <c r="J126" s="942">
        <f>IF(OR(TrafficControl!$J$20="Adding LPI's",TrafficControl!$J$34="To be replaced"),1,0)</f>
        <v>0</v>
      </c>
      <c r="K126" s="425">
        <f t="shared" si="6"/>
        <v>0</v>
      </c>
      <c r="M126" s="869"/>
    </row>
    <row r="127" spans="2:13">
      <c r="C127" s="562" t="s">
        <v>816</v>
      </c>
      <c r="D127" s="427"/>
      <c r="F127" s="424" t="s">
        <v>2</v>
      </c>
      <c r="G127" s="420" t="s">
        <v>830</v>
      </c>
      <c r="I127" s="425">
        <f t="shared" si="5"/>
        <v>1500</v>
      </c>
      <c r="J127" s="942">
        <f>IF(OR(TrafficControl!$J$20="Adding LPI's",TrafficControl!$J$34="To be replaced",TrafficControl!$J$20="New Construction"),1,0)</f>
        <v>0</v>
      </c>
      <c r="K127" s="425">
        <f t="shared" si="6"/>
        <v>0</v>
      </c>
      <c r="M127" s="869"/>
    </row>
    <row r="128" spans="2:13">
      <c r="C128" s="562" t="s">
        <v>817</v>
      </c>
      <c r="F128" s="424" t="s">
        <v>2</v>
      </c>
      <c r="G128" s="420" t="s">
        <v>830</v>
      </c>
      <c r="I128" s="425">
        <f t="shared" si="5"/>
        <v>5000</v>
      </c>
      <c r="J128" s="942">
        <f>J127</f>
        <v>0</v>
      </c>
      <c r="K128" s="425">
        <f t="shared" si="6"/>
        <v>0</v>
      </c>
      <c r="M128" s="869"/>
    </row>
    <row r="129" spans="3:13">
      <c r="C129" s="562" t="s">
        <v>818</v>
      </c>
      <c r="D129" s="420"/>
      <c r="E129" s="420"/>
      <c r="F129" s="424" t="s">
        <v>2</v>
      </c>
      <c r="G129" s="420" t="s">
        <v>830</v>
      </c>
      <c r="I129" s="425">
        <f t="shared" si="5"/>
        <v>21500</v>
      </c>
      <c r="J129" s="942">
        <f>J128</f>
        <v>0</v>
      </c>
      <c r="K129" s="425">
        <f t="shared" si="6"/>
        <v>0</v>
      </c>
      <c r="M129" s="869"/>
    </row>
    <row r="130" spans="3:13">
      <c r="C130" s="562" t="s">
        <v>819</v>
      </c>
      <c r="F130" s="421" t="s">
        <v>2</v>
      </c>
      <c r="G130" s="420" t="s">
        <v>834</v>
      </c>
      <c r="I130" s="425">
        <f t="shared" si="5"/>
        <v>1500</v>
      </c>
      <c r="J130" s="942">
        <f>IF(OR(TrafficControl!$J$20="New Construction",TrafficControl!$J$20="Upgrade/Retrofit"),TrafficControl!$J$39-TrafficControl!$J$29,0)</f>
        <v>0</v>
      </c>
      <c r="K130" s="425">
        <f t="shared" si="6"/>
        <v>0</v>
      </c>
      <c r="M130" s="869"/>
    </row>
    <row r="131" spans="3:13">
      <c r="C131" s="562" t="s">
        <v>820</v>
      </c>
      <c r="F131" s="421" t="s">
        <v>2</v>
      </c>
      <c r="G131" s="420" t="s">
        <v>834</v>
      </c>
      <c r="I131" s="425">
        <f t="shared" si="5"/>
        <v>1500</v>
      </c>
      <c r="J131" s="942">
        <f>J130</f>
        <v>0</v>
      </c>
      <c r="K131" s="425">
        <f t="shared" si="6"/>
        <v>0</v>
      </c>
      <c r="M131" s="869"/>
    </row>
    <row r="132" spans="3:13">
      <c r="C132" s="562" t="s">
        <v>821</v>
      </c>
      <c r="D132" s="428"/>
      <c r="E132" s="420"/>
      <c r="F132" s="424" t="s">
        <v>2</v>
      </c>
      <c r="G132" s="420" t="s">
        <v>831</v>
      </c>
      <c r="I132" s="425">
        <f t="shared" si="5"/>
        <v>5500</v>
      </c>
      <c r="J132" s="942">
        <f>SUM(J133:J135)</f>
        <v>0</v>
      </c>
      <c r="K132" s="425">
        <f t="shared" si="6"/>
        <v>0</v>
      </c>
      <c r="M132" s="869"/>
    </row>
    <row r="133" spans="3:13">
      <c r="C133" s="562" t="s">
        <v>822</v>
      </c>
      <c r="D133" s="428"/>
      <c r="E133" s="428"/>
      <c r="F133" s="424" t="s">
        <v>2</v>
      </c>
      <c r="G133" s="420" t="s">
        <v>1732</v>
      </c>
      <c r="I133" s="425">
        <f t="shared" si="5"/>
        <v>12000</v>
      </c>
      <c r="J133" s="942">
        <f>IF(OR(TrafficControl!$J$20="New Construction",TrafficControl!$J$20="Upgrade/Retrofit"),IF(TrafficControl!$J$18&gt;4,IF(TrafficControl!$J$16="Signalized",TrafficControl!$J$39-TrafficControl!$J$29,0),0),0)</f>
        <v>0</v>
      </c>
      <c r="K133" s="425">
        <f t="shared" si="6"/>
        <v>0</v>
      </c>
      <c r="M133" s="869"/>
    </row>
    <row r="134" spans="3:13">
      <c r="C134" s="428" t="s">
        <v>823</v>
      </c>
      <c r="D134" s="428"/>
      <c r="E134" s="428"/>
      <c r="F134" s="424" t="s">
        <v>2</v>
      </c>
      <c r="G134" s="420" t="s">
        <v>1731</v>
      </c>
      <c r="I134" s="425">
        <f t="shared" si="5"/>
        <v>10500</v>
      </c>
      <c r="J134" s="942">
        <f>IF(OR(TrafficControl!$J$20="New Construction",TrafficControl!$J$20="Upgrade/Retrofit"),IF(TrafficControl!$J$18&gt;2,IF(TrafficControl!$J$16="Signalized",TrafficControl!$J$39-TrafficControl!$J$29,0),0),0)-J133</f>
        <v>0</v>
      </c>
      <c r="K134" s="425">
        <f t="shared" si="6"/>
        <v>0</v>
      </c>
      <c r="M134" s="869"/>
    </row>
    <row r="135" spans="3:13">
      <c r="C135" s="428" t="s">
        <v>835</v>
      </c>
      <c r="D135" s="428"/>
      <c r="E135" s="428"/>
      <c r="F135" s="424" t="s">
        <v>2</v>
      </c>
      <c r="G135" s="420" t="s">
        <v>3780</v>
      </c>
      <c r="I135" s="425">
        <f t="shared" si="5"/>
        <v>8500</v>
      </c>
      <c r="J135" s="942">
        <f>IF(OR(TrafficControl!$J$20="New Construction",TrafficControl!$J$20="Upgrade/Retrofit"),IF(TrafficControl!$J$18&lt;3,IF(TrafficControl!$J$16="Signalized",TrafficControl!$J$39-TrafficControl!$J$29,0),0),0)</f>
        <v>0</v>
      </c>
      <c r="K135" s="425">
        <f t="shared" si="6"/>
        <v>0</v>
      </c>
      <c r="M135" s="869"/>
    </row>
    <row r="136" spans="3:13">
      <c r="C136" s="563" t="s">
        <v>824</v>
      </c>
      <c r="F136" s="424" t="s">
        <v>2</v>
      </c>
      <c r="G136" s="420" t="s">
        <v>3846</v>
      </c>
      <c r="I136" s="425">
        <f t="shared" si="5"/>
        <v>25000</v>
      </c>
      <c r="J136" s="942">
        <f>IF(AND(TrafficControl!$J$43="Video",NOT(TrafficControl!$J$33="Video")),1,0)</f>
        <v>0</v>
      </c>
      <c r="K136" s="425">
        <f t="shared" si="6"/>
        <v>0</v>
      </c>
      <c r="M136" s="869"/>
    </row>
    <row r="137" spans="3:13">
      <c r="C137" s="562" t="s">
        <v>825</v>
      </c>
      <c r="D137" s="420"/>
      <c r="E137" s="420"/>
      <c r="F137" s="424" t="s">
        <v>2</v>
      </c>
      <c r="G137" s="420"/>
      <c r="I137" s="425">
        <f t="shared" si="5"/>
        <v>8000</v>
      </c>
      <c r="J137" s="942">
        <f>IF(TrafficControl!$J$45="Yes",1,0)</f>
        <v>0</v>
      </c>
      <c r="K137" s="425">
        <f t="shared" si="6"/>
        <v>0</v>
      </c>
      <c r="M137" s="869"/>
    </row>
    <row r="138" spans="3:13">
      <c r="C138" s="420" t="s">
        <v>827</v>
      </c>
      <c r="D138" s="426"/>
      <c r="E138" s="96"/>
      <c r="F138" s="97" t="s">
        <v>2</v>
      </c>
      <c r="G138" s="420" t="s">
        <v>1729</v>
      </c>
      <c r="I138" s="425">
        <f t="shared" si="5"/>
        <v>500</v>
      </c>
      <c r="J138" s="942">
        <f>IF(OR(TrafficControl!$J$20="Signal Timing Updates",AND(NOT(TrafficControl!$J$44="No"),NOT(ISBLANK(TrafficControl!$J$44)))),1,0)</f>
        <v>0</v>
      </c>
      <c r="K138" s="425">
        <f t="shared" si="6"/>
        <v>0</v>
      </c>
      <c r="M138" s="869"/>
    </row>
    <row r="139" spans="3:13">
      <c r="C139" s="420" t="s">
        <v>3687</v>
      </c>
      <c r="D139" s="426"/>
      <c r="E139" s="96"/>
      <c r="F139" s="97" t="s">
        <v>2</v>
      </c>
      <c r="G139" s="420" t="s">
        <v>1568</v>
      </c>
      <c r="I139" s="429">
        <v>500</v>
      </c>
      <c r="J139" s="942">
        <f>IF(TrafficControl!$J$43="Loop",TrafficControl!$J$17*2,0)</f>
        <v>0</v>
      </c>
      <c r="K139" s="425">
        <f t="shared" si="6"/>
        <v>0</v>
      </c>
      <c r="M139" s="869"/>
    </row>
    <row r="140" spans="3:13">
      <c r="C140" s="1068" t="s">
        <v>828</v>
      </c>
      <c r="D140" s="1068"/>
      <c r="E140" s="1068"/>
      <c r="F140" s="97" t="s">
        <v>17</v>
      </c>
      <c r="G140" s="420" t="s">
        <v>3688</v>
      </c>
      <c r="I140" s="425">
        <f>I111</f>
        <v>18</v>
      </c>
      <c r="J140" s="942">
        <f>IF(TrafficControl!$J$43="Loop",TrafficControl!$J$17*1000,0)</f>
        <v>0</v>
      </c>
      <c r="K140" s="425">
        <f t="shared" si="6"/>
        <v>0</v>
      </c>
      <c r="M140" s="869"/>
    </row>
    <row r="142" spans="3:13">
      <c r="I142" s="413" t="s">
        <v>826</v>
      </c>
      <c r="J142" s="413">
        <v>816.04</v>
      </c>
      <c r="K142" s="565">
        <f>SUM(K116:K140)</f>
        <v>0</v>
      </c>
    </row>
  </sheetData>
  <sheetProtection algorithmName="SHA-512" hashValue="F6jcjqonfeT0K8YWFBbB3GulSLG04vgGxuIFAu+Xa1w8KRuSwauVCvZlWrP7YGtZpYO5lpvQOi5EeG1tWc1vdw==" saltValue="X9eG2KbaIlHUHRLLc9qspw==" spinCount="100000" sheet="1" objects="1" scenarios="1"/>
  <mergeCells count="22">
    <mergeCell ref="D24:G24"/>
    <mergeCell ref="D19:G19"/>
    <mergeCell ref="M7:M8"/>
    <mergeCell ref="K3:L3"/>
    <mergeCell ref="K4:L4"/>
    <mergeCell ref="D6:K6"/>
    <mergeCell ref="D9:G9"/>
    <mergeCell ref="D8:G8"/>
    <mergeCell ref="D10:G10"/>
    <mergeCell ref="D12:G12"/>
    <mergeCell ref="D14:G14"/>
    <mergeCell ref="D16:G16"/>
    <mergeCell ref="D18:G18"/>
    <mergeCell ref="D11:G11"/>
    <mergeCell ref="D13:G13"/>
    <mergeCell ref="D15:G15"/>
    <mergeCell ref="A4:A8"/>
    <mergeCell ref="D20:G20"/>
    <mergeCell ref="D21:G21"/>
    <mergeCell ref="D22:G22"/>
    <mergeCell ref="D23:G23"/>
    <mergeCell ref="D17:G17"/>
  </mergeCells>
  <conditionalFormatting sqref="D3:D4">
    <cfRule type="expression" dxfId="20" priority="5">
      <formula>D3=""</formula>
    </cfRule>
  </conditionalFormatting>
  <conditionalFormatting sqref="F3:F4">
    <cfRule type="expression" dxfId="19" priority="3">
      <formula>F3=""</formula>
    </cfRule>
  </conditionalFormatting>
  <conditionalFormatting sqref="J3">
    <cfRule type="expression" dxfId="18" priority="1">
      <formula>J3=""</formula>
    </cfRule>
  </conditionalFormatting>
  <conditionalFormatting sqref="K3:K4">
    <cfRule type="expression" dxfId="17" priority="2">
      <formula>K3=""</formula>
    </cfRule>
  </conditionalFormatting>
  <pageMargins left="0.75" right="0.75" top="1" bottom="1" header="0.5" footer="0.5"/>
  <pageSetup scale="65" fitToHeight="0" orientation="portrait" r:id="rId1"/>
  <headerFooter alignWithMargins="0">
    <oddHeader>&amp;C&amp;"Arial,Bold Italic"&amp;20DRAFT - TOOL STILL IN PRODUCTION</oddHeader>
    <oddFooter>&amp;C&amp;"Futura Bk BT,Book"Page &amp;P</oddFooter>
  </headerFooter>
  <colBreaks count="1" manualBreakCount="1">
    <brk id="22" min="1" max="62" man="1"/>
  </colBreaks>
  <ignoredErrors>
    <ignoredError sqref="J43 J33" formula="1"/>
    <ignoredError sqref="J37" evalError="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7D7EE-23E9-47B9-BF66-6924AF6710EE}">
  <sheetPr codeName="Sheet62">
    <tabColor theme="0" tint="-0.249977111117893"/>
    <pageSetUpPr fitToPage="1"/>
  </sheetPr>
  <dimension ref="A1:Q26"/>
  <sheetViews>
    <sheetView workbookViewId="0">
      <selection activeCell="X15" sqref="X15"/>
    </sheetView>
  </sheetViews>
  <sheetFormatPr defaultColWidth="9.140625" defaultRowHeight="15"/>
  <cols>
    <col min="1" max="1" width="12" style="159" customWidth="1"/>
    <col min="2" max="2" width="1.7109375" style="161" customWidth="1"/>
    <col min="3" max="3" width="8.7109375" style="161" customWidth="1"/>
    <col min="4" max="5" width="11.28515625" style="161" customWidth="1"/>
    <col min="6" max="6" width="4.140625" style="161" customWidth="1"/>
    <col min="7" max="11" width="11.28515625" style="161" customWidth="1"/>
    <col min="12" max="12" width="1.7109375" style="161" customWidth="1"/>
    <col min="13" max="16384" width="9.140625" style="159"/>
  </cols>
  <sheetData>
    <row r="1" spans="1:17" ht="15.75" thickBot="1"/>
    <row r="2" spans="1:17">
      <c r="B2" s="162"/>
      <c r="C2" s="163" t="s">
        <v>8</v>
      </c>
      <c r="D2" s="866"/>
      <c r="E2" s="163" t="s">
        <v>9</v>
      </c>
      <c r="F2" s="1233"/>
      <c r="G2" s="1233"/>
      <c r="H2" s="273"/>
      <c r="I2" s="149" t="s">
        <v>1613</v>
      </c>
      <c r="J2" s="1220">
        <f>BasicProjectData!$G$17</f>
        <v>0</v>
      </c>
      <c r="K2" s="1220"/>
      <c r="L2" s="164"/>
    </row>
    <row r="3" spans="1:17">
      <c r="B3" s="165"/>
      <c r="C3" s="166" t="s">
        <v>10</v>
      </c>
      <c r="D3" s="867"/>
      <c r="E3" s="166" t="s">
        <v>9</v>
      </c>
      <c r="F3" s="1234"/>
      <c r="G3" s="1234"/>
      <c r="H3" s="159"/>
      <c r="I3" s="150" t="s">
        <v>11</v>
      </c>
      <c r="J3" s="1222">
        <f>BasicProjectData!E7</f>
        <v>0</v>
      </c>
      <c r="K3" s="1222"/>
      <c r="L3" s="167"/>
    </row>
    <row r="4" spans="1:17" ht="15.75" thickBot="1">
      <c r="A4" s="1218" t="s">
        <v>3954</v>
      </c>
      <c r="B4" s="168"/>
      <c r="C4" s="169"/>
      <c r="D4" s="170"/>
      <c r="E4" s="171"/>
      <c r="F4" s="172"/>
      <c r="G4" s="460"/>
      <c r="H4" s="171"/>
      <c r="I4" s="171"/>
      <c r="J4" s="174"/>
      <c r="K4" s="174"/>
      <c r="L4" s="175"/>
    </row>
    <row r="5" spans="1:17" ht="15" customHeight="1">
      <c r="A5" s="1218"/>
      <c r="B5" s="176"/>
      <c r="C5" s="177"/>
      <c r="D5" s="177"/>
      <c r="E5" s="177"/>
      <c r="F5" s="177"/>
      <c r="G5" s="177"/>
      <c r="H5" s="177"/>
      <c r="I5" s="177"/>
      <c r="J5" s="177"/>
      <c r="K5" s="177"/>
      <c r="L5" s="176"/>
    </row>
    <row r="6" spans="1:17" ht="14.25" customHeight="1">
      <c r="A6" s="1218"/>
      <c r="B6" s="179"/>
      <c r="C6" s="1225" t="s">
        <v>3718</v>
      </c>
      <c r="D6" s="1225"/>
      <c r="E6" s="1225"/>
      <c r="F6" s="1225"/>
      <c r="G6" s="1225"/>
      <c r="H6" s="1225"/>
      <c r="I6" s="1225"/>
      <c r="J6" s="1225"/>
      <c r="K6" s="1225"/>
      <c r="L6" s="179"/>
    </row>
    <row r="7" spans="1:17" ht="14.25" customHeight="1">
      <c r="A7" s="1218"/>
      <c r="B7" s="180"/>
      <c r="C7" s="1225" t="s">
        <v>1218</v>
      </c>
      <c r="D7" s="1225"/>
      <c r="E7" s="1225"/>
      <c r="F7" s="1225"/>
      <c r="G7" s="1225"/>
      <c r="H7" s="1225"/>
      <c r="I7" s="1225"/>
      <c r="J7" s="1225"/>
      <c r="K7" s="1225"/>
      <c r="L7" s="180"/>
      <c r="M7" s="1244" t="s">
        <v>3923</v>
      </c>
      <c r="P7" s="40"/>
    </row>
    <row r="8" spans="1:17" ht="14.25" customHeight="1">
      <c r="A8" s="1218"/>
      <c r="B8" s="180"/>
      <c r="C8" s="182"/>
      <c r="D8" s="182"/>
      <c r="E8" s="182"/>
      <c r="F8" s="182"/>
      <c r="G8" s="182"/>
      <c r="H8" s="182"/>
      <c r="I8" s="182"/>
      <c r="J8" s="182"/>
      <c r="K8" s="182"/>
      <c r="L8" s="180"/>
      <c r="M8" s="1245"/>
      <c r="P8" s="40"/>
    </row>
    <row r="9" spans="1:17">
      <c r="A9" s="868" t="str">
        <f ca="1">IFERROR(HYPERLINK("#"&amp;"ProjectEstimate!A"&amp;(8+MATCH($C9,ProjectEstimate!$A$9:$A$145,0)),CONCATENATE("Go to ",$C9))," ")</f>
        <v xml:space="preserve"> </v>
      </c>
      <c r="B9" s="183"/>
      <c r="C9" s="270">
        <v>707.1</v>
      </c>
      <c r="D9" s="1227" t="s">
        <v>60</v>
      </c>
      <c r="E9" s="1227"/>
      <c r="F9" s="1227"/>
      <c r="G9" s="1227"/>
      <c r="H9" s="152">
        <f>ROUNDUP(E11,0)</f>
        <v>0</v>
      </c>
      <c r="I9" s="153" t="s">
        <v>2</v>
      </c>
      <c r="J9" s="154">
        <f ca="1">IF(ISBLANK(M9),_xlfn.XLOOKUP(C9,Output[Item '#],Output[Unit Price (Max or Override)]),M9)</f>
        <v>4637</v>
      </c>
      <c r="K9" s="205">
        <f ca="1">ROUND(H9*J9, -1)</f>
        <v>0</v>
      </c>
      <c r="L9" s="183"/>
      <c r="M9" s="869"/>
      <c r="P9" s="40"/>
    </row>
    <row r="10" spans="1:17" ht="15.75" thickBot="1">
      <c r="B10" s="183"/>
      <c r="C10" s="157"/>
      <c r="D10" s="157"/>
      <c r="E10" s="157"/>
      <c r="F10" s="157"/>
      <c r="G10" s="157"/>
      <c r="H10" s="152"/>
      <c r="I10" s="153"/>
      <c r="J10" s="154"/>
      <c r="K10" s="205"/>
      <c r="L10" s="183"/>
      <c r="M10" s="662"/>
      <c r="P10" s="40"/>
    </row>
    <row r="11" spans="1:17" ht="15.75" thickBot="1">
      <c r="B11" s="183"/>
      <c r="C11" s="157"/>
      <c r="D11" s="234" t="s">
        <v>3716</v>
      </c>
      <c r="E11" s="461">
        <f>Multimodal!I37</f>
        <v>0</v>
      </c>
      <c r="F11" s="122"/>
      <c r="G11" s="183"/>
      <c r="H11" s="183"/>
      <c r="I11" s="183"/>
      <c r="J11" s="196" t="s">
        <v>3717</v>
      </c>
      <c r="K11" s="205"/>
      <c r="L11" s="183"/>
      <c r="M11" s="662"/>
      <c r="P11" s="40"/>
    </row>
    <row r="12" spans="1:17">
      <c r="B12" s="183"/>
      <c r="C12" s="157"/>
      <c r="D12" s="157"/>
      <c r="E12" s="157"/>
      <c r="F12" s="157"/>
      <c r="G12" s="157"/>
      <c r="H12" s="152"/>
      <c r="I12" s="153"/>
      <c r="J12" s="154"/>
      <c r="K12" s="205"/>
      <c r="L12" s="183"/>
      <c r="M12" s="662"/>
      <c r="P12" s="40"/>
    </row>
    <row r="13" spans="1:17">
      <c r="A13" s="868" t="str">
        <f ca="1">IFERROR(HYPERLINK("#"&amp;"ProjectEstimate!A"&amp;(8+MATCH($C13,ProjectEstimate!$A$9:$A$145,0)),CONCATENATE("Go to ",$C13))," ")</f>
        <v xml:space="preserve"> </v>
      </c>
      <c r="B13" s="183"/>
      <c r="C13" s="270">
        <v>707.9</v>
      </c>
      <c r="D13" s="1227" t="s">
        <v>61</v>
      </c>
      <c r="E13" s="1227"/>
      <c r="F13" s="1227"/>
      <c r="G13" s="1227"/>
      <c r="H13" s="152">
        <f>ROUNDUP(E15,0)</f>
        <v>0</v>
      </c>
      <c r="I13" s="153" t="s">
        <v>2</v>
      </c>
      <c r="J13" s="154">
        <f ca="1">IF(ISBLANK(M13),_xlfn.XLOOKUP(C13,Output[Item '#],Output[Unit Price (Max or Override)]),M13)</f>
        <v>1942</v>
      </c>
      <c r="K13" s="205">
        <f ca="1">ROUND(H13*J13, -1)</f>
        <v>0</v>
      </c>
      <c r="L13" s="183"/>
      <c r="M13" s="869"/>
      <c r="Q13" s="233"/>
    </row>
    <row r="14" spans="1:17" ht="15.75" thickBot="1">
      <c r="B14" s="183"/>
      <c r="C14" s="157"/>
      <c r="D14" s="157"/>
      <c r="E14" s="157"/>
      <c r="F14" s="157"/>
      <c r="G14" s="157"/>
      <c r="H14" s="152"/>
      <c r="I14" s="153"/>
      <c r="J14" s="154"/>
      <c r="K14" s="205"/>
      <c r="L14" s="183"/>
      <c r="M14" s="662"/>
      <c r="Q14" s="197"/>
    </row>
    <row r="15" spans="1:17" ht="15.75" thickBot="1">
      <c r="B15" s="183"/>
      <c r="C15" s="157"/>
      <c r="D15" s="234" t="s">
        <v>3716</v>
      </c>
      <c r="E15" s="461">
        <f>Multimodal!I35</f>
        <v>0</v>
      </c>
      <c r="F15" s="122"/>
      <c r="G15" s="183"/>
      <c r="H15" s="183"/>
      <c r="I15" s="183"/>
      <c r="J15" s="196" t="s">
        <v>3717</v>
      </c>
      <c r="K15" s="205"/>
      <c r="L15" s="183"/>
      <c r="M15" s="662"/>
    </row>
    <row r="16" spans="1:17">
      <c r="B16" s="183"/>
      <c r="C16" s="157"/>
      <c r="D16" s="157"/>
      <c r="E16" s="157"/>
      <c r="F16" s="157"/>
      <c r="G16" s="157"/>
      <c r="H16" s="152"/>
      <c r="I16" s="153"/>
      <c r="J16" s="154"/>
      <c r="K16" s="205"/>
      <c r="L16" s="183"/>
      <c r="M16" s="662"/>
      <c r="P16" s="40"/>
    </row>
    <row r="17" spans="1:16">
      <c r="A17" s="868" t="str">
        <f ca="1">IFERROR(HYPERLINK("#"&amp;"ProjectEstimate!A"&amp;(8+MATCH($C17,ProjectEstimate!$A$9:$A$145,0)),CONCATENATE("Go to ",$C17))," ")</f>
        <v xml:space="preserve"> </v>
      </c>
      <c r="B17" s="183"/>
      <c r="C17" s="270">
        <v>745</v>
      </c>
      <c r="D17" s="1227" t="s">
        <v>1426</v>
      </c>
      <c r="E17" s="1227"/>
      <c r="F17" s="1227"/>
      <c r="G17" s="1227"/>
      <c r="H17" s="152">
        <f>ROUNDUP(E19,0)</f>
        <v>0</v>
      </c>
      <c r="I17" s="153" t="s">
        <v>2</v>
      </c>
      <c r="J17" s="154">
        <f ca="1">IF(ISBLANK(M17),_xlfn.XLOOKUP(C17,Output[Item '#],Output[Unit Price (Max or Override)]),M17)</f>
        <v>51667</v>
      </c>
      <c r="K17" s="205">
        <f ca="1">ROUND(H17*J17, -1)</f>
        <v>0</v>
      </c>
      <c r="L17" s="183"/>
      <c r="M17" s="869"/>
      <c r="P17" s="40"/>
    </row>
    <row r="18" spans="1:16" ht="15.75" thickBot="1">
      <c r="B18" s="183"/>
      <c r="C18" s="157"/>
      <c r="D18" s="157"/>
      <c r="E18" s="157"/>
      <c r="F18" s="157"/>
      <c r="G18" s="157"/>
      <c r="H18" s="152"/>
      <c r="I18" s="153"/>
      <c r="J18" s="154"/>
      <c r="K18" s="205"/>
      <c r="L18" s="183"/>
      <c r="M18" s="662"/>
      <c r="P18" s="40"/>
    </row>
    <row r="19" spans="1:16" ht="15.75" thickBot="1">
      <c r="B19" s="183"/>
      <c r="C19" s="157"/>
      <c r="D19" s="234" t="s">
        <v>3716</v>
      </c>
      <c r="E19" s="461">
        <f>Multimodal!I38</f>
        <v>0</v>
      </c>
      <c r="F19" s="122"/>
      <c r="G19" s="183"/>
      <c r="H19" s="183"/>
      <c r="I19" s="183"/>
      <c r="J19" s="196" t="s">
        <v>3717</v>
      </c>
      <c r="K19" s="205"/>
      <c r="L19" s="183"/>
      <c r="M19" s="662"/>
      <c r="P19" s="40"/>
    </row>
    <row r="20" spans="1:16">
      <c r="B20" s="183"/>
      <c r="C20" s="157"/>
      <c r="D20" s="193"/>
      <c r="E20" s="131"/>
      <c r="F20" s="131"/>
      <c r="G20" s="131"/>
      <c r="H20" s="227"/>
      <c r="I20" s="227"/>
      <c r="J20" s="154"/>
      <c r="K20" s="205"/>
      <c r="L20" s="183"/>
      <c r="M20" s="662"/>
      <c r="P20" s="40"/>
    </row>
    <row r="21" spans="1:16" ht="24" customHeight="1">
      <c r="A21" s="868" t="str">
        <f ca="1">IFERROR(HYPERLINK("#"&amp;"ProjectEstimate!A"&amp;(8+MATCH($C21,ProjectEstimate!$A$9:$A$145,0)),CONCATENATE("Go to ",$C21))," ")</f>
        <v xml:space="preserve"> </v>
      </c>
      <c r="B21" s="183"/>
      <c r="C21" s="270">
        <v>222.4</v>
      </c>
      <c r="D21" s="1248" t="s">
        <v>1301</v>
      </c>
      <c r="E21" s="1248"/>
      <c r="F21" s="1248"/>
      <c r="G21" s="1248"/>
      <c r="H21" s="152">
        <f>E23</f>
        <v>0</v>
      </c>
      <c r="I21" s="153" t="s">
        <v>2</v>
      </c>
      <c r="J21" s="154">
        <f ca="1">IF(ISBLANK(M21),_xlfn.XLOOKUP(C21,Output[Item '#],Output[Unit Price (Max or Override)]),M21)</f>
        <v>2533</v>
      </c>
      <c r="K21" s="205">
        <f ca="1">ROUND(H21*J21, -1)</f>
        <v>0</v>
      </c>
      <c r="L21" s="183"/>
      <c r="M21" s="869"/>
      <c r="P21" s="40"/>
    </row>
    <row r="22" spans="1:16" ht="15.75" thickBot="1">
      <c r="B22" s="183"/>
      <c r="C22" s="157"/>
      <c r="D22" s="157"/>
      <c r="E22" s="157"/>
      <c r="F22" s="157"/>
      <c r="G22" s="157"/>
      <c r="H22" s="152"/>
      <c r="I22" s="153"/>
      <c r="J22" s="154"/>
      <c r="K22" s="205"/>
      <c r="L22" s="183"/>
      <c r="M22" s="662"/>
      <c r="P22" s="40"/>
    </row>
    <row r="23" spans="1:16" ht="15.75" thickBot="1">
      <c r="B23" s="183"/>
      <c r="C23" s="157"/>
      <c r="D23" s="234" t="s">
        <v>3716</v>
      </c>
      <c r="E23" s="461">
        <f>Multimodal!I40</f>
        <v>0</v>
      </c>
      <c r="F23" s="197" t="s">
        <v>845</v>
      </c>
      <c r="G23" s="183"/>
      <c r="H23" s="183"/>
      <c r="I23" s="183"/>
      <c r="J23" s="196" t="s">
        <v>3717</v>
      </c>
      <c r="K23" s="205"/>
      <c r="L23" s="183"/>
      <c r="M23" s="662"/>
      <c r="P23" s="40"/>
    </row>
    <row r="24" spans="1:16">
      <c r="B24" s="183"/>
      <c r="C24" s="157"/>
      <c r="D24" s="193"/>
      <c r="E24" s="131"/>
      <c r="F24" s="131"/>
      <c r="G24" s="131"/>
      <c r="H24" s="227"/>
      <c r="I24" s="227"/>
      <c r="J24" s="154"/>
      <c r="K24" s="205"/>
      <c r="L24" s="183"/>
      <c r="M24" s="664"/>
      <c r="P24" s="40"/>
    </row>
    <row r="25" spans="1:16">
      <c r="B25" s="183"/>
      <c r="C25" s="122"/>
      <c r="D25" s="122"/>
      <c r="E25" s="122"/>
      <c r="F25" s="122"/>
      <c r="G25" s="200"/>
      <c r="H25" s="221"/>
      <c r="I25" s="200"/>
      <c r="J25" s="154" t="s">
        <v>826</v>
      </c>
      <c r="K25" s="205">
        <f ca="1">SUM(K9:K21)</f>
        <v>0</v>
      </c>
      <c r="L25" s="183"/>
    </row>
    <row r="26" spans="1:16">
      <c r="B26" s="183"/>
      <c r="C26" s="122"/>
      <c r="D26" s="122"/>
      <c r="E26" s="122"/>
      <c r="F26" s="122"/>
      <c r="G26" s="200"/>
      <c r="H26" s="224"/>
      <c r="I26" s="224"/>
      <c r="J26" s="240"/>
      <c r="K26" s="399"/>
      <c r="L26" s="183"/>
    </row>
  </sheetData>
  <sheetProtection algorithmName="SHA-512" hashValue="3hpy94yOWv4YVY+IjS+xlkU3S5PzxWTkL3wHiBFr10biWfQEvov5nLw1vebXhNA7NzSLLLvVYPZMmDmZSwEHyw==" saltValue="gBbklO3JF0tYOa9xHOAjVg==" spinCount="100000" sheet="1" objects="1" scenarios="1"/>
  <mergeCells count="12">
    <mergeCell ref="M7:M8"/>
    <mergeCell ref="F2:G2"/>
    <mergeCell ref="J2:K2"/>
    <mergeCell ref="F3:G3"/>
    <mergeCell ref="J3:K3"/>
    <mergeCell ref="C6:K6"/>
    <mergeCell ref="A4:A8"/>
    <mergeCell ref="D21:G21"/>
    <mergeCell ref="D13:G13"/>
    <mergeCell ref="D9:G9"/>
    <mergeCell ref="D17:G17"/>
    <mergeCell ref="C7:K7"/>
  </mergeCells>
  <conditionalFormatting sqref="D2:D3">
    <cfRule type="expression" dxfId="16" priority="4">
      <formula>D2=""</formula>
    </cfRule>
  </conditionalFormatting>
  <conditionalFormatting sqref="F2:F3">
    <cfRule type="expression" dxfId="15" priority="2">
      <formula>F2=""</formula>
    </cfRule>
  </conditionalFormatting>
  <conditionalFormatting sqref="J2:J3">
    <cfRule type="expression" dxfId="14" priority="1">
      <formula>J2=""</formula>
    </cfRule>
  </conditionalFormatting>
  <pageMargins left="0.75" right="0.75" top="1" bottom="1" header="0.5" footer="0.5"/>
  <pageSetup scale="94" fitToHeight="0" orientation="portrait" r:id="rId1"/>
  <headerFooter alignWithMargins="0">
    <oddHeader>&amp;C&amp;"Arial,Bold Italic"&amp;20DRAFT - TOOL STILL IN PRODUCTION</oddHeader>
    <oddFooter>&amp;C&amp;"Futura Bk BT,Book"Page &amp;P</oddFooter>
  </headerFooter>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10C95-DAA6-4B99-A33E-8734F27B9B9B}">
  <sheetPr codeName="Sheet34">
    <tabColor rgb="FFFFFF00"/>
    <pageSetUpPr fitToPage="1"/>
  </sheetPr>
  <dimension ref="B1:AG107"/>
  <sheetViews>
    <sheetView view="pageBreakPreview" zoomScaleNormal="100" zoomScaleSheetLayoutView="100" workbookViewId="0">
      <selection activeCell="I10" sqref="I10"/>
    </sheetView>
  </sheetViews>
  <sheetFormatPr defaultColWidth="9.140625" defaultRowHeight="14.25"/>
  <cols>
    <col min="1" max="1" width="9" style="3" customWidth="1"/>
    <col min="2" max="2" width="3" style="694" customWidth="1"/>
    <col min="3" max="4" width="10.7109375" style="3" customWidth="1"/>
    <col min="5" max="6" width="11.85546875" style="3" customWidth="1"/>
    <col min="7" max="10" width="10.7109375" style="3" customWidth="1"/>
    <col min="11" max="11" width="3.28515625" style="3" customWidth="1"/>
    <col min="12" max="12" width="12" style="3" customWidth="1"/>
    <col min="13" max="13" width="3" style="3" customWidth="1"/>
    <col min="14" max="14" width="3.85546875" style="3" customWidth="1"/>
    <col min="15" max="15" width="2.42578125" style="3" customWidth="1"/>
    <col min="16" max="16" width="39.42578125" style="3" hidden="1" customWidth="1"/>
    <col min="17" max="17" width="9.140625" style="3" hidden="1" customWidth="1"/>
    <col min="18" max="25" width="9.140625" style="3" customWidth="1"/>
    <col min="26" max="16384" width="9.140625" style="3"/>
  </cols>
  <sheetData>
    <row r="1" spans="2:26" ht="15.75" thickBot="1">
      <c r="P1" s="695" t="s">
        <v>1690</v>
      </c>
      <c r="Z1" s="696"/>
    </row>
    <row r="2" spans="2:26" ht="15" customHeight="1" thickBot="1">
      <c r="B2" s="1144" t="s">
        <v>3940</v>
      </c>
      <c r="C2" s="1144"/>
      <c r="D2" s="1144"/>
      <c r="E2" s="1144"/>
      <c r="F2" s="1144"/>
      <c r="G2" s="1144"/>
      <c r="H2" s="1144"/>
      <c r="I2" s="1144"/>
      <c r="J2" s="1144"/>
      <c r="K2" s="1145"/>
      <c r="P2" s="697" t="s">
        <v>1691</v>
      </c>
      <c r="Z2" s="698"/>
    </row>
    <row r="3" spans="2:26" ht="15" customHeight="1" thickBot="1">
      <c r="B3" s="1144"/>
      <c r="C3" s="1144"/>
      <c r="D3" s="1144"/>
      <c r="E3" s="1144"/>
      <c r="F3" s="1144"/>
      <c r="G3" s="1144"/>
      <c r="H3" s="1144"/>
      <c r="I3" s="1144"/>
      <c r="J3" s="1144"/>
      <c r="K3" s="1145"/>
      <c r="P3" s="697" t="s">
        <v>1692</v>
      </c>
      <c r="Q3" s="699"/>
      <c r="R3" s="699"/>
      <c r="S3" s="699"/>
    </row>
    <row r="4" spans="2:26" ht="14.1" customHeight="1">
      <c r="B4" s="742"/>
      <c r="C4" s="544" t="str">
        <f ca="1">INSTRUCTIONS!C8</f>
        <v xml:space="preserve"> </v>
      </c>
      <c r="D4" s="544"/>
      <c r="E4" s="544"/>
      <c r="F4" s="544"/>
      <c r="G4" s="544"/>
      <c r="H4" s="544"/>
      <c r="I4" s="544"/>
      <c r="J4" s="544"/>
      <c r="K4" s="743"/>
    </row>
    <row r="5" spans="2:26" ht="15" customHeight="1">
      <c r="B5" s="43"/>
      <c r="C5" s="1047" t="s">
        <v>1853</v>
      </c>
      <c r="D5" s="1047"/>
      <c r="E5" s="1047"/>
      <c r="F5" s="1047"/>
      <c r="G5" s="1047"/>
      <c r="H5" s="1047"/>
      <c r="I5" s="1047"/>
      <c r="J5" s="1047"/>
      <c r="K5" s="48"/>
    </row>
    <row r="6" spans="2:26" ht="14.1" customHeight="1">
      <c r="B6" s="43"/>
      <c r="C6" s="40"/>
      <c r="D6" s="40"/>
      <c r="E6" s="40"/>
      <c r="F6" s="40"/>
      <c r="G6" s="40"/>
      <c r="H6" s="40"/>
      <c r="I6" s="40"/>
      <c r="J6" s="38"/>
      <c r="K6" s="48"/>
      <c r="P6" s="695" t="s">
        <v>3669</v>
      </c>
    </row>
    <row r="7" spans="2:26" ht="14.1" customHeight="1">
      <c r="B7" s="49">
        <v>1</v>
      </c>
      <c r="C7" s="38" t="s">
        <v>720</v>
      </c>
      <c r="D7" s="38"/>
      <c r="E7" s="1162"/>
      <c r="F7" s="1163"/>
      <c r="G7" s="1163"/>
      <c r="H7" s="1163"/>
      <c r="I7" s="1164"/>
      <c r="J7" s="38"/>
      <c r="K7" s="48"/>
      <c r="P7" s="3" t="s">
        <v>3875</v>
      </c>
    </row>
    <row r="8" spans="2:26" ht="14.1" customHeight="1">
      <c r="B8" s="43"/>
      <c r="C8" s="40"/>
      <c r="D8" s="40"/>
      <c r="E8" s="40"/>
      <c r="F8" s="40"/>
      <c r="G8" s="40"/>
      <c r="H8" s="40"/>
      <c r="I8" s="40"/>
      <c r="J8" s="38"/>
      <c r="K8" s="48"/>
      <c r="P8" s="3" t="s">
        <v>1736</v>
      </c>
    </row>
    <row r="9" spans="2:26" ht="14.1" customHeight="1">
      <c r="B9" s="49">
        <v>2</v>
      </c>
      <c r="C9" s="38" t="s">
        <v>1827</v>
      </c>
      <c r="D9" s="38"/>
      <c r="E9" s="1167"/>
      <c r="F9" s="1168"/>
      <c r="G9" s="38"/>
      <c r="H9" s="40"/>
      <c r="I9" s="40"/>
      <c r="J9" s="38"/>
      <c r="K9" s="48"/>
    </row>
    <row r="10" spans="2:26" ht="14.1" customHeight="1">
      <c r="B10" s="43"/>
      <c r="C10" s="40"/>
      <c r="D10" s="40"/>
      <c r="E10" s="40"/>
      <c r="F10" s="40"/>
      <c r="G10" s="40"/>
      <c r="I10" s="700"/>
      <c r="J10" s="700"/>
      <c r="K10" s="48"/>
    </row>
    <row r="11" spans="2:26" ht="14.1" customHeight="1">
      <c r="B11" s="49">
        <v>3</v>
      </c>
      <c r="C11" s="38" t="s">
        <v>1826</v>
      </c>
      <c r="D11" s="38"/>
      <c r="E11" s="1165"/>
      <c r="F11" s="1166"/>
      <c r="G11" s="1160" t="str">
        <f>IF(ISBLANK(E11),"","Click on the link below for more information:")</f>
        <v/>
      </c>
      <c r="H11" s="1161"/>
      <c r="I11" s="1161"/>
      <c r="J11" s="1161"/>
      <c r="K11" s="48"/>
    </row>
    <row r="12" spans="2:26" ht="14.1" customHeight="1">
      <c r="B12" s="43"/>
      <c r="C12" s="40"/>
      <c r="D12" s="40"/>
      <c r="E12" s="40"/>
      <c r="F12" s="40"/>
      <c r="G12" s="1159" t="str">
        <f>IF(E11=HIDDEN!B3,HYPERLINK("https://www.mass.gov/chapter-90-program"),IF(E11=HIDDEN!B4,HYPERLINK("https://www.mass.gov/complete-streets-funding-program"),IF(E11=HIDDEN!B5,HYPERLINK("https://www.mass.gov/safe-routes-to-school"),"")))</f>
        <v/>
      </c>
      <c r="H12" s="1159"/>
      <c r="I12" s="1159"/>
      <c r="J12" s="1159"/>
      <c r="K12" s="48"/>
    </row>
    <row r="13" spans="2:26" ht="15" customHeight="1">
      <c r="B13" s="49">
        <v>4</v>
      </c>
      <c r="C13" s="38" t="s">
        <v>69</v>
      </c>
      <c r="D13" s="38"/>
      <c r="E13" s="38"/>
      <c r="F13" s="38"/>
      <c r="G13" s="693"/>
      <c r="H13" s="190"/>
      <c r="I13" s="40"/>
      <c r="J13" s="38"/>
      <c r="K13" s="44"/>
    </row>
    <row r="14" spans="2:26" ht="14.1" customHeight="1">
      <c r="B14" s="50"/>
      <c r="C14" s="40"/>
      <c r="D14" s="40"/>
      <c r="E14" s="40"/>
      <c r="F14" s="40"/>
      <c r="G14" s="40"/>
      <c r="H14" s="40"/>
      <c r="I14" s="40"/>
      <c r="J14" s="38"/>
      <c r="K14" s="44"/>
    </row>
    <row r="15" spans="2:26" ht="14.45" customHeight="1">
      <c r="B15" s="49">
        <v>5</v>
      </c>
      <c r="C15" s="38" t="s">
        <v>717</v>
      </c>
      <c r="D15" s="40"/>
      <c r="E15" s="40"/>
      <c r="F15" s="40"/>
      <c r="G15" s="40"/>
      <c r="H15" s="40"/>
      <c r="I15" s="692"/>
      <c r="J15" s="40"/>
      <c r="K15" s="44"/>
      <c r="L15" s="701"/>
    </row>
    <row r="16" spans="2:26" ht="14.1" customHeight="1">
      <c r="B16" s="50"/>
      <c r="C16" s="40"/>
      <c r="D16" s="40"/>
      <c r="E16" s="40"/>
      <c r="F16" s="40"/>
      <c r="G16" s="40"/>
      <c r="H16" s="40"/>
      <c r="I16" s="40"/>
      <c r="J16" s="40"/>
      <c r="K16" s="44"/>
      <c r="L16" s="701"/>
    </row>
    <row r="17" spans="2:33" ht="14.45" customHeight="1">
      <c r="B17" s="49">
        <v>6</v>
      </c>
      <c r="C17" s="38" t="s">
        <v>1210</v>
      </c>
      <c r="D17" s="40"/>
      <c r="E17" s="40"/>
      <c r="F17" s="51" t="s">
        <v>850</v>
      </c>
      <c r="G17" s="691"/>
      <c r="H17" s="40"/>
      <c r="I17" s="40"/>
      <c r="J17" s="40"/>
      <c r="K17" s="44"/>
      <c r="Q17" s="4"/>
      <c r="T17" s="6"/>
      <c r="W17" s="4"/>
    </row>
    <row r="18" spans="2:33" ht="14.45" customHeight="1">
      <c r="B18" s="50"/>
      <c r="C18" s="40"/>
      <c r="D18" s="40"/>
      <c r="E18" s="40"/>
      <c r="F18" s="51" t="s">
        <v>851</v>
      </c>
      <c r="G18" s="52" t="str">
        <f>_xlfn.IFNA(_xlfn.XLOOKUP(G17,HIDDEN!AA3:AA354,HIDDEN!AB3:AB354)," ")</f>
        <v xml:space="preserve"> </v>
      </c>
      <c r="H18" s="40"/>
      <c r="I18" s="40"/>
      <c r="J18" s="40"/>
      <c r="K18" s="44"/>
      <c r="P18" s="695" t="s">
        <v>3731</v>
      </c>
    </row>
    <row r="19" spans="2:33" ht="14.45" customHeight="1">
      <c r="B19" s="50"/>
      <c r="C19" s="40"/>
      <c r="D19" s="40"/>
      <c r="E19" s="40"/>
      <c r="F19" s="40"/>
      <c r="G19" s="40"/>
      <c r="H19" s="38"/>
      <c r="I19" s="40"/>
      <c r="J19" s="40"/>
      <c r="K19" s="44"/>
      <c r="P19" s="3" t="s">
        <v>3732</v>
      </c>
      <c r="Q19" s="3" t="s">
        <v>3864</v>
      </c>
    </row>
    <row r="20" spans="2:33" ht="15">
      <c r="B20" s="49">
        <v>7</v>
      </c>
      <c r="C20" s="38" t="s">
        <v>758</v>
      </c>
      <c r="D20" s="40"/>
      <c r="E20" s="40"/>
      <c r="F20" s="40"/>
      <c r="G20" s="40"/>
      <c r="H20" s="40"/>
      <c r="I20" s="693"/>
      <c r="J20" s="40"/>
      <c r="K20" s="44"/>
      <c r="P20" s="3" t="s">
        <v>3733</v>
      </c>
      <c r="Q20" s="3" t="s">
        <v>3796</v>
      </c>
      <c r="W20" s="702"/>
    </row>
    <row r="21" spans="2:33" ht="24" customHeight="1">
      <c r="B21" s="50"/>
      <c r="C21" s="1045" t="s">
        <v>1828</v>
      </c>
      <c r="D21" s="1045"/>
      <c r="E21" s="1045"/>
      <c r="F21" s="1045"/>
      <c r="G21" s="711" t="s">
        <v>3986</v>
      </c>
      <c r="H21" s="711" t="s">
        <v>3987</v>
      </c>
      <c r="I21" s="712" t="s">
        <v>3988</v>
      </c>
      <c r="J21" s="711" t="s">
        <v>3989</v>
      </c>
      <c r="K21" s="44"/>
      <c r="P21" s="3" t="s">
        <v>3734</v>
      </c>
      <c r="W21" s="702"/>
    </row>
    <row r="22" spans="2:33" ht="15">
      <c r="B22" s="49">
        <v>8</v>
      </c>
      <c r="C22" s="38" t="s">
        <v>3644</v>
      </c>
      <c r="D22" s="38"/>
      <c r="E22" s="85"/>
      <c r="F22" s="38"/>
      <c r="G22" s="53"/>
      <c r="H22" s="53"/>
      <c r="I22" s="53"/>
      <c r="J22" s="53"/>
      <c r="K22" s="44"/>
      <c r="P22" s="3" t="s">
        <v>3735</v>
      </c>
      <c r="Q22" s="3" t="s">
        <v>3753</v>
      </c>
      <c r="T22" s="702"/>
    </row>
    <row r="23" spans="2:33" ht="15" customHeight="1">
      <c r="B23" s="703"/>
      <c r="C23" s="38"/>
      <c r="D23" s="38"/>
      <c r="E23" s="38"/>
      <c r="F23" s="38"/>
      <c r="G23" s="38"/>
      <c r="H23" s="38"/>
      <c r="I23" s="38"/>
      <c r="J23" s="38"/>
      <c r="K23" s="704"/>
      <c r="P23" s="3" t="s">
        <v>3736</v>
      </c>
      <c r="Q23" s="3" t="s">
        <v>3753</v>
      </c>
      <c r="Z23" s="1158"/>
      <c r="AA23" s="1158"/>
      <c r="AB23" s="1158"/>
      <c r="AC23" s="1158"/>
      <c r="AD23" s="1158"/>
      <c r="AE23" s="1158"/>
      <c r="AF23" s="1158"/>
      <c r="AG23" s="1158"/>
    </row>
    <row r="24" spans="2:33" ht="12.75" customHeight="1">
      <c r="B24" s="49">
        <v>11</v>
      </c>
      <c r="C24" s="38" t="s">
        <v>3865</v>
      </c>
      <c r="D24" s="40"/>
      <c r="E24" s="40"/>
      <c r="F24" s="705"/>
      <c r="G24" s="40"/>
      <c r="H24" s="40"/>
      <c r="I24" s="40"/>
      <c r="J24" s="40"/>
      <c r="K24" s="44"/>
      <c r="P24" s="3" t="s">
        <v>3737</v>
      </c>
      <c r="Q24" s="3" t="s">
        <v>3753</v>
      </c>
      <c r="Z24"/>
    </row>
    <row r="25" spans="2:33" ht="41.25" customHeight="1">
      <c r="B25" s="50"/>
      <c r="C25" s="1046" t="s">
        <v>3866</v>
      </c>
      <c r="D25" s="1046"/>
      <c r="E25" s="1046"/>
      <c r="F25" s="1046"/>
      <c r="G25" s="1046"/>
      <c r="H25" s="1046"/>
      <c r="I25" s="1046"/>
      <c r="J25" s="1046"/>
      <c r="K25" s="44"/>
      <c r="P25" s="697" t="s">
        <v>3785</v>
      </c>
      <c r="Q25" s="3" t="s">
        <v>3872</v>
      </c>
      <c r="Z25"/>
    </row>
    <row r="26" spans="2:33" ht="15">
      <c r="B26" s="706"/>
      <c r="C26" s="40"/>
      <c r="D26" s="40"/>
      <c r="E26" s="40"/>
      <c r="F26" s="40"/>
      <c r="G26" s="40"/>
      <c r="H26" s="40"/>
      <c r="I26" s="40"/>
      <c r="J26" s="40"/>
      <c r="K26" s="44"/>
      <c r="P26" s="3" t="s">
        <v>3738</v>
      </c>
      <c r="Q26" s="3" t="s">
        <v>3753</v>
      </c>
      <c r="R26" s="4"/>
    </row>
    <row r="27" spans="2:33" ht="15">
      <c r="B27" s="706"/>
      <c r="C27" s="40"/>
      <c r="D27" s="40"/>
      <c r="E27" s="40"/>
      <c r="F27" s="40"/>
      <c r="G27" s="40"/>
      <c r="H27" s="40"/>
      <c r="I27" s="40"/>
      <c r="J27" s="40"/>
      <c r="K27" s="44"/>
      <c r="P27" s="3" t="s">
        <v>3739</v>
      </c>
      <c r="Q27" s="3" t="s">
        <v>3760</v>
      </c>
    </row>
    <row r="28" spans="2:33" ht="15">
      <c r="B28" s="706"/>
      <c r="C28" s="40"/>
      <c r="D28" s="40"/>
      <c r="E28" s="40"/>
      <c r="F28" s="40"/>
      <c r="G28" s="40"/>
      <c r="H28" s="40"/>
      <c r="I28" s="40"/>
      <c r="J28" s="40"/>
      <c r="K28" s="44"/>
      <c r="P28" s="3" t="s">
        <v>3740</v>
      </c>
      <c r="Q28" s="3" t="s">
        <v>3760</v>
      </c>
    </row>
    <row r="29" spans="2:33" ht="15">
      <c r="B29" s="706"/>
      <c r="C29" s="40"/>
      <c r="D29" s="40"/>
      <c r="E29" s="40"/>
      <c r="F29" s="40"/>
      <c r="G29" s="40"/>
      <c r="H29" s="40"/>
      <c r="I29" s="40"/>
      <c r="J29" s="40"/>
      <c r="K29" s="44"/>
      <c r="P29" s="3" t="s">
        <v>3741</v>
      </c>
      <c r="Q29" s="3" t="s">
        <v>3760</v>
      </c>
    </row>
    <row r="30" spans="2:33" ht="14.1" customHeight="1">
      <c r="B30" s="706"/>
      <c r="C30" s="40"/>
      <c r="D30" s="40"/>
      <c r="E30" s="40"/>
      <c r="F30" s="40"/>
      <c r="G30" s="40"/>
      <c r="H30" s="40"/>
      <c r="I30" s="40"/>
      <c r="J30" s="40"/>
      <c r="K30" s="44"/>
      <c r="P30" s="3" t="s">
        <v>3792</v>
      </c>
      <c r="Q30" s="3" t="s">
        <v>3813</v>
      </c>
      <c r="T30" s="4"/>
    </row>
    <row r="31" spans="2:33" ht="15.75" thickBot="1">
      <c r="B31" s="706"/>
      <c r="C31" s="40"/>
      <c r="D31" s="40"/>
      <c r="E31" s="40"/>
      <c r="F31" s="40"/>
      <c r="G31" s="40"/>
      <c r="H31" s="40"/>
      <c r="I31" s="40"/>
      <c r="J31" s="40"/>
      <c r="K31" s="44"/>
      <c r="O31"/>
      <c r="P31" s="3" t="s">
        <v>3793</v>
      </c>
    </row>
    <row r="32" spans="2:33" ht="15.75" thickBot="1">
      <c r="B32" s="707" t="s">
        <v>3990</v>
      </c>
      <c r="C32" s="46"/>
      <c r="D32" s="46"/>
      <c r="E32" s="46"/>
      <c r="F32" s="46"/>
      <c r="G32" s="46"/>
      <c r="H32" s="46"/>
      <c r="I32" s="46"/>
      <c r="J32" s="46"/>
      <c r="K32" s="47"/>
      <c r="O32"/>
      <c r="P32" s="3" t="s">
        <v>3794</v>
      </c>
      <c r="Q32" s="3" t="s">
        <v>3847</v>
      </c>
    </row>
    <row r="33" spans="2:27">
      <c r="B33" s="703"/>
      <c r="C33" s="1151" t="s">
        <v>1923</v>
      </c>
      <c r="D33" s="1152"/>
      <c r="E33" s="1151" t="s">
        <v>1925</v>
      </c>
      <c r="F33" s="1155"/>
      <c r="G33" s="1151" t="s">
        <v>1924</v>
      </c>
      <c r="H33" s="1155"/>
      <c r="I33" s="1151" t="s">
        <v>1926</v>
      </c>
      <c r="J33" s="1155"/>
      <c r="K33" s="704"/>
      <c r="O33"/>
      <c r="P33" s="3" t="s">
        <v>3795</v>
      </c>
      <c r="Q33" s="3" t="s">
        <v>3847</v>
      </c>
    </row>
    <row r="34" spans="2:27" ht="14.25" customHeight="1" thickBot="1">
      <c r="B34" s="703"/>
      <c r="C34" s="1153"/>
      <c r="D34" s="1154"/>
      <c r="E34" s="1156"/>
      <c r="F34" s="1157"/>
      <c r="G34" s="1156"/>
      <c r="H34" s="1157"/>
      <c r="I34" s="1156"/>
      <c r="J34" s="1157"/>
      <c r="K34" s="704"/>
      <c r="O34"/>
      <c r="P34" s="3" t="s">
        <v>3829</v>
      </c>
    </row>
    <row r="35" spans="2:27" ht="15" customHeight="1" thickBot="1">
      <c r="B35" s="708"/>
      <c r="C35" s="709"/>
      <c r="D35" s="709"/>
      <c r="E35" s="709"/>
      <c r="F35" s="709"/>
      <c r="G35" s="709"/>
      <c r="H35" s="709"/>
      <c r="I35" s="709"/>
      <c r="J35" s="709"/>
      <c r="K35" s="710"/>
      <c r="L35"/>
      <c r="M35"/>
      <c r="N35"/>
      <c r="O35"/>
      <c r="Q35"/>
      <c r="R35"/>
      <c r="S35"/>
    </row>
    <row r="36" spans="2:27" ht="14.25" customHeight="1">
      <c r="B36"/>
      <c r="C36"/>
      <c r="D36"/>
      <c r="E36"/>
      <c r="F36"/>
      <c r="G36"/>
      <c r="H36"/>
      <c r="I36"/>
      <c r="J36"/>
      <c r="K36"/>
      <c r="L36"/>
      <c r="M36"/>
      <c r="N36"/>
      <c r="O36"/>
      <c r="P36"/>
      <c r="Q36"/>
      <c r="R36"/>
      <c r="S36"/>
    </row>
    <row r="37" spans="2:27" ht="15.75" customHeight="1">
      <c r="B37"/>
      <c r="C37"/>
      <c r="D37"/>
      <c r="E37"/>
      <c r="F37"/>
      <c r="G37"/>
      <c r="H37"/>
      <c r="I37"/>
      <c r="J37"/>
      <c r="K37"/>
      <c r="L37"/>
      <c r="M37"/>
      <c r="N37"/>
      <c r="O37"/>
      <c r="P37"/>
      <c r="Q37"/>
      <c r="R37"/>
      <c r="S37"/>
    </row>
    <row r="38" spans="2:27">
      <c r="B38"/>
      <c r="C38"/>
      <c r="D38"/>
      <c r="E38"/>
      <c r="F38"/>
      <c r="G38"/>
      <c r="H38"/>
      <c r="I38"/>
      <c r="J38"/>
      <c r="K38"/>
      <c r="L38"/>
      <c r="M38"/>
      <c r="N38"/>
      <c r="O38"/>
      <c r="P38"/>
      <c r="Q38"/>
      <c r="R38"/>
      <c r="S38"/>
    </row>
    <row r="39" spans="2:27">
      <c r="B39"/>
      <c r="C39"/>
      <c r="D39"/>
      <c r="E39"/>
      <c r="F39"/>
      <c r="G39"/>
      <c r="H39"/>
      <c r="I39"/>
      <c r="J39"/>
      <c r="K39"/>
      <c r="L39"/>
      <c r="M39"/>
      <c r="N39"/>
      <c r="O39"/>
      <c r="P39"/>
      <c r="Q39"/>
      <c r="R39"/>
      <c r="S39"/>
    </row>
    <row r="40" spans="2:27">
      <c r="B40"/>
      <c r="C40"/>
      <c r="D40"/>
      <c r="E40"/>
      <c r="F40"/>
      <c r="G40"/>
      <c r="H40"/>
      <c r="I40"/>
      <c r="J40"/>
      <c r="K40"/>
      <c r="L40"/>
      <c r="M40"/>
      <c r="N40"/>
      <c r="O40"/>
      <c r="P40"/>
      <c r="Q40"/>
      <c r="R40"/>
      <c r="S40"/>
    </row>
    <row r="41" spans="2:27">
      <c r="B41"/>
      <c r="C41"/>
      <c r="D41"/>
      <c r="E41"/>
      <c r="F41"/>
      <c r="G41"/>
      <c r="H41"/>
      <c r="I41"/>
      <c r="J41"/>
      <c r="K41"/>
      <c r="L41"/>
      <c r="M41"/>
      <c r="N41"/>
      <c r="O41"/>
      <c r="P41"/>
      <c r="Q41"/>
      <c r="R41"/>
      <c r="S41"/>
    </row>
    <row r="42" spans="2:27">
      <c r="B42"/>
      <c r="C42"/>
      <c r="D42"/>
      <c r="E42"/>
      <c r="F42"/>
      <c r="G42"/>
      <c r="H42"/>
      <c r="I42"/>
      <c r="J42"/>
      <c r="K42"/>
      <c r="L42"/>
      <c r="M42"/>
      <c r="N42"/>
      <c r="O42"/>
      <c r="P42"/>
      <c r="Q42"/>
      <c r="R42"/>
      <c r="S42"/>
    </row>
    <row r="43" spans="2:27">
      <c r="B43"/>
      <c r="C43"/>
      <c r="D43"/>
      <c r="E43"/>
      <c r="F43"/>
      <c r="G43"/>
      <c r="H43"/>
      <c r="I43"/>
      <c r="J43"/>
      <c r="K43"/>
      <c r="L43"/>
      <c r="M43"/>
      <c r="N43"/>
      <c r="O43"/>
      <c r="P43"/>
      <c r="Q43"/>
      <c r="R43"/>
      <c r="S43"/>
    </row>
    <row r="44" spans="2:27" ht="15">
      <c r="B44"/>
      <c r="C44"/>
      <c r="D44"/>
      <c r="E44"/>
      <c r="F44"/>
      <c r="G44"/>
      <c r="H44"/>
      <c r="I44"/>
      <c r="J44"/>
      <c r="K44"/>
      <c r="L44"/>
      <c r="M44"/>
      <c r="N44"/>
      <c r="O44"/>
      <c r="P44"/>
      <c r="Q44"/>
      <c r="R44"/>
      <c r="S44"/>
      <c r="T44" s="4"/>
      <c r="W44" s="4"/>
      <c r="Y44" s="4"/>
      <c r="AA44" s="4"/>
    </row>
    <row r="45" spans="2:27">
      <c r="B45"/>
      <c r="C45"/>
      <c r="D45"/>
      <c r="E45"/>
      <c r="F45"/>
      <c r="G45"/>
      <c r="H45"/>
      <c r="I45"/>
      <c r="J45"/>
      <c r="K45"/>
      <c r="L45"/>
      <c r="M45"/>
      <c r="N45"/>
      <c r="O45"/>
      <c r="P45"/>
      <c r="Q45"/>
      <c r="R45"/>
      <c r="S45"/>
      <c r="Y45" s="694"/>
      <c r="AA45" s="694"/>
    </row>
    <row r="46" spans="2:27">
      <c r="B46"/>
      <c r="C46"/>
      <c r="D46"/>
      <c r="E46"/>
      <c r="F46"/>
      <c r="G46"/>
      <c r="H46"/>
      <c r="I46"/>
      <c r="J46"/>
      <c r="K46"/>
      <c r="L46"/>
      <c r="M46"/>
      <c r="N46"/>
      <c r="O46"/>
      <c r="P46"/>
      <c r="Q46"/>
      <c r="R46"/>
      <c r="S46"/>
      <c r="T46" s="702"/>
      <c r="Y46" s="694"/>
      <c r="AA46" s="694"/>
    </row>
    <row r="47" spans="2:27">
      <c r="B47"/>
      <c r="C47"/>
      <c r="D47"/>
      <c r="E47"/>
      <c r="F47"/>
      <c r="G47"/>
      <c r="H47"/>
      <c r="I47"/>
      <c r="J47"/>
      <c r="K47"/>
      <c r="L47"/>
      <c r="M47"/>
      <c r="N47"/>
      <c r="O47"/>
      <c r="P47"/>
      <c r="Q47"/>
      <c r="R47"/>
      <c r="S47"/>
      <c r="Y47" s="694"/>
    </row>
    <row r="48" spans="2:27">
      <c r="B48"/>
      <c r="C48"/>
      <c r="D48"/>
      <c r="E48"/>
      <c r="F48"/>
      <c r="G48"/>
      <c r="H48"/>
      <c r="I48"/>
      <c r="J48"/>
      <c r="K48"/>
      <c r="L48"/>
      <c r="M48"/>
      <c r="N48"/>
      <c r="O48"/>
      <c r="P48"/>
      <c r="Q48"/>
      <c r="R48"/>
      <c r="S48"/>
      <c r="Y48" s="694"/>
    </row>
    <row r="49" spans="2:20">
      <c r="B49"/>
      <c r="C49"/>
      <c r="D49"/>
      <c r="E49"/>
      <c r="F49"/>
      <c r="G49"/>
      <c r="H49"/>
      <c r="I49"/>
      <c r="J49"/>
      <c r="K49"/>
      <c r="L49"/>
      <c r="M49"/>
      <c r="N49"/>
      <c r="O49"/>
      <c r="P49"/>
      <c r="Q49"/>
      <c r="R49"/>
      <c r="S49"/>
    </row>
    <row r="50" spans="2:20" ht="15">
      <c r="B50"/>
      <c r="C50"/>
      <c r="D50"/>
      <c r="E50"/>
      <c r="F50"/>
      <c r="G50"/>
      <c r="H50"/>
      <c r="I50"/>
      <c r="J50"/>
      <c r="K50"/>
      <c r="L50"/>
      <c r="M50"/>
      <c r="N50"/>
      <c r="O50"/>
      <c r="P50"/>
      <c r="Q50"/>
      <c r="R50"/>
      <c r="S50"/>
      <c r="T50" s="4"/>
    </row>
    <row r="51" spans="2:20">
      <c r="B51"/>
      <c r="C51"/>
      <c r="D51"/>
      <c r="E51"/>
      <c r="F51"/>
      <c r="G51"/>
      <c r="H51"/>
      <c r="I51"/>
      <c r="J51"/>
      <c r="K51"/>
      <c r="L51"/>
      <c r="M51"/>
      <c r="N51"/>
      <c r="O51"/>
      <c r="P51"/>
      <c r="Q51"/>
      <c r="R51"/>
      <c r="S51"/>
    </row>
    <row r="52" spans="2:20">
      <c r="B52"/>
      <c r="C52"/>
      <c r="D52"/>
      <c r="E52"/>
      <c r="F52"/>
      <c r="G52"/>
      <c r="H52"/>
      <c r="I52"/>
      <c r="J52"/>
      <c r="K52"/>
      <c r="L52"/>
      <c r="M52"/>
      <c r="N52"/>
      <c r="O52"/>
      <c r="P52"/>
      <c r="Q52"/>
      <c r="R52"/>
      <c r="S52"/>
    </row>
    <row r="53" spans="2:20">
      <c r="B53"/>
      <c r="C53"/>
      <c r="D53"/>
      <c r="E53"/>
      <c r="F53"/>
      <c r="G53"/>
      <c r="H53"/>
      <c r="I53"/>
      <c r="J53"/>
      <c r="K53"/>
      <c r="L53"/>
      <c r="M53"/>
      <c r="N53"/>
      <c r="O53"/>
      <c r="P53"/>
      <c r="Q53"/>
      <c r="R53"/>
      <c r="S53"/>
    </row>
    <row r="54" spans="2:20" ht="15">
      <c r="B54"/>
      <c r="C54"/>
      <c r="D54"/>
      <c r="E54"/>
      <c r="F54"/>
      <c r="G54"/>
      <c r="H54"/>
      <c r="I54"/>
      <c r="J54"/>
      <c r="K54"/>
      <c r="L54"/>
      <c r="M54"/>
      <c r="N54"/>
      <c r="O54"/>
      <c r="P54"/>
      <c r="Q54"/>
      <c r="R54"/>
      <c r="S54"/>
      <c r="T54" s="4"/>
    </row>
    <row r="55" spans="2:20">
      <c r="B55"/>
      <c r="C55"/>
      <c r="D55"/>
      <c r="E55"/>
      <c r="F55"/>
      <c r="G55"/>
      <c r="H55"/>
      <c r="I55"/>
      <c r="J55"/>
      <c r="K55"/>
      <c r="L55"/>
      <c r="M55"/>
      <c r="N55"/>
      <c r="O55"/>
      <c r="P55"/>
      <c r="Q55"/>
      <c r="R55"/>
      <c r="S55"/>
    </row>
    <row r="56" spans="2:20">
      <c r="B56"/>
      <c r="C56"/>
      <c r="D56"/>
      <c r="E56"/>
      <c r="F56"/>
      <c r="G56"/>
      <c r="H56"/>
      <c r="I56"/>
      <c r="J56"/>
      <c r="K56"/>
      <c r="L56"/>
      <c r="M56"/>
      <c r="N56"/>
      <c r="O56"/>
      <c r="P56"/>
      <c r="Q56"/>
      <c r="R56"/>
      <c r="S56"/>
    </row>
    <row r="57" spans="2:20">
      <c r="B57"/>
      <c r="C57"/>
      <c r="D57"/>
      <c r="E57"/>
      <c r="F57"/>
      <c r="G57"/>
      <c r="H57"/>
      <c r="I57"/>
      <c r="J57"/>
      <c r="K57"/>
      <c r="L57"/>
      <c r="M57"/>
      <c r="N57"/>
      <c r="O57"/>
      <c r="P57"/>
      <c r="Q57"/>
      <c r="R57"/>
      <c r="S57"/>
    </row>
    <row r="58" spans="2:20">
      <c r="B58"/>
      <c r="C58"/>
      <c r="D58"/>
      <c r="E58"/>
      <c r="F58"/>
      <c r="G58"/>
      <c r="H58"/>
      <c r="I58"/>
      <c r="J58"/>
      <c r="K58"/>
      <c r="L58"/>
      <c r="M58"/>
      <c r="N58"/>
      <c r="O58"/>
      <c r="P58"/>
      <c r="Q58"/>
      <c r="R58"/>
      <c r="S58"/>
    </row>
    <row r="59" spans="2:20" ht="15">
      <c r="B59"/>
      <c r="C59"/>
      <c r="D59"/>
      <c r="E59"/>
      <c r="F59"/>
      <c r="G59"/>
      <c r="H59"/>
      <c r="I59"/>
      <c r="J59"/>
      <c r="K59"/>
      <c r="L59"/>
      <c r="M59"/>
      <c r="N59"/>
      <c r="O59"/>
      <c r="P59"/>
      <c r="Q59"/>
      <c r="R59"/>
      <c r="S59"/>
      <c r="T59" s="4"/>
    </row>
    <row r="60" spans="2:20">
      <c r="B60"/>
      <c r="C60"/>
      <c r="D60"/>
      <c r="E60"/>
      <c r="F60"/>
      <c r="G60"/>
      <c r="H60"/>
      <c r="I60"/>
      <c r="J60"/>
      <c r="K60"/>
      <c r="L60"/>
      <c r="M60"/>
      <c r="N60"/>
      <c r="O60"/>
      <c r="P60"/>
      <c r="Q60"/>
      <c r="R60"/>
      <c r="S60"/>
    </row>
    <row r="61" spans="2:20">
      <c r="B61"/>
      <c r="C61"/>
      <c r="D61"/>
      <c r="E61"/>
      <c r="F61"/>
      <c r="G61"/>
      <c r="H61"/>
      <c r="I61"/>
      <c r="J61"/>
      <c r="K61"/>
      <c r="L61"/>
      <c r="M61"/>
      <c r="N61"/>
      <c r="O61"/>
      <c r="P61"/>
      <c r="Q61"/>
      <c r="R61"/>
      <c r="S61"/>
    </row>
    <row r="62" spans="2:20" ht="15" customHeight="1">
      <c r="B62"/>
      <c r="C62"/>
      <c r="D62"/>
      <c r="E62"/>
      <c r="F62"/>
      <c r="G62"/>
      <c r="H62"/>
      <c r="I62"/>
      <c r="J62"/>
      <c r="K62"/>
      <c r="L62"/>
      <c r="M62"/>
      <c r="N62"/>
      <c r="O62"/>
      <c r="P62"/>
      <c r="Q62"/>
      <c r="R62"/>
      <c r="S62"/>
    </row>
    <row r="63" spans="2:20">
      <c r="B63"/>
      <c r="C63"/>
      <c r="D63"/>
      <c r="E63"/>
      <c r="F63"/>
      <c r="G63"/>
      <c r="H63"/>
      <c r="I63"/>
      <c r="J63"/>
      <c r="K63"/>
      <c r="L63"/>
      <c r="M63"/>
      <c r="N63"/>
      <c r="O63"/>
      <c r="P63"/>
      <c r="Q63"/>
      <c r="R63"/>
      <c r="S63"/>
    </row>
    <row r="64" spans="2:20">
      <c r="B64"/>
      <c r="C64"/>
      <c r="D64"/>
      <c r="E64"/>
      <c r="F64"/>
      <c r="G64"/>
      <c r="H64"/>
      <c r="I64"/>
      <c r="J64"/>
      <c r="K64"/>
      <c r="L64"/>
      <c r="M64"/>
      <c r="N64"/>
      <c r="O64"/>
      <c r="P64"/>
      <c r="Q64"/>
      <c r="R64"/>
      <c r="S64"/>
    </row>
    <row r="65" spans="2:19">
      <c r="B65"/>
      <c r="C65"/>
      <c r="D65"/>
      <c r="E65"/>
      <c r="F65"/>
      <c r="G65"/>
      <c r="H65"/>
      <c r="I65"/>
      <c r="J65"/>
      <c r="K65"/>
      <c r="L65"/>
      <c r="M65"/>
      <c r="N65"/>
      <c r="O65"/>
      <c r="P65"/>
      <c r="Q65"/>
      <c r="R65"/>
      <c r="S65"/>
    </row>
    <row r="66" spans="2:19">
      <c r="B66"/>
      <c r="C66"/>
      <c r="D66"/>
      <c r="E66"/>
      <c r="F66"/>
      <c r="G66"/>
      <c r="H66"/>
      <c r="I66"/>
      <c r="J66"/>
      <c r="K66"/>
      <c r="L66"/>
      <c r="M66"/>
      <c r="N66"/>
      <c r="O66"/>
      <c r="P66"/>
      <c r="Q66"/>
      <c r="R66"/>
      <c r="S66"/>
    </row>
    <row r="67" spans="2:19">
      <c r="B67"/>
      <c r="C67"/>
      <c r="D67"/>
      <c r="E67"/>
      <c r="F67"/>
      <c r="G67"/>
      <c r="H67"/>
      <c r="I67"/>
      <c r="J67"/>
      <c r="K67"/>
      <c r="L67"/>
      <c r="M67"/>
      <c r="N67"/>
      <c r="O67"/>
      <c r="P67"/>
      <c r="Q67"/>
      <c r="R67"/>
      <c r="S67"/>
    </row>
    <row r="68" spans="2:19">
      <c r="B68"/>
      <c r="C68"/>
      <c r="D68"/>
      <c r="E68"/>
      <c r="F68"/>
      <c r="G68"/>
      <c r="H68"/>
      <c r="I68"/>
      <c r="J68"/>
      <c r="K68"/>
      <c r="L68"/>
      <c r="M68"/>
      <c r="N68"/>
      <c r="O68"/>
      <c r="P68"/>
      <c r="Q68"/>
      <c r="R68"/>
      <c r="S68"/>
    </row>
    <row r="69" spans="2:19">
      <c r="B69"/>
      <c r="C69"/>
      <c r="D69"/>
      <c r="E69"/>
      <c r="F69"/>
      <c r="G69"/>
      <c r="H69"/>
      <c r="I69"/>
      <c r="J69"/>
      <c r="K69"/>
      <c r="L69"/>
      <c r="M69"/>
      <c r="N69"/>
      <c r="O69"/>
      <c r="P69"/>
      <c r="Q69"/>
      <c r="R69"/>
      <c r="S69"/>
    </row>
    <row r="70" spans="2:19">
      <c r="B70"/>
      <c r="C70"/>
      <c r="D70"/>
      <c r="E70"/>
      <c r="F70"/>
      <c r="G70"/>
      <c r="H70"/>
      <c r="I70"/>
      <c r="J70"/>
      <c r="K70"/>
      <c r="L70"/>
      <c r="M70"/>
      <c r="N70"/>
      <c r="O70"/>
      <c r="P70"/>
      <c r="Q70"/>
      <c r="R70"/>
      <c r="S70"/>
    </row>
    <row r="71" spans="2:19">
      <c r="B71"/>
      <c r="C71"/>
      <c r="D71"/>
      <c r="E71"/>
      <c r="F71"/>
      <c r="G71"/>
      <c r="H71"/>
      <c r="I71"/>
      <c r="J71"/>
      <c r="K71"/>
      <c r="L71"/>
      <c r="M71"/>
      <c r="N71"/>
      <c r="O71"/>
      <c r="P71"/>
      <c r="Q71"/>
      <c r="R71"/>
      <c r="S71"/>
    </row>
    <row r="72" spans="2:19">
      <c r="B72"/>
      <c r="C72"/>
      <c r="D72"/>
      <c r="E72"/>
      <c r="F72"/>
      <c r="G72"/>
      <c r="H72"/>
      <c r="I72"/>
      <c r="J72"/>
      <c r="K72"/>
      <c r="L72"/>
      <c r="M72"/>
      <c r="N72"/>
      <c r="O72"/>
      <c r="P72"/>
      <c r="Q72"/>
      <c r="R72"/>
      <c r="S72"/>
    </row>
    <row r="73" spans="2:19">
      <c r="B73"/>
      <c r="C73"/>
      <c r="D73"/>
      <c r="E73"/>
      <c r="F73"/>
      <c r="G73"/>
      <c r="H73"/>
      <c r="I73"/>
      <c r="J73"/>
      <c r="K73"/>
      <c r="L73"/>
      <c r="M73"/>
      <c r="N73"/>
      <c r="O73"/>
      <c r="P73"/>
      <c r="Q73"/>
      <c r="R73"/>
      <c r="S73"/>
    </row>
    <row r="74" spans="2:19">
      <c r="B74"/>
      <c r="C74"/>
      <c r="D74"/>
      <c r="E74"/>
      <c r="F74"/>
      <c r="G74"/>
      <c r="H74"/>
      <c r="I74"/>
      <c r="J74"/>
      <c r="K74"/>
      <c r="L74"/>
      <c r="M74"/>
      <c r="N74"/>
      <c r="O74"/>
      <c r="P74"/>
      <c r="Q74"/>
      <c r="R74"/>
      <c r="S74"/>
    </row>
    <row r="75" spans="2:19">
      <c r="B75"/>
      <c r="C75"/>
      <c r="D75"/>
      <c r="E75"/>
      <c r="F75"/>
      <c r="G75"/>
      <c r="H75"/>
      <c r="I75"/>
      <c r="J75"/>
      <c r="K75"/>
      <c r="L75"/>
      <c r="M75"/>
      <c r="N75"/>
      <c r="O75"/>
      <c r="P75"/>
      <c r="Q75"/>
      <c r="R75"/>
      <c r="S75"/>
    </row>
    <row r="76" spans="2:19">
      <c r="B76"/>
      <c r="C76"/>
      <c r="D76"/>
      <c r="E76"/>
      <c r="F76"/>
      <c r="G76"/>
      <c r="H76"/>
      <c r="I76"/>
      <c r="J76"/>
      <c r="K76"/>
      <c r="L76"/>
      <c r="M76"/>
      <c r="N76"/>
      <c r="O76"/>
      <c r="P76"/>
      <c r="Q76"/>
      <c r="R76"/>
      <c r="S76"/>
    </row>
    <row r="77" spans="2:19">
      <c r="B77"/>
      <c r="C77"/>
      <c r="D77"/>
      <c r="E77"/>
      <c r="F77"/>
      <c r="G77"/>
      <c r="H77"/>
      <c r="I77"/>
      <c r="J77"/>
      <c r="K77"/>
      <c r="L77"/>
      <c r="M77"/>
      <c r="N77"/>
      <c r="O77"/>
      <c r="P77"/>
      <c r="Q77"/>
      <c r="R77"/>
      <c r="S77"/>
    </row>
    <row r="78" spans="2:19">
      <c r="B78"/>
      <c r="C78"/>
      <c r="D78"/>
      <c r="E78"/>
      <c r="F78"/>
      <c r="G78"/>
      <c r="H78"/>
      <c r="I78"/>
      <c r="J78"/>
      <c r="K78"/>
      <c r="L78"/>
      <c r="M78"/>
      <c r="N78"/>
      <c r="O78"/>
      <c r="P78"/>
      <c r="Q78"/>
      <c r="R78"/>
      <c r="S78"/>
    </row>
    <row r="79" spans="2:19">
      <c r="B79"/>
      <c r="C79"/>
      <c r="D79"/>
      <c r="E79"/>
      <c r="F79"/>
      <c r="G79"/>
      <c r="H79"/>
      <c r="I79"/>
      <c r="J79"/>
      <c r="K79"/>
    </row>
    <row r="80" spans="2:19">
      <c r="B80"/>
      <c r="C80"/>
      <c r="D80"/>
      <c r="E80"/>
      <c r="F80"/>
      <c r="G80"/>
      <c r="H80"/>
      <c r="I80"/>
      <c r="J80"/>
      <c r="K80"/>
    </row>
    <row r="81" spans="2:11">
      <c r="B81"/>
      <c r="C81"/>
      <c r="D81"/>
      <c r="E81"/>
      <c r="F81"/>
      <c r="G81"/>
      <c r="H81"/>
      <c r="I81"/>
      <c r="J81"/>
      <c r="K81"/>
    </row>
    <row r="82" spans="2:11" ht="15" customHeight="1">
      <c r="B82"/>
      <c r="C82"/>
      <c r="D82"/>
      <c r="E82"/>
      <c r="F82"/>
      <c r="G82"/>
      <c r="H82"/>
      <c r="I82"/>
      <c r="J82"/>
      <c r="K82"/>
    </row>
    <row r="83" spans="2:11" ht="26.25" customHeight="1">
      <c r="B83"/>
      <c r="C83"/>
      <c r="D83"/>
      <c r="E83"/>
      <c r="F83"/>
      <c r="G83"/>
      <c r="H83"/>
      <c r="I83"/>
      <c r="J83"/>
      <c r="K83"/>
    </row>
    <row r="84" spans="2:11" ht="15" customHeight="1">
      <c r="B84"/>
      <c r="C84"/>
      <c r="D84"/>
      <c r="E84"/>
      <c r="F84"/>
      <c r="G84"/>
      <c r="H84"/>
      <c r="I84"/>
      <c r="J84"/>
      <c r="K84"/>
    </row>
    <row r="85" spans="2:11" ht="25.5" customHeight="1">
      <c r="B85"/>
      <c r="C85"/>
      <c r="D85"/>
      <c r="E85"/>
      <c r="F85"/>
      <c r="G85"/>
      <c r="H85"/>
      <c r="I85"/>
      <c r="J85"/>
      <c r="K85"/>
    </row>
    <row r="86" spans="2:11">
      <c r="B86"/>
      <c r="C86"/>
      <c r="D86"/>
      <c r="E86"/>
      <c r="F86"/>
      <c r="G86"/>
      <c r="H86"/>
      <c r="I86"/>
      <c r="J86"/>
      <c r="K86"/>
    </row>
    <row r="87" spans="2:11">
      <c r="B87"/>
      <c r="C87"/>
      <c r="D87"/>
      <c r="E87"/>
      <c r="F87"/>
      <c r="G87"/>
      <c r="H87"/>
      <c r="I87"/>
      <c r="J87"/>
      <c r="K87"/>
    </row>
    <row r="88" spans="2:11" ht="15" customHeight="1">
      <c r="B88"/>
      <c r="C88"/>
      <c r="D88"/>
      <c r="E88"/>
      <c r="F88"/>
      <c r="G88"/>
      <c r="H88"/>
      <c r="I88"/>
      <c r="J88"/>
      <c r="K88"/>
    </row>
    <row r="89" spans="2:11" ht="15" customHeight="1">
      <c r="B89"/>
      <c r="C89"/>
      <c r="D89"/>
      <c r="E89"/>
      <c r="F89"/>
      <c r="G89"/>
      <c r="H89"/>
      <c r="I89"/>
      <c r="J89"/>
      <c r="K89"/>
    </row>
    <row r="90" spans="2:11" ht="15" customHeight="1">
      <c r="B90"/>
      <c r="C90"/>
      <c r="D90"/>
      <c r="E90"/>
      <c r="F90"/>
      <c r="G90"/>
      <c r="H90"/>
      <c r="I90"/>
      <c r="J90"/>
      <c r="K90"/>
    </row>
    <row r="91" spans="2:11" ht="15" customHeight="1">
      <c r="B91"/>
      <c r="C91"/>
      <c r="D91"/>
      <c r="E91"/>
      <c r="F91"/>
      <c r="G91"/>
      <c r="H91"/>
      <c r="I91"/>
      <c r="J91"/>
      <c r="K91"/>
    </row>
    <row r="92" spans="2:11">
      <c r="B92"/>
      <c r="C92"/>
      <c r="D92"/>
      <c r="E92"/>
      <c r="F92"/>
      <c r="G92"/>
      <c r="H92"/>
      <c r="I92"/>
      <c r="J92"/>
      <c r="K92"/>
    </row>
    <row r="93" spans="2:11">
      <c r="B93"/>
      <c r="C93"/>
      <c r="D93"/>
      <c r="E93"/>
      <c r="F93"/>
      <c r="G93"/>
      <c r="H93"/>
      <c r="I93"/>
      <c r="J93"/>
      <c r="K93"/>
    </row>
    <row r="94" spans="2:11">
      <c r="B94"/>
      <c r="C94"/>
      <c r="D94"/>
      <c r="E94"/>
      <c r="F94"/>
      <c r="G94"/>
      <c r="H94"/>
      <c r="I94"/>
      <c r="J94"/>
      <c r="K94"/>
    </row>
    <row r="95" spans="2:11">
      <c r="B95"/>
      <c r="C95"/>
      <c r="D95"/>
      <c r="E95"/>
      <c r="F95"/>
      <c r="G95"/>
      <c r="H95"/>
      <c r="I95"/>
      <c r="J95"/>
      <c r="K95"/>
    </row>
    <row r="96" spans="2:11">
      <c r="B96"/>
      <c r="C96"/>
      <c r="D96"/>
      <c r="E96"/>
      <c r="F96"/>
      <c r="G96"/>
      <c r="H96"/>
      <c r="I96"/>
      <c r="J96"/>
      <c r="K96"/>
    </row>
    <row r="97" spans="2:11">
      <c r="B97"/>
      <c r="C97"/>
      <c r="D97"/>
      <c r="E97"/>
      <c r="F97"/>
      <c r="G97"/>
      <c r="H97"/>
      <c r="I97"/>
      <c r="J97"/>
      <c r="K97"/>
    </row>
    <row r="98" spans="2:11">
      <c r="B98"/>
      <c r="C98"/>
      <c r="D98"/>
      <c r="E98"/>
      <c r="F98"/>
      <c r="G98"/>
      <c r="H98"/>
      <c r="I98"/>
      <c r="J98"/>
      <c r="K98"/>
    </row>
    <row r="99" spans="2:11">
      <c r="B99"/>
      <c r="C99"/>
      <c r="D99"/>
      <c r="E99"/>
      <c r="F99"/>
      <c r="G99"/>
      <c r="H99"/>
      <c r="I99"/>
      <c r="J99"/>
      <c r="K99"/>
    </row>
    <row r="100" spans="2:11">
      <c r="B100"/>
      <c r="C100"/>
      <c r="D100"/>
      <c r="E100"/>
      <c r="F100"/>
      <c r="G100"/>
      <c r="H100"/>
      <c r="I100"/>
      <c r="J100"/>
      <c r="K100"/>
    </row>
    <row r="101" spans="2:11">
      <c r="B101"/>
      <c r="C101"/>
      <c r="D101"/>
      <c r="E101"/>
      <c r="F101"/>
      <c r="G101"/>
      <c r="H101"/>
      <c r="I101"/>
      <c r="J101"/>
      <c r="K101"/>
    </row>
    <row r="102" spans="2:11">
      <c r="B102"/>
      <c r="C102"/>
      <c r="D102"/>
      <c r="E102"/>
      <c r="F102"/>
      <c r="G102"/>
      <c r="H102"/>
      <c r="I102"/>
      <c r="J102"/>
      <c r="K102"/>
    </row>
    <row r="103" spans="2:11">
      <c r="B103"/>
      <c r="C103"/>
      <c r="D103"/>
      <c r="E103"/>
      <c r="F103"/>
      <c r="G103"/>
      <c r="H103"/>
      <c r="I103"/>
      <c r="J103"/>
      <c r="K103"/>
    </row>
    <row r="104" spans="2:11">
      <c r="B104"/>
      <c r="C104"/>
      <c r="D104"/>
      <c r="E104"/>
      <c r="F104"/>
      <c r="G104"/>
      <c r="H104"/>
      <c r="I104"/>
      <c r="J104"/>
      <c r="K104"/>
    </row>
    <row r="105" spans="2:11">
      <c r="B105"/>
      <c r="C105"/>
      <c r="D105"/>
      <c r="E105"/>
      <c r="F105"/>
      <c r="G105"/>
      <c r="H105"/>
      <c r="I105"/>
      <c r="J105"/>
      <c r="K105"/>
    </row>
    <row r="106" spans="2:11">
      <c r="B106"/>
      <c r="C106"/>
      <c r="D106"/>
      <c r="E106"/>
      <c r="F106"/>
      <c r="G106"/>
      <c r="H106"/>
      <c r="I106"/>
      <c r="J106"/>
      <c r="K106"/>
    </row>
    <row r="107" spans="2:11">
      <c r="B107"/>
      <c r="C107"/>
      <c r="D107"/>
      <c r="E107"/>
      <c r="F107"/>
      <c r="G107"/>
      <c r="H107"/>
      <c r="I107"/>
      <c r="J107"/>
      <c r="K107"/>
    </row>
  </sheetData>
  <mergeCells count="11">
    <mergeCell ref="G12:J12"/>
    <mergeCell ref="G11:J11"/>
    <mergeCell ref="B2:K3"/>
    <mergeCell ref="E7:I7"/>
    <mergeCell ref="E11:F11"/>
    <mergeCell ref="E9:F9"/>
    <mergeCell ref="C33:D34"/>
    <mergeCell ref="E33:F34"/>
    <mergeCell ref="G33:H34"/>
    <mergeCell ref="I33:J34"/>
    <mergeCell ref="Z23:AG23"/>
  </mergeCells>
  <phoneticPr fontId="7" type="noConversion"/>
  <conditionalFormatting sqref="G21">
    <cfRule type="expression" dxfId="206" priority="37">
      <formula>G21="Major Roadway"</formula>
    </cfRule>
  </conditionalFormatting>
  <conditionalFormatting sqref="G22">
    <cfRule type="expression" dxfId="205" priority="56">
      <formula>$I$20&lt;1</formula>
    </cfRule>
    <cfRule type="expression" dxfId="204" priority="57">
      <formula>$I$20&gt;=1</formula>
    </cfRule>
  </conditionalFormatting>
  <conditionalFormatting sqref="H21">
    <cfRule type="expression" dxfId="202" priority="34">
      <formula>$I$20&lt;2</formula>
    </cfRule>
    <cfRule type="expression" dxfId="201" priority="38">
      <formula>H21="Roadway 2 Name"</formula>
    </cfRule>
  </conditionalFormatting>
  <conditionalFormatting sqref="H22">
    <cfRule type="expression" dxfId="200" priority="59">
      <formula>$I$20&lt;2</formula>
    </cfRule>
    <cfRule type="expression" dxfId="199" priority="60">
      <formula>$I$20&gt;=2</formula>
    </cfRule>
  </conditionalFormatting>
  <conditionalFormatting sqref="I21">
    <cfRule type="expression" dxfId="198" priority="33">
      <formula>$I$20&lt;3</formula>
    </cfRule>
    <cfRule type="expression" dxfId="197" priority="36">
      <formula>I21="Roadway 3 Name"</formula>
    </cfRule>
  </conditionalFormatting>
  <conditionalFormatting sqref="I22">
    <cfRule type="expression" dxfId="196" priority="55">
      <formula>$I$20&gt;=3</formula>
    </cfRule>
    <cfRule type="expression" dxfId="195" priority="58">
      <formula>$I$20&lt;3</formula>
    </cfRule>
  </conditionalFormatting>
  <conditionalFormatting sqref="J21">
    <cfRule type="expression" dxfId="193" priority="32">
      <formula>$I$20&lt;4</formula>
    </cfRule>
    <cfRule type="expression" dxfId="192" priority="35">
      <formula>J21="Roadway 4 Name"</formula>
    </cfRule>
  </conditionalFormatting>
  <conditionalFormatting sqref="J22">
    <cfRule type="expression" dxfId="191" priority="53">
      <formula>$I$20&lt;4</formula>
    </cfRule>
    <cfRule type="expression" dxfId="190" priority="54">
      <formula>$I$20&gt;=4</formula>
    </cfRule>
  </conditionalFormatting>
  <dataValidations xWindow="855" yWindow="589" count="13">
    <dataValidation type="list" allowBlank="1" showInputMessage="1" showErrorMessage="1" sqref="G44:J45" xr:uid="{C750B321-EC9A-413A-A908-D8046E7F0D53}">
      <formula1>$T$45:$T$49</formula1>
    </dataValidation>
    <dataValidation type="list" allowBlank="1" showInputMessage="1" showErrorMessage="1" sqref="G57:J57 G66:J66" xr:uid="{D4B243C6-CB46-440F-8A3E-0DA0A6925FC2}">
      <formula1>$W$45:$W$47</formula1>
    </dataValidation>
    <dataValidation type="list" allowBlank="1" showInputMessage="1" showErrorMessage="1" sqref="G58:J58" xr:uid="{31276B65-2302-44D5-8294-A65DC54A2A45}">
      <formula1>$T$55:$T$58</formula1>
    </dataValidation>
    <dataValidation type="list" allowBlank="1" showInputMessage="1" showErrorMessage="1" sqref="G49:J49" xr:uid="{69229302-2040-4EA0-A7F6-F5391C2830FB}">
      <formula1>$AA$45:$AA$48</formula1>
    </dataValidation>
    <dataValidation type="list" allowBlank="1" showInputMessage="1" showErrorMessage="1" sqref="G67:J67" xr:uid="{CB59F291-9537-44B1-8EB7-46289B979787}">
      <formula1>$T$60:$T$63</formula1>
    </dataValidation>
    <dataValidation type="list" allowBlank="1" showInputMessage="1" showErrorMessage="1" sqref="G17" xr:uid="{853DA677-0E2E-4383-9BB6-94073740E722}">
      <formula1>Municipalities</formula1>
    </dataValidation>
    <dataValidation type="whole" allowBlank="1" showInputMessage="1" showErrorMessage="1" errorTitle="Too Many Segments" error="The tool can only accomodate 4 segments. Either try to use typical conditions to combine segments or fill out the tool twice._x000a__x000a_A minimum of 1 segment should be entered." promptTitle="# Roadways" prompt="The tool is meant for smaller scale projects and is limited to 4 roadways. If the scope is signficantly different along a roadway (i.e. one section proposes a new sidewalk while the other is just paving), these should be entered as separate roadways." sqref="I20" xr:uid="{A1E7D98E-FA6E-44B5-9427-339167291BEF}">
      <formula1>1</formula1>
      <formula2>4</formula2>
    </dataValidation>
    <dataValidation type="list" allowBlank="1" showInputMessage="1" showErrorMessage="1" promptTitle="Funding Source" prompt="This tool is meant to serve the 3 Funding Programs listed. Choose the grant that is funding most or all of the project." sqref="E11:F11" xr:uid="{AA1B0ABD-FE4F-4F72-B8DE-B64FD4E21B51}">
      <formula1>Project_Type</formula1>
    </dataValidation>
    <dataValidation type="whole" errorStyle="warning" operator="greaterThanOrEqual" allowBlank="1" showInputMessage="1" showErrorMessage="1" errorTitle="Year" error="Please enter a present or future year." promptTitle="Construction Year" prompt="An assumed inflation rate will be added to the calculated construction cost depending on which year construction is most likely to begin." sqref="G13" xr:uid="{4162C4D2-7EA9-4076-B021-406E75810D0D}">
      <formula1>YEAR(TODAY())</formula1>
    </dataValidation>
    <dataValidation allowBlank="1" showInputMessage="1" showErrorMessage="1" promptTitle="Project Number" prompt="If the project has been approved through the Project Initiation Process on MaPIT, you would have been assigned a 6-digit MassDOT Project #. Leave this blank or write &quot;N/A&quot; if not applicable." sqref="E9:F9" xr:uid="{4DA6F504-D952-40B1-9F90-2D048ECE8E09}"/>
    <dataValidation allowBlank="1" showInputMessage="1" showErrorMessage="1" promptTitle="Roadway Name" prompt="Replace the grey and red text with the name of the Roadway to be entered into the tool." sqref="G21:J21" xr:uid="{F36682BB-CBDA-4620-BDF8-A8629D5B910F}"/>
    <dataValidation allowBlank="1" showInputMessage="1" showErrorMessage="1" promptTitle="Roadway length" prompt="Roadway length can include side streets, driveways, and intersections. Input the length of roadway to be reconstructed, improved, or built." sqref="G22:J22" xr:uid="{A77E1B81-930C-4236-9FFC-FE96A5CA0045}"/>
    <dataValidation allowBlank="1" showInputMessage="1" showErrorMessage="1" promptTitle="Data Input Tabs" prompt="If the box is colored in with the name of a tab, you should fill in the information on that tab based on the checkboxes that were checked off above for project elements." sqref="C33:J34" xr:uid="{C7BDE2C2-470E-4B9C-93CB-4CD9F27F0BE6}"/>
  </dataValidations>
  <pageMargins left="0.75" right="0.75" top="1" bottom="1" header="0.5" footer="0.5"/>
  <pageSetup scale="96" fitToHeight="0" orientation="portrait" r:id="rId1"/>
  <headerFooter alignWithMargins="0">
    <oddHeader>&amp;C&amp;"Arial,Bold Italic"&amp;20DRAFT - TOOL STILL IN PRODUCTION</oddHeader>
    <oddFooter>&amp;C&amp;"Futura Bk BT,Book"Page &amp;P</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924703" r:id="rId5" name="Check Box 31">
              <controlPr locked="0" defaultSize="0" autoFill="0" autoLine="0" autoPict="0">
                <anchor moveWithCells="1">
                  <from>
                    <xdr:col>2</xdr:col>
                    <xdr:colOff>0</xdr:colOff>
                    <xdr:row>25</xdr:row>
                    <xdr:rowOff>66675</xdr:rowOff>
                  </from>
                  <to>
                    <xdr:col>3</xdr:col>
                    <xdr:colOff>257175</xdr:colOff>
                    <xdr:row>26</xdr:row>
                    <xdr:rowOff>104775</xdr:rowOff>
                  </to>
                </anchor>
              </controlPr>
            </control>
          </mc:Choice>
        </mc:AlternateContent>
        <mc:AlternateContent xmlns:mc="http://schemas.openxmlformats.org/markup-compatibility/2006">
          <mc:Choice Requires="x14">
            <control shapeId="924704" r:id="rId6" name="Check Box 32">
              <controlPr defaultSize="0" autoFill="0" autoLine="0" autoPict="0">
                <anchor moveWithCells="1">
                  <from>
                    <xdr:col>3</xdr:col>
                    <xdr:colOff>352425</xdr:colOff>
                    <xdr:row>26</xdr:row>
                    <xdr:rowOff>76200</xdr:rowOff>
                  </from>
                  <to>
                    <xdr:col>4</xdr:col>
                    <xdr:colOff>638175</xdr:colOff>
                    <xdr:row>27</xdr:row>
                    <xdr:rowOff>114300</xdr:rowOff>
                  </to>
                </anchor>
              </controlPr>
            </control>
          </mc:Choice>
        </mc:AlternateContent>
        <mc:AlternateContent xmlns:mc="http://schemas.openxmlformats.org/markup-compatibility/2006">
          <mc:Choice Requires="x14">
            <control shapeId="924705" r:id="rId7" name="Check Box 33">
              <controlPr defaultSize="0" autoFill="0" autoLine="0" autoPict="0">
                <anchor moveWithCells="1">
                  <from>
                    <xdr:col>5</xdr:col>
                    <xdr:colOff>104775</xdr:colOff>
                    <xdr:row>26</xdr:row>
                    <xdr:rowOff>66675</xdr:rowOff>
                  </from>
                  <to>
                    <xdr:col>6</xdr:col>
                    <xdr:colOff>581025</xdr:colOff>
                    <xdr:row>27</xdr:row>
                    <xdr:rowOff>123825</xdr:rowOff>
                  </to>
                </anchor>
              </controlPr>
            </control>
          </mc:Choice>
        </mc:AlternateContent>
        <mc:AlternateContent xmlns:mc="http://schemas.openxmlformats.org/markup-compatibility/2006">
          <mc:Choice Requires="x14">
            <control shapeId="924706" r:id="rId8" name="Check Box 34">
              <controlPr defaultSize="0" autoFill="0" autoLine="0" autoPict="0">
                <anchor moveWithCells="1">
                  <from>
                    <xdr:col>7</xdr:col>
                    <xdr:colOff>466725</xdr:colOff>
                    <xdr:row>25</xdr:row>
                    <xdr:rowOff>38100</xdr:rowOff>
                  </from>
                  <to>
                    <xdr:col>9</xdr:col>
                    <xdr:colOff>295275</xdr:colOff>
                    <xdr:row>26</xdr:row>
                    <xdr:rowOff>123825</xdr:rowOff>
                  </to>
                </anchor>
              </controlPr>
            </control>
          </mc:Choice>
        </mc:AlternateContent>
        <mc:AlternateContent xmlns:mc="http://schemas.openxmlformats.org/markup-compatibility/2006">
          <mc:Choice Requires="x14">
            <control shapeId="924707" r:id="rId9" name="Check Box 35">
              <controlPr defaultSize="0" autoFill="0" autoLine="0" autoPict="0">
                <anchor moveWithCells="1">
                  <from>
                    <xdr:col>1</xdr:col>
                    <xdr:colOff>200025</xdr:colOff>
                    <xdr:row>26</xdr:row>
                    <xdr:rowOff>66675</xdr:rowOff>
                  </from>
                  <to>
                    <xdr:col>3</xdr:col>
                    <xdr:colOff>266700</xdr:colOff>
                    <xdr:row>27</xdr:row>
                    <xdr:rowOff>76200</xdr:rowOff>
                  </to>
                </anchor>
              </controlPr>
            </control>
          </mc:Choice>
        </mc:AlternateContent>
        <mc:AlternateContent xmlns:mc="http://schemas.openxmlformats.org/markup-compatibility/2006">
          <mc:Choice Requires="x14">
            <control shapeId="924708" r:id="rId10" name="Check Box 36">
              <controlPr defaultSize="0" autoFill="0" autoLine="0" autoPict="0">
                <anchor moveWithCells="1">
                  <from>
                    <xdr:col>2</xdr:col>
                    <xdr:colOff>0</xdr:colOff>
                    <xdr:row>27</xdr:row>
                    <xdr:rowOff>47625</xdr:rowOff>
                  </from>
                  <to>
                    <xdr:col>3</xdr:col>
                    <xdr:colOff>371475</xdr:colOff>
                    <xdr:row>28</xdr:row>
                    <xdr:rowOff>66675</xdr:rowOff>
                  </to>
                </anchor>
              </controlPr>
            </control>
          </mc:Choice>
        </mc:AlternateContent>
        <mc:AlternateContent xmlns:mc="http://schemas.openxmlformats.org/markup-compatibility/2006">
          <mc:Choice Requires="x14">
            <control shapeId="924709" r:id="rId11" name="Check Box 37">
              <controlPr defaultSize="0" autoFill="0" autoLine="0" autoPict="0">
                <anchor moveWithCells="1">
                  <from>
                    <xdr:col>5</xdr:col>
                    <xdr:colOff>104775</xdr:colOff>
                    <xdr:row>25</xdr:row>
                    <xdr:rowOff>66675</xdr:rowOff>
                  </from>
                  <to>
                    <xdr:col>6</xdr:col>
                    <xdr:colOff>581025</xdr:colOff>
                    <xdr:row>26</xdr:row>
                    <xdr:rowOff>114300</xdr:rowOff>
                  </to>
                </anchor>
              </controlPr>
            </control>
          </mc:Choice>
        </mc:AlternateContent>
        <mc:AlternateContent xmlns:mc="http://schemas.openxmlformats.org/markup-compatibility/2006">
          <mc:Choice Requires="x14">
            <control shapeId="924710" r:id="rId12" name="Check Box 38">
              <controlPr defaultSize="0" autoFill="0" autoLine="0" autoPict="0">
                <anchor moveWithCells="1">
                  <from>
                    <xdr:col>3</xdr:col>
                    <xdr:colOff>352425</xdr:colOff>
                    <xdr:row>27</xdr:row>
                    <xdr:rowOff>66675</xdr:rowOff>
                  </from>
                  <to>
                    <xdr:col>4</xdr:col>
                    <xdr:colOff>733425</xdr:colOff>
                    <xdr:row>28</xdr:row>
                    <xdr:rowOff>104775</xdr:rowOff>
                  </to>
                </anchor>
              </controlPr>
            </control>
          </mc:Choice>
        </mc:AlternateContent>
        <mc:AlternateContent xmlns:mc="http://schemas.openxmlformats.org/markup-compatibility/2006">
          <mc:Choice Requires="x14">
            <control shapeId="924711" r:id="rId13" name="Check Box 39">
              <controlPr defaultSize="0" autoFill="0" autoLine="0" autoPict="0">
                <anchor moveWithCells="1">
                  <from>
                    <xdr:col>5</xdr:col>
                    <xdr:colOff>104775</xdr:colOff>
                    <xdr:row>28</xdr:row>
                    <xdr:rowOff>161925</xdr:rowOff>
                  </from>
                  <to>
                    <xdr:col>6</xdr:col>
                    <xdr:colOff>561975</xdr:colOff>
                    <xdr:row>31</xdr:row>
                    <xdr:rowOff>38100</xdr:rowOff>
                  </to>
                </anchor>
              </controlPr>
            </control>
          </mc:Choice>
        </mc:AlternateContent>
        <mc:AlternateContent xmlns:mc="http://schemas.openxmlformats.org/markup-compatibility/2006">
          <mc:Choice Requires="x14">
            <control shapeId="924712" r:id="rId14" name="Check Box 40">
              <controlPr defaultSize="0" autoFill="0" autoLine="0" autoPict="0">
                <anchor moveWithCells="1">
                  <from>
                    <xdr:col>7</xdr:col>
                    <xdr:colOff>466725</xdr:colOff>
                    <xdr:row>26</xdr:row>
                    <xdr:rowOff>66675</xdr:rowOff>
                  </from>
                  <to>
                    <xdr:col>9</xdr:col>
                    <xdr:colOff>295275</xdr:colOff>
                    <xdr:row>27</xdr:row>
                    <xdr:rowOff>104775</xdr:rowOff>
                  </to>
                </anchor>
              </controlPr>
            </control>
          </mc:Choice>
        </mc:AlternateContent>
        <mc:AlternateContent xmlns:mc="http://schemas.openxmlformats.org/markup-compatibility/2006">
          <mc:Choice Requires="x14">
            <control shapeId="924713" r:id="rId15" name="Check Box 41">
              <controlPr defaultSize="0" autoFill="0" autoLine="0" autoPict="0">
                <anchor moveWithCells="1">
                  <from>
                    <xdr:col>1</xdr:col>
                    <xdr:colOff>190500</xdr:colOff>
                    <xdr:row>28</xdr:row>
                    <xdr:rowOff>38100</xdr:rowOff>
                  </from>
                  <to>
                    <xdr:col>3</xdr:col>
                    <xdr:colOff>295275</xdr:colOff>
                    <xdr:row>29</xdr:row>
                    <xdr:rowOff>76200</xdr:rowOff>
                  </to>
                </anchor>
              </controlPr>
            </control>
          </mc:Choice>
        </mc:AlternateContent>
        <mc:AlternateContent xmlns:mc="http://schemas.openxmlformats.org/markup-compatibility/2006">
          <mc:Choice Requires="x14">
            <control shapeId="924714" r:id="rId16" name="Check Box 42">
              <controlPr defaultSize="0" autoFill="0" autoLine="0" autoPict="0">
                <anchor moveWithCells="1">
                  <from>
                    <xdr:col>3</xdr:col>
                    <xdr:colOff>352425</xdr:colOff>
                    <xdr:row>25</xdr:row>
                    <xdr:rowOff>66675</xdr:rowOff>
                  </from>
                  <to>
                    <xdr:col>4</xdr:col>
                    <xdr:colOff>657225</xdr:colOff>
                    <xdr:row>26</xdr:row>
                    <xdr:rowOff>114300</xdr:rowOff>
                  </to>
                </anchor>
              </controlPr>
            </control>
          </mc:Choice>
        </mc:AlternateContent>
        <mc:AlternateContent xmlns:mc="http://schemas.openxmlformats.org/markup-compatibility/2006">
          <mc:Choice Requires="x14">
            <control shapeId="924715" r:id="rId17" name="Check Box 43">
              <controlPr defaultSize="0" autoFill="0" autoLine="0" autoPict="0">
                <anchor moveWithCells="1">
                  <from>
                    <xdr:col>7</xdr:col>
                    <xdr:colOff>466725</xdr:colOff>
                    <xdr:row>27</xdr:row>
                    <xdr:rowOff>76200</xdr:rowOff>
                  </from>
                  <to>
                    <xdr:col>9</xdr:col>
                    <xdr:colOff>457200</xdr:colOff>
                    <xdr:row>28</xdr:row>
                    <xdr:rowOff>104775</xdr:rowOff>
                  </to>
                </anchor>
              </controlPr>
            </control>
          </mc:Choice>
        </mc:AlternateContent>
        <mc:AlternateContent xmlns:mc="http://schemas.openxmlformats.org/markup-compatibility/2006">
          <mc:Choice Requires="x14">
            <control shapeId="924716" r:id="rId18" name="Check Box 44">
              <controlPr defaultSize="0" autoFill="0" autoLine="0" autoPict="0">
                <anchor moveWithCells="1">
                  <from>
                    <xdr:col>3</xdr:col>
                    <xdr:colOff>371475</xdr:colOff>
                    <xdr:row>29</xdr:row>
                    <xdr:rowOff>66675</xdr:rowOff>
                  </from>
                  <to>
                    <xdr:col>4</xdr:col>
                    <xdr:colOff>600075</xdr:colOff>
                    <xdr:row>30</xdr:row>
                    <xdr:rowOff>114300</xdr:rowOff>
                  </to>
                </anchor>
              </controlPr>
            </control>
          </mc:Choice>
        </mc:AlternateContent>
        <mc:AlternateContent xmlns:mc="http://schemas.openxmlformats.org/markup-compatibility/2006">
          <mc:Choice Requires="x14">
            <control shapeId="924717" r:id="rId19" name="Check Box 45">
              <controlPr defaultSize="0" autoFill="0" autoLine="0" autoPict="0">
                <anchor moveWithCells="1">
                  <from>
                    <xdr:col>7</xdr:col>
                    <xdr:colOff>466725</xdr:colOff>
                    <xdr:row>29</xdr:row>
                    <xdr:rowOff>85725</xdr:rowOff>
                  </from>
                  <to>
                    <xdr:col>9</xdr:col>
                    <xdr:colOff>276225</xdr:colOff>
                    <xdr:row>30</xdr:row>
                    <xdr:rowOff>152400</xdr:rowOff>
                  </to>
                </anchor>
              </controlPr>
            </control>
          </mc:Choice>
        </mc:AlternateContent>
        <mc:AlternateContent xmlns:mc="http://schemas.openxmlformats.org/markup-compatibility/2006">
          <mc:Choice Requires="x14">
            <control shapeId="924718" r:id="rId20" name="Check Box 46">
              <controlPr defaultSize="0" autoFill="0" autoLine="0" autoPict="0">
                <anchor moveWithCells="1">
                  <from>
                    <xdr:col>7</xdr:col>
                    <xdr:colOff>485775</xdr:colOff>
                    <xdr:row>28</xdr:row>
                    <xdr:rowOff>85725</xdr:rowOff>
                  </from>
                  <to>
                    <xdr:col>9</xdr:col>
                    <xdr:colOff>333375</xdr:colOff>
                    <xdr:row>29</xdr:row>
                    <xdr:rowOff>114300</xdr:rowOff>
                  </to>
                </anchor>
              </controlPr>
            </control>
          </mc:Choice>
        </mc:AlternateContent>
        <mc:AlternateContent xmlns:mc="http://schemas.openxmlformats.org/markup-compatibility/2006">
          <mc:Choice Requires="x14">
            <control shapeId="924719" r:id="rId21" name="Check Box 47">
              <controlPr defaultSize="0" autoFill="0" autoLine="0" autoPict="0">
                <anchor moveWithCells="1">
                  <from>
                    <xdr:col>3</xdr:col>
                    <xdr:colOff>352425</xdr:colOff>
                    <xdr:row>28</xdr:row>
                    <xdr:rowOff>47625</xdr:rowOff>
                  </from>
                  <to>
                    <xdr:col>4</xdr:col>
                    <xdr:colOff>714375</xdr:colOff>
                    <xdr:row>29</xdr:row>
                    <xdr:rowOff>104775</xdr:rowOff>
                  </to>
                </anchor>
              </controlPr>
            </control>
          </mc:Choice>
        </mc:AlternateContent>
        <mc:AlternateContent xmlns:mc="http://schemas.openxmlformats.org/markup-compatibility/2006">
          <mc:Choice Requires="x14">
            <control shapeId="924720" r:id="rId22" name="Check Box 48">
              <controlPr defaultSize="0" autoFill="0" autoLine="0" autoPict="0">
                <anchor moveWithCells="1">
                  <from>
                    <xdr:col>1</xdr:col>
                    <xdr:colOff>190500</xdr:colOff>
                    <xdr:row>29</xdr:row>
                    <xdr:rowOff>66675</xdr:rowOff>
                  </from>
                  <to>
                    <xdr:col>3</xdr:col>
                    <xdr:colOff>333375</xdr:colOff>
                    <xdr:row>30</xdr:row>
                    <xdr:rowOff>104775</xdr:rowOff>
                  </to>
                </anchor>
              </controlPr>
            </control>
          </mc:Choice>
        </mc:AlternateContent>
        <mc:AlternateContent xmlns:mc="http://schemas.openxmlformats.org/markup-compatibility/2006">
          <mc:Choice Requires="x14">
            <control shapeId="924721" r:id="rId23" name="Check Box 49">
              <controlPr defaultSize="0" autoFill="0" autoLine="0" autoPict="0">
                <anchor moveWithCells="1">
                  <from>
                    <xdr:col>5</xdr:col>
                    <xdr:colOff>104775</xdr:colOff>
                    <xdr:row>28</xdr:row>
                    <xdr:rowOff>9525</xdr:rowOff>
                  </from>
                  <to>
                    <xdr:col>6</xdr:col>
                    <xdr:colOff>352425</xdr:colOff>
                    <xdr:row>29</xdr:row>
                    <xdr:rowOff>85725</xdr:rowOff>
                  </to>
                </anchor>
              </controlPr>
            </control>
          </mc:Choice>
        </mc:AlternateContent>
        <mc:AlternateContent xmlns:mc="http://schemas.openxmlformats.org/markup-compatibility/2006">
          <mc:Choice Requires="x14">
            <control shapeId="924728" r:id="rId24" name="Check Box 56">
              <controlPr defaultSize="0" autoFill="0" autoLine="0" autoPict="0">
                <anchor moveWithCells="1">
                  <from>
                    <xdr:col>5</xdr:col>
                    <xdr:colOff>104775</xdr:colOff>
                    <xdr:row>27</xdr:row>
                    <xdr:rowOff>38100</xdr:rowOff>
                  </from>
                  <to>
                    <xdr:col>7</xdr:col>
                    <xdr:colOff>238125</xdr:colOff>
                    <xdr:row>28</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ED08EB8D-2C04-4C76-912D-EB8102A8A561}">
            <xm:f>HIDDEN!D88&gt;0</xm:f>
            <x14:dxf>
              <font>
                <color auto="1"/>
              </font>
              <fill>
                <patternFill>
                  <bgColor theme="6"/>
                </patternFill>
              </fill>
            </x14:dxf>
          </x14:cfRule>
          <xm:sqref>C33</xm:sqref>
        </x14:conditionalFormatting>
        <x14:conditionalFormatting xmlns:xm="http://schemas.microsoft.com/office/excel/2006/main">
          <x14:cfRule type="expression" priority="4" id="{92A6A2C8-F2CF-4291-A4F9-850BE69DAD96}">
            <xm:f>HIDDEN!$E$89&gt;0</xm:f>
            <x14:dxf>
              <font>
                <color theme="0"/>
              </font>
              <fill>
                <patternFill>
                  <bgColor theme="7"/>
                </patternFill>
              </fill>
            </x14:dxf>
          </x14:cfRule>
          <xm:sqref>E33</xm:sqref>
        </x14:conditionalFormatting>
        <x14:conditionalFormatting xmlns:xm="http://schemas.microsoft.com/office/excel/2006/main">
          <x14:cfRule type="expression" priority="9" id="{BE280D5C-9CBA-4F7D-80E6-3B947EA191B8}">
            <xm:f>HIDDEN!$F$88&gt;0</xm:f>
            <x14:dxf>
              <font>
                <color theme="0"/>
              </font>
              <fill>
                <patternFill>
                  <bgColor theme="4"/>
                </patternFill>
              </fill>
            </x14:dxf>
          </x14:cfRule>
          <xm:sqref>G33</xm:sqref>
        </x14:conditionalFormatting>
        <x14:conditionalFormatting xmlns:xm="http://schemas.microsoft.com/office/excel/2006/main">
          <x14:cfRule type="expression" priority="1" id="{76DF489D-2247-440F-85D2-9B2BC0199968}">
            <xm:f>HIDDEN!$G$88&gt;0</xm:f>
            <x14:dxf>
              <font>
                <color auto="1"/>
              </font>
              <fill>
                <patternFill>
                  <bgColor theme="9"/>
                </patternFill>
              </fill>
            </x14:dxf>
          </x14:cfRule>
          <xm:sqref>I33</xm:sqref>
        </x14:conditionalFormatting>
      </x14:conditionalFormattings>
    </ext>
    <ext xmlns:x14="http://schemas.microsoft.com/office/spreadsheetml/2009/9/main" uri="{CCE6A557-97BC-4b89-ADB6-D9C93CAAB3DF}">
      <x14:dataValidations xmlns:xm="http://schemas.microsoft.com/office/excel/2006/main" xWindow="855" yWindow="589" count="1">
        <x14:dataValidation type="list" allowBlank="1" showInputMessage="1" showErrorMessage="1" promptTitle="Design and TTCP" prompt="Design includes the potential cost of hiring a consulting engineering firm to create plans and specifications to design the project. Traffic Control includes any temporary traffic measures and detouring that may be required during construction." xr:uid="{B49A617F-C98C-4912-AED5-9AA348B99A9B}">
          <x14:formula1>
            <xm:f>HIDDEN!$H$14:$H$17</xm:f>
          </x14:formula1>
          <xm:sqref>I15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E52DE-33FC-449F-8B01-BFCBA96731AE}">
  <sheetPr codeName="Sheet23">
    <tabColor rgb="FFFF0000"/>
    <pageSetUpPr fitToPage="1"/>
  </sheetPr>
  <dimension ref="A1:AF685"/>
  <sheetViews>
    <sheetView workbookViewId="0">
      <selection activeCell="A11" sqref="A11"/>
    </sheetView>
  </sheetViews>
  <sheetFormatPr defaultColWidth="8.85546875" defaultRowHeight="12.75"/>
  <cols>
    <col min="1" max="1" width="9.28515625" customWidth="1"/>
    <col min="2" max="2" width="52.7109375" style="28" bestFit="1" customWidth="1"/>
    <col min="3" max="3" width="21.7109375" customWidth="1"/>
    <col min="4" max="4" width="11.85546875" customWidth="1"/>
    <col min="5" max="5" width="30.7109375" customWidth="1"/>
    <col min="6" max="6" width="14.42578125" customWidth="1"/>
    <col min="7" max="7" width="14" customWidth="1"/>
    <col min="8" max="8" width="19.7109375" customWidth="1"/>
    <col min="9" max="9" width="24.42578125" customWidth="1"/>
    <col min="10" max="10" width="18.140625" customWidth="1"/>
    <col min="27" max="27" width="10" customWidth="1"/>
    <col min="28" max="28" width="10.7109375" customWidth="1"/>
    <col min="29" max="29" width="13" customWidth="1"/>
  </cols>
  <sheetData>
    <row r="1" spans="1:32" s="40" customFormat="1" ht="15.75" thickBot="1"/>
    <row r="2" spans="1:32" s="40" customFormat="1" ht="15" customHeight="1">
      <c r="A2" s="1205" t="s">
        <v>782</v>
      </c>
      <c r="B2" s="1261"/>
      <c r="C2" s="1261"/>
      <c r="D2" s="1261"/>
      <c r="E2" s="1261"/>
      <c r="F2" s="1261"/>
    </row>
    <row r="3" spans="1:32" s="40" customFormat="1" ht="15" customHeight="1">
      <c r="A3" s="1262"/>
      <c r="B3" s="1263"/>
      <c r="C3" s="1263"/>
      <c r="D3" s="1263"/>
      <c r="E3" s="1263"/>
      <c r="F3" s="1263"/>
    </row>
    <row r="4" spans="1:32" s="40" customFormat="1" ht="14.25" customHeight="1">
      <c r="A4" s="1207" t="s">
        <v>735</v>
      </c>
      <c r="B4" s="1264"/>
      <c r="C4" s="1264"/>
      <c r="D4" s="1264"/>
      <c r="E4" s="1264"/>
      <c r="F4" s="1264"/>
    </row>
    <row r="5" spans="1:32" s="40" customFormat="1" ht="15.75" customHeight="1" thickBot="1">
      <c r="A5" s="1209"/>
      <c r="B5" s="1265"/>
      <c r="C5" s="1265"/>
      <c r="D5" s="1265"/>
      <c r="E5" s="1265"/>
      <c r="F5" s="1265"/>
    </row>
    <row r="6" spans="1:32" s="40" customFormat="1" ht="15">
      <c r="B6" s="46"/>
      <c r="C6" s="46"/>
      <c r="D6" s="46"/>
      <c r="E6" s="46"/>
      <c r="F6" s="46"/>
    </row>
    <row r="7" spans="1:32" ht="49.5" customHeight="1">
      <c r="A7" s="546" t="s">
        <v>77</v>
      </c>
      <c r="B7" s="547" t="s">
        <v>21</v>
      </c>
      <c r="C7" s="546" t="s">
        <v>57</v>
      </c>
      <c r="D7" s="548" t="s">
        <v>0</v>
      </c>
      <c r="E7" s="546" t="s">
        <v>3842</v>
      </c>
      <c r="F7" s="559" t="s">
        <v>1796</v>
      </c>
      <c r="G7" s="580" t="s">
        <v>1544</v>
      </c>
      <c r="H7" s="580" t="s">
        <v>3932</v>
      </c>
      <c r="I7" s="580" t="s">
        <v>1555</v>
      </c>
      <c r="J7" s="580" t="s">
        <v>3926</v>
      </c>
      <c r="K7" s="1114" t="s">
        <v>3994</v>
      </c>
    </row>
    <row r="8" spans="1:32" ht="15.75" customHeight="1">
      <c r="A8" s="578"/>
      <c r="B8" s="579"/>
      <c r="C8" s="578"/>
      <c r="D8" s="578"/>
      <c r="E8" s="578"/>
      <c r="F8" s="578"/>
      <c r="H8" s="578"/>
      <c r="I8" s="578"/>
      <c r="K8" t="str">
        <f>IF(AND(_xlfn.IFNA(Output[[#This Row],[Mean Unit Price State]],0)=0,Output[[#This Row],[Price Override?]]=0),"CHECK","")</f>
        <v>CHECK</v>
      </c>
      <c r="Y8" s="507" t="s">
        <v>795</v>
      </c>
      <c r="Z8" s="507"/>
      <c r="AA8" s="507" t="s">
        <v>1551</v>
      </c>
      <c r="AB8" s="507" t="s">
        <v>3927</v>
      </c>
      <c r="AC8" s="507" t="s">
        <v>1553</v>
      </c>
      <c r="AD8" s="38"/>
      <c r="AE8" s="38"/>
      <c r="AF8" s="38"/>
    </row>
    <row r="9" spans="1:32">
      <c r="A9" s="110">
        <v>120.1</v>
      </c>
      <c r="B9" s="111" t="str">
        <f>_xlfn.XLOOKUP(A9,Prices[Item '#],Prices[Description])</f>
        <v>UNCLASSIFIED EXCAVATION</v>
      </c>
      <c r="C9" s="111" t="str">
        <f>_xlfn.XLOOKUP($A9,Prices[Item '#],Prices[Units])</f>
        <v>CY</v>
      </c>
      <c r="D9" s="112">
        <f ca="1">_xlfn.IFNA(_xlfn.XLOOKUP(A9,PullFromCalcs[Item],PullFromCalcs[Quantity]),"-")</f>
        <v>0</v>
      </c>
      <c r="E9" s="114">
        <f ca="1">ROUNDUP(IF(J9&gt;0,J9,_xlfn.IFNA(MAX(H9:I9),I9)),0)</f>
        <v>63</v>
      </c>
      <c r="F9" s="114">
        <f ca="1">_xlfn.IFNA(_xlfn.XLOOKUP(A9,PullFromCalcs[Item],PullFromCalcs[Price]),0)</f>
        <v>0</v>
      </c>
      <c r="G9" s="584" t="str">
        <f>_xlfn.XLOOKUP(A9,PullFromCalcs[Item],PullFromCalcs[Sheet],"User-Inputs")</f>
        <v>CIVIL</v>
      </c>
      <c r="H9" s="113" t="e" cm="1">
        <f t="array" ref="H9">_xlfn.XLOOKUP($A9&amp;BasicProjectData!$G$18,Prices[Item '#]&amp;Prices[Location],Prices[Mean Price])</f>
        <v>#N/A</v>
      </c>
      <c r="I9" s="113" cm="1">
        <f t="array" ref="I9">_xlfn.XLOOKUP($A9&amp;"All Districts",Prices[Item '#]&amp;Prices[Location],Prices[Mean Price])</f>
        <v>62.76</v>
      </c>
      <c r="J9">
        <f ca="1">_xlfn.XLOOKUP(A9,$Y$10:$Y$165,$AB$10:$AB$165)</f>
        <v>0</v>
      </c>
      <c r="K9" t="str">
        <f ca="1">IF(AND(_xlfn.IFNA(Output[[#This Row],[Mean Unit Price State]],0)=0,Output[[#This Row],[Price Override?]]=0),"CHECK","")</f>
        <v/>
      </c>
      <c r="Y9" s="125" t="s">
        <v>1543</v>
      </c>
      <c r="Z9" s="125" t="s">
        <v>1544</v>
      </c>
      <c r="AA9" s="38" t="s">
        <v>0</v>
      </c>
      <c r="AB9" s="38" t="s">
        <v>1552</v>
      </c>
      <c r="AC9" s="38" t="s">
        <v>1554</v>
      </c>
      <c r="AD9" s="38" t="s">
        <v>3994</v>
      </c>
      <c r="AE9" s="38"/>
      <c r="AF9" s="38"/>
    </row>
    <row r="10" spans="1:32">
      <c r="A10" s="581">
        <v>142</v>
      </c>
      <c r="B10" s="111" t="str">
        <f>_xlfn.XLOOKUP(A10,Prices[Item '#],Prices[Description])</f>
        <v>CLASS B TRENCH EXCAVATION</v>
      </c>
      <c r="C10" s="111" t="str">
        <f>_xlfn.XLOOKUP($A10,Prices[Item '#],Prices[Units])</f>
        <v>CY</v>
      </c>
      <c r="D10" s="112">
        <f ca="1">_xlfn.IFNA(_xlfn.XLOOKUP(A10,PullFromCalcs[Item],PullFromCalcs[Quantity]),"-")</f>
        <v>0</v>
      </c>
      <c r="E10" s="114">
        <f t="shared" ref="E10:E73" ca="1" si="0">ROUNDUP(IF(J10&gt;0,J10,_xlfn.IFNA(MAX(H10:I10),I10)),0)</f>
        <v>46</v>
      </c>
      <c r="F10" s="114">
        <f ca="1">_xlfn.IFNA(_xlfn.XLOOKUP(A10,PullFromCalcs[Item],PullFromCalcs[Price]),0)</f>
        <v>0</v>
      </c>
      <c r="G10" s="584" t="str">
        <f>_xlfn.XLOOKUP(A10,PullFromCalcs[Item],PullFromCalcs[Sheet],"User-Inputs")</f>
        <v>DRAINAGE</v>
      </c>
      <c r="H10" s="113" t="e" cm="1">
        <f t="array" ref="H10">_xlfn.XLOOKUP($A10&amp;BasicProjectData!$G$18,Prices[Item '#]&amp;Prices[Location],Prices[Mean Price])</f>
        <v>#N/A</v>
      </c>
      <c r="I10" s="113" cm="1">
        <f t="array" ref="I10">_xlfn.XLOOKUP($A10&amp;"All Districts",Prices[Item '#]&amp;Prices[Location],Prices[Mean Price])</f>
        <v>45.77</v>
      </c>
      <c r="J10">
        <f ca="1">_xlfn.XLOOKUP(A10,$Y$10:$Y$165,$AB$10:$AB$165)</f>
        <v>0</v>
      </c>
      <c r="K10" t="str">
        <f ca="1">IF(AND(_xlfn.IFNA(Output[[#This Row],[Mean Unit Price State]],0)=0,Output[[#This Row],[Price Override?]]=0),"CHECK","")</f>
        <v/>
      </c>
      <c r="Y10" s="157">
        <v>120.1</v>
      </c>
      <c r="Z10" s="38" t="s">
        <v>3686</v>
      </c>
      <c r="AA10" s="38" cm="1">
        <f t="array" aca="1" ref="AA10" ca="1">_xlfn.XLOOKUP($Y10,INDIRECT("'"&amp;$Z10&amp;"'!C1:C1000"),INDIRECT("'"&amp;$Z10&amp;"'!"&amp;AA$8&amp;"1:"&amp;AA$8&amp;"1000"))</f>
        <v>0</v>
      </c>
      <c r="AB10" s="38" cm="1">
        <f t="array" aca="1" ref="AB10" ca="1">_xlfn.XLOOKUP($Y10,INDIRECT("'"&amp;$Z10&amp;"'!C1:C1000"),INDIRECT("'"&amp;$Z10&amp;"'!"&amp;AB$8&amp;"1:"&amp;AB$8&amp;"1000"))</f>
        <v>0</v>
      </c>
      <c r="AC10" s="505" cm="1">
        <f t="array" aca="1" ref="AC10" ca="1">_xlfn.XLOOKUP($Y10,INDIRECT("'"&amp;$Z10&amp;"'!C1:C1000"),INDIRECT("'"&amp;$Z10&amp;"'!"&amp;AC$8&amp;"1:"&amp;AC$8&amp;"1000"))</f>
        <v>0</v>
      </c>
      <c r="AD10" s="38"/>
      <c r="AE10" s="38"/>
      <c r="AF10" s="38"/>
    </row>
    <row r="11" spans="1:32">
      <c r="A11" s="115">
        <v>151</v>
      </c>
      <c r="B11" s="111" t="str">
        <f>_xlfn.XLOOKUP(A11,Prices[Item '#],Prices[Description])</f>
        <v>GRAVEL BORROW</v>
      </c>
      <c r="C11" s="111" t="str">
        <f>_xlfn.XLOOKUP($A11,Prices[Item '#],Prices[Units])</f>
        <v>CY</v>
      </c>
      <c r="D11" s="112">
        <f ca="1">_xlfn.IFNA(_xlfn.XLOOKUP(A11,PullFromCalcs[Item],PullFromCalcs[Quantity]),"-")</f>
        <v>0</v>
      </c>
      <c r="E11" s="114">
        <f t="shared" ca="1" si="0"/>
        <v>59</v>
      </c>
      <c r="F11" s="114">
        <f ca="1">_xlfn.IFNA(_xlfn.XLOOKUP(A11,PullFromCalcs[Item],PullFromCalcs[Price]),0)</f>
        <v>0</v>
      </c>
      <c r="G11" s="584" t="str">
        <f>_xlfn.XLOOKUP(A11,PullFromCalcs[Item],PullFromCalcs[Sheet],"User-Inputs")</f>
        <v>CIVIL</v>
      </c>
      <c r="H11" s="113" t="e" cm="1">
        <f t="array" ref="H11">_xlfn.XLOOKUP($A11&amp;BasicProjectData!$G$18,Prices[Item '#]&amp;Prices[Location],Prices[Mean Price])</f>
        <v>#N/A</v>
      </c>
      <c r="I11" s="113" cm="1">
        <f t="array" ref="I11">_xlfn.XLOOKUP($A11&amp;"All Districts",Prices[Item '#]&amp;Prices[Location],Prices[Mean Price])</f>
        <v>58.01</v>
      </c>
      <c r="J11">
        <f ca="1">_xlfn.XLOOKUP(A11,$Y$10:$Y$165,$AB$10:$AB$165)</f>
        <v>0</v>
      </c>
      <c r="K11" t="str">
        <f ca="1">IF(AND(_xlfn.IFNA(Output[[#This Row],[Mean Unit Price State]],0)=0,Output[[#This Row],[Price Override?]]=0),"CHECK","")</f>
        <v/>
      </c>
      <c r="Y11" s="157">
        <v>151</v>
      </c>
      <c r="Z11" s="38" t="s">
        <v>3686</v>
      </c>
      <c r="AA11" s="38" cm="1">
        <f t="array" aca="1" ref="AA11" ca="1">_xlfn.XLOOKUP($Y11,INDIRECT("'"&amp;$Z11&amp;"'!C1:C1000"),INDIRECT("'"&amp;$Z11&amp;"'!"&amp;AA$8&amp;"1:"&amp;AA$8&amp;"1000"))</f>
        <v>0</v>
      </c>
      <c r="AB11" s="38" cm="1">
        <f t="array" aca="1" ref="AB11" ca="1">_xlfn.XLOOKUP($Y11,INDIRECT("'"&amp;$Z11&amp;"'!C1:C1000"),INDIRECT("'"&amp;$Z11&amp;"'!"&amp;AB$8&amp;"1:"&amp;AB$8&amp;"1000"))</f>
        <v>0</v>
      </c>
      <c r="AC11" s="505" cm="1">
        <f t="array" aca="1" ref="AC11" ca="1">_xlfn.XLOOKUP($Y11,INDIRECT("'"&amp;$Z11&amp;"'!C1:C1000"),INDIRECT("'"&amp;$Z11&amp;"'!"&amp;AC$8&amp;"1:"&amp;AC$8&amp;"1000"))</f>
        <v>0</v>
      </c>
      <c r="AD11" s="38"/>
      <c r="AE11" s="38"/>
      <c r="AF11" s="38"/>
    </row>
    <row r="12" spans="1:32">
      <c r="A12" s="115">
        <v>151.19999999999999</v>
      </c>
      <c r="B12" s="111" t="str">
        <f>_xlfn.XLOOKUP(A12,Prices[Item '#],Prices[Description])</f>
        <v>GRAVEL BORROW FOR BACKFILLING STRUCTURES AND PIPES</v>
      </c>
      <c r="C12" s="111" t="str">
        <f>_xlfn.XLOOKUP($A12,Prices[Item '#],Prices[Units])</f>
        <v>CY</v>
      </c>
      <c r="D12" s="112">
        <f ca="1">_xlfn.IFNA(_xlfn.XLOOKUP(A12,PullFromCalcs[Item],PullFromCalcs[Quantity]),"-")</f>
        <v>0</v>
      </c>
      <c r="E12" s="114">
        <f t="shared" ca="1" si="0"/>
        <v>64</v>
      </c>
      <c r="F12" s="114">
        <f ca="1">_xlfn.IFNA(_xlfn.XLOOKUP(A12,PullFromCalcs[Item],PullFromCalcs[Price]),0)</f>
        <v>0</v>
      </c>
      <c r="G12" s="584" t="str">
        <f>_xlfn.XLOOKUP(A12,PullFromCalcs[Item],PullFromCalcs[Sheet],"MiscItems")</f>
        <v>DRAINAGE</v>
      </c>
      <c r="H12" s="113" t="e" cm="1">
        <f t="array" ref="H12">_xlfn.XLOOKUP($A12&amp;BasicProjectData!$G$18,Prices[Item '#]&amp;Prices[Location],Prices[Mean Price])</f>
        <v>#N/A</v>
      </c>
      <c r="I12" s="113" cm="1">
        <f t="array" ref="I12">_xlfn.XLOOKUP($A12&amp;"All Districts",Prices[Item '#]&amp;Prices[Location],Prices[Mean Price])</f>
        <v>63.51</v>
      </c>
      <c r="J12">
        <f ca="1">_xlfn.XLOOKUP(A12,$Y$10:$Y$165,$AB$10:$AB$165)</f>
        <v>0</v>
      </c>
      <c r="K12" t="str">
        <f ca="1">IF(AND(_xlfn.IFNA(Output[[#This Row],[Mean Unit Price State]],0)=0,Output[[#This Row],[Price Override?]]=0),"CHECK","")</f>
        <v/>
      </c>
      <c r="Y12" s="157">
        <v>170</v>
      </c>
      <c r="Z12" s="38" t="s">
        <v>3686</v>
      </c>
      <c r="AA12" s="38" cm="1">
        <f t="array" aca="1" ref="AA12" ca="1">_xlfn.XLOOKUP($Y12,INDIRECT("'"&amp;$Z12&amp;"'!C1:C1000"),INDIRECT("'"&amp;$Z12&amp;"'!"&amp;AA$8&amp;"1:"&amp;AA$8&amp;"1000"))</f>
        <v>0</v>
      </c>
      <c r="AB12" s="38" cm="1">
        <f t="array" aca="1" ref="AB12" ca="1">_xlfn.XLOOKUP($Y12,INDIRECT("'"&amp;$Z12&amp;"'!C1:C1000"),INDIRECT("'"&amp;$Z12&amp;"'!"&amp;AB$8&amp;"1:"&amp;AB$8&amp;"1000"))</f>
        <v>0</v>
      </c>
      <c r="AC12" s="505" cm="1">
        <f t="array" aca="1" ref="AC12" ca="1">_xlfn.XLOOKUP($Y12,INDIRECT("'"&amp;$Z12&amp;"'!C1:C1000"),INDIRECT("'"&amp;$Z12&amp;"'!"&amp;AC$8&amp;"1:"&amp;AC$8&amp;"1000"))</f>
        <v>0</v>
      </c>
      <c r="AD12" s="38"/>
      <c r="AE12" s="38"/>
      <c r="AF12" s="38"/>
    </row>
    <row r="13" spans="1:32">
      <c r="A13" s="35">
        <v>156.01</v>
      </c>
      <c r="B13" s="686" t="s">
        <v>1665</v>
      </c>
      <c r="C13" s="686" t="s">
        <v>4</v>
      </c>
      <c r="D13" s="112">
        <f ca="1">_xlfn.IFNA(_xlfn.XLOOKUP(A13,PullFromCalcs[Item],PullFromCalcs[Quantity]),"-")</f>
        <v>0</v>
      </c>
      <c r="E13" s="114">
        <f t="shared" si="0"/>
        <v>50</v>
      </c>
      <c r="F13" s="114">
        <f ca="1">_xlfn.IFNA(_xlfn.XLOOKUP(A13,PullFromCalcs[Item],PullFromCalcs[Price]),0)</f>
        <v>0</v>
      </c>
      <c r="G13" s="584" t="str">
        <f>_xlfn.XLOOKUP(A13,PullFromCalcs[Item],PullFromCalcs[Sheet],"MiscItems")</f>
        <v>CIVIL</v>
      </c>
      <c r="H13" s="113" t="e" cm="1">
        <f t="array" ref="H13">_xlfn.XLOOKUP($A13&amp;BasicProjectData!$G$18,Prices[Item '#]&amp;Prices[Location],Prices[Mean Price])</f>
        <v>#N/A</v>
      </c>
      <c r="I13" s="1134" t="e" cm="1">
        <f t="array" ref="I13">_xlfn.XLOOKUP($A13&amp;"All Districts",Prices[Item '#]&amp;Prices[Location],Prices[Mean Price])</f>
        <v>#N/A</v>
      </c>
      <c r="J13" s="1135">
        <v>50</v>
      </c>
      <c r="K13" t="str">
        <f>IF(AND(_xlfn.IFNA(Output[[#This Row],[Mean Unit Price State]],0)=0,Output[[#This Row],[Price Override?]]=0),"CHECK","")</f>
        <v/>
      </c>
      <c r="Y13" s="157">
        <v>402</v>
      </c>
      <c r="Z13" s="38" t="s">
        <v>3686</v>
      </c>
      <c r="AA13" s="38" cm="1">
        <f t="array" aca="1" ref="AA13" ca="1">_xlfn.XLOOKUP($Y13,INDIRECT("'"&amp;$Z13&amp;"'!C1:C1000"),INDIRECT("'"&amp;$Z13&amp;"'!"&amp;AA$8&amp;"1:"&amp;AA$8&amp;"1000"))</f>
        <v>0</v>
      </c>
      <c r="AB13" s="38" cm="1">
        <f t="array" aca="1" ref="AB13" ca="1">_xlfn.XLOOKUP($Y13,INDIRECT("'"&amp;$Z13&amp;"'!C1:C1000"),INDIRECT("'"&amp;$Z13&amp;"'!"&amp;AB$8&amp;"1:"&amp;AB$8&amp;"1000"))</f>
        <v>0</v>
      </c>
      <c r="AC13" s="505" cm="1">
        <f t="array" aca="1" ref="AC13" ca="1">_xlfn.XLOOKUP($Y13,INDIRECT("'"&amp;$Z13&amp;"'!C1:C1000"),INDIRECT("'"&amp;$Z13&amp;"'!"&amp;AC$8&amp;"1:"&amp;AC$8&amp;"1000"))</f>
        <v>0</v>
      </c>
      <c r="AD13" s="38"/>
      <c r="AE13" s="38"/>
      <c r="AF13" s="38"/>
    </row>
    <row r="14" spans="1:32">
      <c r="A14" s="35">
        <v>156.02000000000001</v>
      </c>
      <c r="B14" s="686" t="s">
        <v>1665</v>
      </c>
      <c r="C14" s="686" t="s">
        <v>4</v>
      </c>
      <c r="D14" s="112">
        <f ca="1">_xlfn.IFNA(_xlfn.XLOOKUP(A14,PullFromCalcs[Item],PullFromCalcs[Quantity]),"-")</f>
        <v>0</v>
      </c>
      <c r="E14" s="114">
        <f t="shared" si="0"/>
        <v>55</v>
      </c>
      <c r="F14" s="114">
        <f ca="1">_xlfn.IFNA(_xlfn.XLOOKUP(A14,PullFromCalcs[Item],PullFromCalcs[Price]),0)</f>
        <v>0</v>
      </c>
      <c r="G14" s="584" t="str">
        <f>_xlfn.XLOOKUP(A14,PullFromCalcs[Item],PullFromCalcs[Sheet],"MiscItems")</f>
        <v>CIVIL</v>
      </c>
      <c r="H14" s="113" t="e" cm="1">
        <f t="array" ref="H14">_xlfn.XLOOKUP($A14&amp;BasicProjectData!$G$18,Prices[Item '#]&amp;Prices[Location],Prices[Mean Price])</f>
        <v>#N/A</v>
      </c>
      <c r="I14" s="1134" t="e" cm="1">
        <f t="array" ref="I14">_xlfn.XLOOKUP($A14&amp;"All Districts",Prices[Item '#]&amp;Prices[Location],Prices[Mean Price])</f>
        <v>#N/A</v>
      </c>
      <c r="J14" s="1135">
        <v>55</v>
      </c>
      <c r="K14" t="str">
        <f>IF(AND(_xlfn.IFNA(Output[[#This Row],[Mean Unit Price State]],0)=0,Output[[#This Row],[Price Override?]]=0),"CHECK","")</f>
        <v/>
      </c>
      <c r="Y14" s="157">
        <v>704.01</v>
      </c>
      <c r="Z14" s="38" t="s">
        <v>3686</v>
      </c>
      <c r="AA14" s="38" cm="1">
        <f t="array" aca="1" ref="AA14" ca="1">_xlfn.XLOOKUP($Y14,INDIRECT("'"&amp;$Z14&amp;"'!C1:C1000"),INDIRECT("'"&amp;$Z14&amp;"'!"&amp;AA$8&amp;"1:"&amp;AA$8&amp;"1000"))</f>
        <v>0</v>
      </c>
      <c r="AB14" s="38" cm="1">
        <f t="array" aca="1" ref="AB14" ca="1">_xlfn.XLOOKUP($Y14,INDIRECT("'"&amp;$Z14&amp;"'!C1:C1000"),INDIRECT("'"&amp;$Z14&amp;"'!"&amp;AB$8&amp;"1:"&amp;AB$8&amp;"1000"))</f>
        <v>0</v>
      </c>
      <c r="AC14" s="506" cm="1">
        <f t="array" aca="1" ref="AC14" ca="1">_xlfn.XLOOKUP($Y14,INDIRECT("'"&amp;$Z14&amp;"'!C1:C1000"),INDIRECT("'"&amp;$Z14&amp;"'!"&amp;AC$8&amp;"1:"&amp;AC$8&amp;"1000"))</f>
        <v>0</v>
      </c>
      <c r="AD14" s="38"/>
      <c r="AE14" s="38"/>
      <c r="AF14" s="38"/>
    </row>
    <row r="15" spans="1:32">
      <c r="A15" s="115">
        <v>170</v>
      </c>
      <c r="B15" s="111" t="str">
        <f>_xlfn.XLOOKUP(A15,Prices[Item '#],Prices[Description])</f>
        <v>FINE GRADING AND COMPACTING - SUBGRADE AREA</v>
      </c>
      <c r="C15" s="111" t="str">
        <f>_xlfn.XLOOKUP($A15,Prices[Item '#],Prices[Units])</f>
        <v>SY</v>
      </c>
      <c r="D15" s="112">
        <f ca="1">_xlfn.IFNA(_xlfn.XLOOKUP(A15,PullFromCalcs[Item],PullFromCalcs[Quantity]),"-")</f>
        <v>0</v>
      </c>
      <c r="E15" s="114">
        <f t="shared" ca="1" si="0"/>
        <v>9</v>
      </c>
      <c r="F15" s="114">
        <f ca="1">_xlfn.IFNA(_xlfn.XLOOKUP(A15,PullFromCalcs[Item],PullFromCalcs[Price]),0)</f>
        <v>0</v>
      </c>
      <c r="G15" s="584" t="str">
        <f>_xlfn.XLOOKUP(A15,PullFromCalcs[Item],PullFromCalcs[Sheet],"MiscItems")</f>
        <v>CIVIL</v>
      </c>
      <c r="H15" s="113" t="e" cm="1">
        <f t="array" ref="H15">_xlfn.XLOOKUP($A15&amp;BasicProjectData!$G$18,Prices[Item '#]&amp;Prices[Location],Prices[Mean Price])</f>
        <v>#N/A</v>
      </c>
      <c r="I15" s="113" cm="1">
        <f t="array" ref="I15">_xlfn.XLOOKUP($A15&amp;"All Districts",Prices[Item '#]&amp;Prices[Location],Prices[Mean Price])</f>
        <v>8.7899999999999991</v>
      </c>
      <c r="J15">
        <f t="shared" ref="J15:J28" ca="1" si="1">_xlfn.XLOOKUP(A15,$Y$10:$Y$165,$AB$10:$AB$165)</f>
        <v>0</v>
      </c>
      <c r="K15" t="str">
        <f ca="1">IF(AND(_xlfn.IFNA(Output[[#This Row],[Mean Unit Price State]],0)=0,Output[[#This Row],[Price Override?]]=0),"CHECK","")</f>
        <v/>
      </c>
      <c r="Y15" s="157">
        <v>431</v>
      </c>
      <c r="Z15" s="38" t="s">
        <v>3686</v>
      </c>
      <c r="AA15" s="38" cm="1">
        <f t="array" aca="1" ref="AA15" ca="1">_xlfn.XLOOKUP($Y15,INDIRECT("'"&amp;$Z15&amp;"'!C1:C1000"),INDIRECT("'"&amp;$Z15&amp;"'!"&amp;AA$8&amp;"1:"&amp;AA$8&amp;"1000"))</f>
        <v>0</v>
      </c>
      <c r="AB15" s="38" cm="1">
        <f t="array" aca="1" ref="AB15" ca="1">_xlfn.XLOOKUP($Y15,INDIRECT("'"&amp;$Z15&amp;"'!C1:C1000"),INDIRECT("'"&amp;$Z15&amp;"'!"&amp;AB$8&amp;"1:"&amp;AB$8&amp;"1000"))</f>
        <v>0</v>
      </c>
      <c r="AC15" s="505" cm="1">
        <f t="array" aca="1" ref="AC15" ca="1">_xlfn.XLOOKUP($Y15,INDIRECT("'"&amp;$Z15&amp;"'!C1:C1000"),INDIRECT("'"&amp;$Z15&amp;"'!"&amp;AC$8&amp;"1:"&amp;AC$8&amp;"1000"))</f>
        <v>0</v>
      </c>
      <c r="AD15" s="38"/>
      <c r="AE15" s="38"/>
      <c r="AF15" s="38"/>
    </row>
    <row r="16" spans="1:32">
      <c r="A16" s="31">
        <v>201</v>
      </c>
      <c r="B16" s="111" t="str">
        <f>_xlfn.XLOOKUP(A16,Prices[Item '#],Prices[Description])</f>
        <v>CATCH BASIN</v>
      </c>
      <c r="C16" s="111" t="str">
        <f>_xlfn.XLOOKUP($A16,Prices[Item '#],Prices[Units])</f>
        <v>EA</v>
      </c>
      <c r="D16" s="112">
        <f ca="1">_xlfn.IFNA(_xlfn.XLOOKUP(A16,PullFromCalcs[Item],PullFromCalcs[Quantity]),"-")</f>
        <v>0</v>
      </c>
      <c r="E16" s="114">
        <f t="shared" ca="1" si="0"/>
        <v>5565</v>
      </c>
      <c r="F16" s="114">
        <f ca="1">_xlfn.IFNA(_xlfn.XLOOKUP(A16,PullFromCalcs[Item],PullFromCalcs[Price]),0)</f>
        <v>0</v>
      </c>
      <c r="G16" s="584" t="str">
        <f>_xlfn.XLOOKUP(A16,PullFromCalcs[Item],PullFromCalcs[Sheet],"MiscItems")</f>
        <v>DRAINAGE</v>
      </c>
      <c r="H16" s="113" t="e" cm="1">
        <f t="array" ref="H16">_xlfn.XLOOKUP($A16&amp;BasicProjectData!$G$18,Prices[Item '#]&amp;Prices[Location],Prices[Mean Price])</f>
        <v>#N/A</v>
      </c>
      <c r="I16" s="113" cm="1">
        <f t="array" ref="I16">_xlfn.XLOOKUP($A16&amp;"All Districts",Prices[Item '#]&amp;Prices[Location],Prices[Mean Price])</f>
        <v>5564.75</v>
      </c>
      <c r="J16">
        <f t="shared" ca="1" si="1"/>
        <v>0</v>
      </c>
      <c r="K16" t="str">
        <f ca="1">IF(AND(_xlfn.IFNA(Output[[#This Row],[Mean Unit Price State]],0)=0,Output[[#This Row],[Price Override?]]=0),"CHECK","")</f>
        <v/>
      </c>
      <c r="Y16" s="157">
        <v>440</v>
      </c>
      <c r="Z16" s="38" t="s">
        <v>3686</v>
      </c>
      <c r="AA16" s="38" cm="1">
        <f t="array" aca="1" ref="AA16" ca="1">_xlfn.XLOOKUP($Y16,INDIRECT("'"&amp;$Z16&amp;"'!C1:C1000"),INDIRECT("'"&amp;$Z16&amp;"'!"&amp;AA$8&amp;"1:"&amp;AA$8&amp;"1000"))</f>
        <v>0</v>
      </c>
      <c r="AB16" s="38" cm="1">
        <f t="array" aca="1" ref="AB16" ca="1">_xlfn.XLOOKUP($Y16,INDIRECT("'"&amp;$Z16&amp;"'!C1:C1000"),INDIRECT("'"&amp;$Z16&amp;"'!"&amp;AB$8&amp;"1:"&amp;AB$8&amp;"1000"))</f>
        <v>0</v>
      </c>
      <c r="AC16" s="505" cm="1">
        <f t="array" aca="1" ref="AC16" ca="1">_xlfn.XLOOKUP($Y16,INDIRECT("'"&amp;$Z16&amp;"'!C1:C1000"),INDIRECT("'"&amp;$Z16&amp;"'!"&amp;AC$8&amp;"1:"&amp;AC$8&amp;"1000"))</f>
        <v>0</v>
      </c>
      <c r="AD16" s="38"/>
      <c r="AE16" s="38"/>
      <c r="AF16" s="38"/>
    </row>
    <row r="17" spans="1:32">
      <c r="A17" s="31">
        <v>202</v>
      </c>
      <c r="B17" s="111" t="str">
        <f>_xlfn.XLOOKUP(A17,Prices[Item '#],Prices[Description])</f>
        <v>MANHOLE</v>
      </c>
      <c r="C17" s="111" t="str">
        <f>_xlfn.XLOOKUP($A17,Prices[Item '#],Prices[Units])</f>
        <v>EA</v>
      </c>
      <c r="D17" s="112">
        <f ca="1">_xlfn.IFNA(_xlfn.XLOOKUP(A17,PullFromCalcs[Item],PullFromCalcs[Quantity]),"-")</f>
        <v>0</v>
      </c>
      <c r="E17" s="114">
        <f t="shared" ca="1" si="0"/>
        <v>6322</v>
      </c>
      <c r="F17" s="114">
        <f ca="1">_xlfn.IFNA(_xlfn.XLOOKUP(A17,PullFromCalcs[Item],PullFromCalcs[Price]),0)</f>
        <v>0</v>
      </c>
      <c r="G17" s="584" t="str">
        <f>_xlfn.XLOOKUP(A17,PullFromCalcs[Item],PullFromCalcs[Sheet],"MiscItems")</f>
        <v>DRAINAGE</v>
      </c>
      <c r="H17" s="113" t="e" cm="1">
        <f t="array" ref="H17">_xlfn.XLOOKUP($A17&amp;BasicProjectData!$G$18,Prices[Item '#]&amp;Prices[Location],Prices[Mean Price])</f>
        <v>#N/A</v>
      </c>
      <c r="I17" s="113" cm="1">
        <f t="array" ref="I17">_xlfn.XLOOKUP($A17&amp;"All Districts",Prices[Item '#]&amp;Prices[Location],Prices[Mean Price])</f>
        <v>6321.56</v>
      </c>
      <c r="J17">
        <f t="shared" ca="1" si="1"/>
        <v>0</v>
      </c>
      <c r="K17" t="str">
        <f ca="1">IF(AND(_xlfn.IFNA(Output[[#This Row],[Mean Unit Price State]],0)=0,Output[[#This Row],[Price Override?]]=0),"CHECK","")</f>
        <v/>
      </c>
      <c r="Y17" s="157">
        <v>450.23</v>
      </c>
      <c r="Z17" s="38" t="s">
        <v>3686</v>
      </c>
      <c r="AA17" s="38" cm="1">
        <f t="array" aca="1" ref="AA17" ca="1">_xlfn.XLOOKUP($Y17,INDIRECT("'"&amp;$Z17&amp;"'!C1:C1000"),INDIRECT("'"&amp;$Z17&amp;"'!"&amp;AA$8&amp;"1:"&amp;AA$8&amp;"1000"))</f>
        <v>0</v>
      </c>
      <c r="AB17" s="38" cm="1">
        <f t="array" aca="1" ref="AB17" ca="1">_xlfn.XLOOKUP($Y17,INDIRECT("'"&amp;$Z17&amp;"'!C1:C1000"),INDIRECT("'"&amp;$Z17&amp;"'!"&amp;AB$8&amp;"1:"&amp;AB$8&amp;"1000"))</f>
        <v>0</v>
      </c>
      <c r="AC17" s="505" cm="1">
        <f t="array" aca="1" ref="AC17" ca="1">_xlfn.XLOOKUP($Y17,INDIRECT("'"&amp;$Z17&amp;"'!C1:C1000"),INDIRECT("'"&amp;$Z17&amp;"'!"&amp;AC$8&amp;"1:"&amp;AC$8&amp;"1000"))</f>
        <v>0</v>
      </c>
      <c r="AD17" s="38"/>
      <c r="AE17" s="38"/>
      <c r="AF17" s="38"/>
    </row>
    <row r="18" spans="1:32">
      <c r="A18" s="31">
        <v>220</v>
      </c>
      <c r="B18" s="111" t="str">
        <f>_xlfn.XLOOKUP(A18,Prices[Item '#],Prices[Description])</f>
        <v>DRAINAGE STRUCTURE ADJUSTED</v>
      </c>
      <c r="C18" s="111" t="str">
        <f>_xlfn.XLOOKUP($A18,Prices[Item '#],Prices[Units])</f>
        <v>EA</v>
      </c>
      <c r="D18" s="112">
        <f ca="1">_xlfn.IFNA(_xlfn.XLOOKUP(A18,PullFromCalcs[Item],PullFromCalcs[Quantity]),"-")</f>
        <v>0</v>
      </c>
      <c r="E18" s="114">
        <f t="shared" ca="1" si="0"/>
        <v>534</v>
      </c>
      <c r="F18" s="114">
        <f ca="1">_xlfn.IFNA(_xlfn.XLOOKUP(A18,PullFromCalcs[Item],PullFromCalcs[Price]),0)</f>
        <v>0</v>
      </c>
      <c r="G18" s="584" t="str">
        <f>_xlfn.XLOOKUP(A18,PullFromCalcs[Item],PullFromCalcs[Sheet],"MiscItems")</f>
        <v>DRAINAGE</v>
      </c>
      <c r="H18" s="113" t="e" cm="1">
        <f t="array" ref="H18">_xlfn.XLOOKUP($A18&amp;BasicProjectData!$G$18,Prices[Item '#]&amp;Prices[Location],Prices[Mean Price])</f>
        <v>#N/A</v>
      </c>
      <c r="I18" s="113" cm="1">
        <f t="array" ref="I18">_xlfn.XLOOKUP($A18&amp;"All Districts",Prices[Item '#]&amp;Prices[Location],Prices[Mean Price])</f>
        <v>533.52</v>
      </c>
      <c r="J18">
        <f t="shared" ca="1" si="1"/>
        <v>0</v>
      </c>
      <c r="K18" t="str">
        <f ca="1">IF(AND(_xlfn.IFNA(Output[[#This Row],[Mean Unit Price State]],0)=0,Output[[#This Row],[Price Override?]]=0),"CHECK","")</f>
        <v/>
      </c>
      <c r="Y18" s="157">
        <v>450.32</v>
      </c>
      <c r="Z18" s="38" t="s">
        <v>3686</v>
      </c>
      <c r="AA18" s="38" cm="1">
        <f t="array" aca="1" ref="AA18" ca="1">_xlfn.XLOOKUP($Y18,INDIRECT("'"&amp;$Z18&amp;"'!C1:C1000"),INDIRECT("'"&amp;$Z18&amp;"'!"&amp;AA$8&amp;"1:"&amp;AA$8&amp;"1000"))</f>
        <v>0</v>
      </c>
      <c r="AB18" s="38" cm="1">
        <f t="array" aca="1" ref="AB18" ca="1">_xlfn.XLOOKUP($Y18,INDIRECT("'"&amp;$Z18&amp;"'!C1:C1000"),INDIRECT("'"&amp;$Z18&amp;"'!"&amp;AB$8&amp;"1:"&amp;AB$8&amp;"1000"))</f>
        <v>0</v>
      </c>
      <c r="AC18" s="505" cm="1">
        <f t="array" aca="1" ref="AC18" ca="1">_xlfn.XLOOKUP($Y18,INDIRECT("'"&amp;$Z18&amp;"'!C1:C1000"),INDIRECT("'"&amp;$Z18&amp;"'!"&amp;AC$8&amp;"1:"&amp;AC$8&amp;"1000"))</f>
        <v>0</v>
      </c>
      <c r="AD18" s="38"/>
      <c r="AE18" s="38"/>
      <c r="AF18" s="38"/>
    </row>
    <row r="19" spans="1:32">
      <c r="A19" s="116">
        <v>220.3</v>
      </c>
      <c r="B19" s="111" t="str">
        <f>_xlfn.XLOOKUP(A19,Prices[Item '#],Prices[Description])</f>
        <v>DRAINAGE STRUCTURE CHANGE IN TYPE</v>
      </c>
      <c r="C19" s="111" t="str">
        <f>_xlfn.XLOOKUP($A19,Prices[Item '#],Prices[Units])</f>
        <v>EA</v>
      </c>
      <c r="D19" s="112">
        <f ca="1">_xlfn.IFNA(_xlfn.XLOOKUP(A19,PullFromCalcs[Item],PullFromCalcs[Quantity]),"-")</f>
        <v>0</v>
      </c>
      <c r="E19" s="114">
        <f t="shared" ca="1" si="0"/>
        <v>1244</v>
      </c>
      <c r="F19" s="114">
        <f ca="1">_xlfn.IFNA(_xlfn.XLOOKUP(A19,PullFromCalcs[Item],PullFromCalcs[Price]),0)</f>
        <v>0</v>
      </c>
      <c r="G19" s="584" t="str">
        <f>_xlfn.XLOOKUP(A19,PullFromCalcs[Item],PullFromCalcs[Sheet],"MiscItems")</f>
        <v>DRAINAGE</v>
      </c>
      <c r="H19" s="113" t="e" cm="1">
        <f t="array" ref="H19">_xlfn.XLOOKUP($A19&amp;BasicProjectData!$G$18,Prices[Item '#]&amp;Prices[Location],Prices[Mean Price])</f>
        <v>#N/A</v>
      </c>
      <c r="I19" s="113" cm="1">
        <f t="array" ref="I19">_xlfn.XLOOKUP($A19&amp;"All Districts",Prices[Item '#]&amp;Prices[Location],Prices[Mean Price])</f>
        <v>1243.5899999999999</v>
      </c>
      <c r="J19">
        <f t="shared" ca="1" si="1"/>
        <v>0</v>
      </c>
      <c r="K19" t="str">
        <f ca="1">IF(AND(_xlfn.IFNA(Output[[#This Row],[Mean Unit Price State]],0)=0,Output[[#This Row],[Price Override?]]=0),"CHECK","")</f>
        <v/>
      </c>
      <c r="Y19" s="157">
        <v>450.42</v>
      </c>
      <c r="Z19" s="38" t="s">
        <v>3686</v>
      </c>
      <c r="AA19" s="38" cm="1">
        <f t="array" aca="1" ref="AA19" ca="1">_xlfn.XLOOKUP($Y19,INDIRECT("'"&amp;$Z19&amp;"'!C1:C1000"),INDIRECT("'"&amp;$Z19&amp;"'!"&amp;AA$8&amp;"1:"&amp;AA$8&amp;"1000"))</f>
        <v>0</v>
      </c>
      <c r="AB19" s="38" cm="1">
        <f t="array" aca="1" ref="AB19" ca="1">_xlfn.XLOOKUP($Y19,INDIRECT("'"&amp;$Z19&amp;"'!C1:C1000"),INDIRECT("'"&amp;$Z19&amp;"'!"&amp;AB$8&amp;"1:"&amp;AB$8&amp;"1000"))</f>
        <v>0</v>
      </c>
      <c r="AC19" s="505" cm="1">
        <f t="array" aca="1" ref="AC19" ca="1">_xlfn.XLOOKUP($Y19,INDIRECT("'"&amp;$Z19&amp;"'!C1:C1000"),INDIRECT("'"&amp;$Z19&amp;"'!"&amp;AC$8&amp;"1:"&amp;AC$8&amp;"1000"))</f>
        <v>0</v>
      </c>
      <c r="AD19" s="38"/>
      <c r="AE19" s="38"/>
      <c r="AF19" s="38"/>
    </row>
    <row r="20" spans="1:32">
      <c r="A20" s="31">
        <v>220.7</v>
      </c>
      <c r="B20" s="111" t="str">
        <f>_xlfn.XLOOKUP(A20,Prices[Item '#],Prices[Description])</f>
        <v>SANITARY STRUCTURE ADJUSTED</v>
      </c>
      <c r="C20" s="111" t="str">
        <f>_xlfn.XLOOKUP($A20,Prices[Item '#],Prices[Units])</f>
        <v>EA</v>
      </c>
      <c r="D20" s="112">
        <f ca="1">_xlfn.IFNA(_xlfn.XLOOKUP(A20,PullFromCalcs[Item],PullFromCalcs[Quantity]),"-")</f>
        <v>0</v>
      </c>
      <c r="E20" s="114">
        <f t="shared" ca="1" si="0"/>
        <v>521</v>
      </c>
      <c r="F20" s="114">
        <f ca="1">_xlfn.IFNA(_xlfn.XLOOKUP(A20,PullFromCalcs[Item],PullFromCalcs[Price]),0)</f>
        <v>0</v>
      </c>
      <c r="G20" s="584" t="str">
        <f>_xlfn.XLOOKUP(A20,PullFromCalcs[Item],PullFromCalcs[Sheet],"MiscItems")</f>
        <v>DRAINAGE</v>
      </c>
      <c r="H20" s="113" t="e" cm="1">
        <f t="array" ref="H20">_xlfn.XLOOKUP($A20&amp;BasicProjectData!$G$18,Prices[Item '#]&amp;Prices[Location],Prices[Mean Price])</f>
        <v>#N/A</v>
      </c>
      <c r="I20" s="113" cm="1">
        <f t="array" ref="I20">_xlfn.XLOOKUP($A20&amp;"All Districts",Prices[Item '#]&amp;Prices[Location],Prices[Mean Price])</f>
        <v>520.37</v>
      </c>
      <c r="J20">
        <f t="shared" ca="1" si="1"/>
        <v>0</v>
      </c>
      <c r="K20" t="str">
        <f ca="1">IF(AND(_xlfn.IFNA(Output[[#This Row],[Mean Unit Price State]],0)=0,Output[[#This Row],[Price Override?]]=0),"CHECK","")</f>
        <v/>
      </c>
      <c r="Y20" s="157">
        <v>451</v>
      </c>
      <c r="Z20" s="38" t="s">
        <v>3951</v>
      </c>
      <c r="AA20" s="38" cm="1">
        <f t="array" aca="1" ref="AA20" ca="1">_xlfn.XLOOKUP($Y20,INDIRECT("'"&amp;$Z20&amp;"'!C1:C1000"),INDIRECT("'"&amp;$Z20&amp;"'!"&amp;AA$8&amp;"1:"&amp;AA$8&amp;"1000"))</f>
        <v>0</v>
      </c>
      <c r="AB20" s="38" cm="1">
        <f t="array" aca="1" ref="AB20" ca="1">_xlfn.XLOOKUP($Y20,INDIRECT("'"&amp;$Z20&amp;"'!C1:C1000"),INDIRECT("'"&amp;$Z20&amp;"'!"&amp;AB$8&amp;"1:"&amp;AB$8&amp;"1000"))</f>
        <v>0</v>
      </c>
      <c r="AC20" s="506" cm="1">
        <f t="array" aca="1" ref="AC20" ca="1">_xlfn.XLOOKUP($Y20,INDIRECT("'"&amp;$Z20&amp;"'!C1:C1000"),INDIRECT("'"&amp;$Z20&amp;"'!"&amp;AC$8&amp;"1:"&amp;AC$8&amp;"1000"))</f>
        <v>0</v>
      </c>
      <c r="AD20" s="38"/>
      <c r="AE20" s="38"/>
      <c r="AF20" s="38"/>
    </row>
    <row r="21" spans="1:32">
      <c r="A21" s="31">
        <v>222.3</v>
      </c>
      <c r="B21" s="111" t="str">
        <f>_xlfn.XLOOKUP(A21,Prices[Item '#],Prices[Description])</f>
        <v>FRAME AND GRATE (OR COVER) MUNICIPAL STANDARD</v>
      </c>
      <c r="C21" s="111" t="str">
        <f>_xlfn.XLOOKUP($A21,Prices[Item '#],Prices[Units])</f>
        <v>EA</v>
      </c>
      <c r="D21" s="112">
        <f ca="1">_xlfn.IFNA(_xlfn.XLOOKUP(A21,PullFromCalcs[Item],PullFromCalcs[Quantity]),"-")</f>
        <v>0</v>
      </c>
      <c r="E21" s="114">
        <f t="shared" ca="1" si="0"/>
        <v>1149</v>
      </c>
      <c r="F21" s="114">
        <f ca="1">_xlfn.IFNA(_xlfn.XLOOKUP(A21,PullFromCalcs[Item],PullFromCalcs[Price]),0)</f>
        <v>0</v>
      </c>
      <c r="G21" s="584" t="str">
        <f>_xlfn.XLOOKUP(A21,PullFromCalcs[Item],PullFromCalcs[Sheet],"MiscItems")</f>
        <v>DRAINAGE</v>
      </c>
      <c r="H21" s="113" t="e" cm="1">
        <f t="array" ref="H21">_xlfn.XLOOKUP($A21&amp;BasicProjectData!$G$18,Prices[Item '#]&amp;Prices[Location],Prices[Mean Price])</f>
        <v>#N/A</v>
      </c>
      <c r="I21" s="113" cm="1">
        <f t="array" ref="I21">_xlfn.XLOOKUP($A21&amp;"All Districts",Prices[Item '#]&amp;Prices[Location],Prices[Mean Price])</f>
        <v>1148.8</v>
      </c>
      <c r="J21">
        <f t="shared" ca="1" si="1"/>
        <v>0</v>
      </c>
      <c r="K21" t="str">
        <f ca="1">IF(AND(_xlfn.IFNA(Output[[#This Row],[Mean Unit Price State]],0)=0,Output[[#This Row],[Price Override?]]=0),"CHECK","")</f>
        <v/>
      </c>
      <c r="Y21" s="157">
        <v>452</v>
      </c>
      <c r="Z21" s="38" t="s">
        <v>3686</v>
      </c>
      <c r="AA21" s="38" cm="1">
        <f t="array" aca="1" ref="AA21" ca="1">_xlfn.XLOOKUP($Y21,INDIRECT("'"&amp;$Z21&amp;"'!C1:C1000"),INDIRECT("'"&amp;$Z21&amp;"'!"&amp;AA$8&amp;"1:"&amp;AA$8&amp;"1000"))</f>
        <v>0</v>
      </c>
      <c r="AB21" s="38" cm="1">
        <f t="array" aca="1" ref="AB21" ca="1">_xlfn.XLOOKUP($Y21,INDIRECT("'"&amp;$Z21&amp;"'!C1:C1000"),INDIRECT("'"&amp;$Z21&amp;"'!"&amp;AB$8&amp;"1:"&amp;AB$8&amp;"1000"))</f>
        <v>0</v>
      </c>
      <c r="AC21" s="505" cm="1">
        <f t="array" aca="1" ref="AC21" ca="1">_xlfn.XLOOKUP($Y21,INDIRECT("'"&amp;$Z21&amp;"'!C1:C1000"),INDIRECT("'"&amp;$Z21&amp;"'!"&amp;AC$8&amp;"1:"&amp;AC$8&amp;"1000"))</f>
        <v>0</v>
      </c>
      <c r="AD21" s="38"/>
      <c r="AE21" s="38"/>
      <c r="AF21" s="38"/>
    </row>
    <row r="22" spans="1:32">
      <c r="A22" s="115">
        <v>222.4</v>
      </c>
      <c r="B22" s="111" t="str">
        <f>_xlfn.XLOOKUP(A22,Prices[Item '#],Prices[Description])</f>
        <v>LARGE HOOK LOCK BAR GRATE - FURNISHED AND INSTALLED</v>
      </c>
      <c r="C22" s="111" t="str">
        <f>_xlfn.XLOOKUP($A22,Prices[Item '#],Prices[Units])</f>
        <v>EA</v>
      </c>
      <c r="D22" s="112">
        <f ca="1">_xlfn.IFNA(_xlfn.XLOOKUP(A22,PullFromCalcs[Item],PullFromCalcs[Quantity]),"-")</f>
        <v>0</v>
      </c>
      <c r="E22" s="114">
        <f t="shared" ca="1" si="0"/>
        <v>2533</v>
      </c>
      <c r="F22" s="114">
        <f ca="1">_xlfn.IFNA(_xlfn.XLOOKUP(A22,PullFromCalcs[Item],PullFromCalcs[Price]),0)</f>
        <v>0</v>
      </c>
      <c r="G22" s="584" t="str">
        <f>_xlfn.XLOOKUP(A22,PullFromCalcs[Item],PullFromCalcs[Sheet],"MiscItems")</f>
        <v>AMENITIES</v>
      </c>
      <c r="H22" s="113" t="e" cm="1">
        <f t="array" ref="H22">_xlfn.XLOOKUP($A22&amp;BasicProjectData!$G$18,Prices[Item '#]&amp;Prices[Location],Prices[Mean Price])</f>
        <v>#N/A</v>
      </c>
      <c r="I22" s="113" cm="1">
        <f t="array" ref="I22">_xlfn.XLOOKUP($A22&amp;"All Districts",Prices[Item '#]&amp;Prices[Location],Prices[Mean Price])</f>
        <v>2532.87</v>
      </c>
      <c r="J22">
        <f t="shared" ca="1" si="1"/>
        <v>0</v>
      </c>
      <c r="K22" t="str">
        <f ca="1">IF(AND(_xlfn.IFNA(Output[[#This Row],[Mean Unit Price State]],0)=0,Output[[#This Row],[Price Override?]]=0),"CHECK","")</f>
        <v/>
      </c>
      <c r="Y22" s="157">
        <v>453</v>
      </c>
      <c r="Z22" s="38" t="s">
        <v>3686</v>
      </c>
      <c r="AA22" s="38" cm="1">
        <f t="array" aca="1" ref="AA22" ca="1">_xlfn.XLOOKUP($Y22,INDIRECT("'"&amp;$Z22&amp;"'!C1:C1000"),INDIRECT("'"&amp;$Z22&amp;"'!"&amp;AA$8&amp;"1:"&amp;AA$8&amp;"1000"))</f>
        <v>0</v>
      </c>
      <c r="AB22" s="38" cm="1">
        <f t="array" aca="1" ref="AB22" ca="1">_xlfn.XLOOKUP($Y22,INDIRECT("'"&amp;$Z22&amp;"'!C1:C1000"),INDIRECT("'"&amp;$Z22&amp;"'!"&amp;AB$8&amp;"1:"&amp;AB$8&amp;"1000"))</f>
        <v>0</v>
      </c>
      <c r="AC22" s="505" cm="1">
        <f t="array" aca="1" ref="AC22" ca="1">_xlfn.XLOOKUP($Y22,INDIRECT("'"&amp;$Z22&amp;"'!C1:C1000"),INDIRECT("'"&amp;$Z22&amp;"'!"&amp;AC$8&amp;"1:"&amp;AC$8&amp;"1000"))</f>
        <v>0</v>
      </c>
      <c r="AD22" s="38"/>
      <c r="AE22" s="38"/>
      <c r="AF22" s="38"/>
    </row>
    <row r="23" spans="1:32">
      <c r="A23" s="115">
        <v>223.2</v>
      </c>
      <c r="B23" s="111" t="str">
        <f>_xlfn.XLOOKUP(A23,Prices[Item '#],Prices[Description])</f>
        <v>FRAME AND GRATE (OR COVER) REMOVED AND DISCARDED</v>
      </c>
      <c r="C23" s="111" t="str">
        <f>_xlfn.XLOOKUP($A23,Prices[Item '#],Prices[Units])</f>
        <v>EA</v>
      </c>
      <c r="D23" s="112">
        <f ca="1">_xlfn.IFNA(_xlfn.XLOOKUP(A23,PullFromCalcs[Item],PullFromCalcs[Quantity]),"-")</f>
        <v>0</v>
      </c>
      <c r="E23" s="114">
        <f t="shared" ca="1" si="0"/>
        <v>111</v>
      </c>
      <c r="F23" s="114">
        <f ca="1">_xlfn.IFNA(_xlfn.XLOOKUP(A23,PullFromCalcs[Item],PullFromCalcs[Price]),0)</f>
        <v>0</v>
      </c>
      <c r="G23" s="584" t="str">
        <f>_xlfn.XLOOKUP(A23,PullFromCalcs[Item],PullFromCalcs[Sheet],"MiscItems")</f>
        <v>DRAINAGE</v>
      </c>
      <c r="H23" s="113" t="e" cm="1">
        <f t="array" ref="H23">_xlfn.XLOOKUP($A23&amp;BasicProjectData!$G$18,Prices[Item '#]&amp;Prices[Location],Prices[Mean Price])</f>
        <v>#N/A</v>
      </c>
      <c r="I23" s="113" cm="1">
        <f t="array" ref="I23">_xlfn.XLOOKUP($A23&amp;"All Districts",Prices[Item '#]&amp;Prices[Location],Prices[Mean Price])</f>
        <v>110.35</v>
      </c>
      <c r="J23">
        <f t="shared" ca="1" si="1"/>
        <v>0</v>
      </c>
      <c r="K23" t="str">
        <f ca="1">IF(AND(_xlfn.IFNA(Output[[#This Row],[Mean Unit Price State]],0)=0,Output[[#This Row],[Price Override?]]=0),"CHECK","")</f>
        <v/>
      </c>
      <c r="Y23" s="157">
        <v>472</v>
      </c>
      <c r="Z23" s="38" t="s">
        <v>3686</v>
      </c>
      <c r="AA23" s="38" cm="1">
        <f t="array" aca="1" ref="AA23" ca="1">_xlfn.XLOOKUP($Y23,INDIRECT("'"&amp;$Z23&amp;"'!C1:C1000"),INDIRECT("'"&amp;$Z23&amp;"'!"&amp;AA$8&amp;"1:"&amp;AA$8&amp;"1000"))</f>
        <v>0</v>
      </c>
      <c r="AB23" s="38" cm="1">
        <f t="array" aca="1" ref="AB23" ca="1">_xlfn.XLOOKUP($Y23,INDIRECT("'"&amp;$Z23&amp;"'!C1:C1000"),INDIRECT("'"&amp;$Z23&amp;"'!"&amp;AB$8&amp;"1:"&amp;AB$8&amp;"1000"))</f>
        <v>0</v>
      </c>
      <c r="AC23" s="505" cm="1">
        <f t="array" aca="1" ref="AC23" ca="1">_xlfn.XLOOKUP($Y23,INDIRECT("'"&amp;$Z23&amp;"'!C1:C1000"),INDIRECT("'"&amp;$Z23&amp;"'!"&amp;AC$8&amp;"1:"&amp;AC$8&amp;"1000"))</f>
        <v>0</v>
      </c>
      <c r="AD23" s="38"/>
      <c r="AE23" s="38"/>
      <c r="AF23" s="38"/>
    </row>
    <row r="24" spans="1:32">
      <c r="A24" s="115">
        <v>227.3</v>
      </c>
      <c r="B24" s="111" t="str">
        <f>_xlfn.XLOOKUP(A24,Prices[Item '#],Prices[Description])</f>
        <v>REMOVAL OF DRAINAGE STRUCTURE SEDIMENT</v>
      </c>
      <c r="C24" s="111" t="str">
        <f>_xlfn.XLOOKUP($A24,Prices[Item '#],Prices[Units])</f>
        <v>CY</v>
      </c>
      <c r="D24" s="112">
        <f ca="1">_xlfn.IFNA(_xlfn.XLOOKUP(A24,PullFromCalcs[Item],PullFromCalcs[Quantity]),"-")</f>
        <v>0</v>
      </c>
      <c r="E24" s="114">
        <f t="shared" ca="1" si="0"/>
        <v>346</v>
      </c>
      <c r="F24" s="114">
        <f ca="1">_xlfn.IFNA(_xlfn.XLOOKUP(A24,PullFromCalcs[Item],PullFromCalcs[Price]),0)</f>
        <v>0</v>
      </c>
      <c r="G24" s="584" t="str">
        <f>_xlfn.XLOOKUP(A24,PullFromCalcs[Item],PullFromCalcs[Sheet],"MiscItems")</f>
        <v>DRAINAGE</v>
      </c>
      <c r="H24" s="113" t="e" cm="1">
        <f t="array" ref="H24">_xlfn.XLOOKUP($A24&amp;BasicProjectData!$G$18,Prices[Item '#]&amp;Prices[Location],Prices[Mean Price])</f>
        <v>#N/A</v>
      </c>
      <c r="I24" s="113" cm="1">
        <f t="array" ref="I24">_xlfn.XLOOKUP($A24&amp;"All Districts",Prices[Item '#]&amp;Prices[Location],Prices[Mean Price])</f>
        <v>345.66</v>
      </c>
      <c r="J24">
        <f t="shared" ca="1" si="1"/>
        <v>0</v>
      </c>
      <c r="K24" t="str">
        <f ca="1">IF(AND(_xlfn.IFNA(Output[[#This Row],[Mean Unit Price State]],0)=0,Output[[#This Row],[Price Override?]]=0),"CHECK","")</f>
        <v/>
      </c>
      <c r="Y24" s="157">
        <v>476.11</v>
      </c>
      <c r="Z24" s="38" t="s">
        <v>3686</v>
      </c>
      <c r="AA24" s="38" cm="1">
        <f t="array" aca="1" ref="AA24" ca="1">_xlfn.XLOOKUP($Y24,INDIRECT("'"&amp;$Z24&amp;"'!C1:C1000"),INDIRECT("'"&amp;$Z24&amp;"'!"&amp;AA$8&amp;"1:"&amp;AA$8&amp;"1000"))</f>
        <v>0</v>
      </c>
      <c r="AB24" s="38" cm="1">
        <f t="array" aca="1" ref="AB24" ca="1">_xlfn.XLOOKUP($Y24,INDIRECT("'"&amp;$Z24&amp;"'!C1:C1000"),INDIRECT("'"&amp;$Z24&amp;"'!"&amp;AB$8&amp;"1:"&amp;AB$8&amp;"1000"))</f>
        <v>0</v>
      </c>
      <c r="AC24" s="505" cm="1">
        <f t="array" aca="1" ref="AC24" ca="1">_xlfn.XLOOKUP($Y24,INDIRECT("'"&amp;$Z24&amp;"'!C1:C1000"),INDIRECT("'"&amp;$Z24&amp;"'!"&amp;AC$8&amp;"1:"&amp;AC$8&amp;"1000"))</f>
        <v>0</v>
      </c>
      <c r="AD24" s="38"/>
      <c r="AE24" s="38"/>
      <c r="AF24" s="38"/>
    </row>
    <row r="25" spans="1:32">
      <c r="A25" s="115">
        <v>227.31</v>
      </c>
      <c r="B25" s="111" t="str">
        <f>_xlfn.XLOOKUP(A25,Prices[Item '#],Prices[Description])</f>
        <v>REMOVAL OF DRAINAGE PIPE SEDIMENT</v>
      </c>
      <c r="C25" s="111" t="str">
        <f>_xlfn.XLOOKUP($A25,Prices[Item '#],Prices[Units])</f>
        <v>FT</v>
      </c>
      <c r="D25" s="112">
        <f ca="1">_xlfn.IFNA(_xlfn.XLOOKUP(A25,PullFromCalcs[Item],PullFromCalcs[Quantity]),"-")</f>
        <v>0</v>
      </c>
      <c r="E25" s="114">
        <f t="shared" ca="1" si="0"/>
        <v>13</v>
      </c>
      <c r="F25" s="114">
        <f ca="1">_xlfn.IFNA(_xlfn.XLOOKUP(A25,PullFromCalcs[Item],PullFromCalcs[Price]),0)</f>
        <v>0</v>
      </c>
      <c r="G25" s="584" t="str">
        <f>_xlfn.XLOOKUP(A25,PullFromCalcs[Item],PullFromCalcs[Sheet],"MiscItems")</f>
        <v>DRAINAGE</v>
      </c>
      <c r="H25" s="113" t="e" cm="1">
        <f t="array" ref="H25">_xlfn.XLOOKUP($A25&amp;BasicProjectData!$G$18,Prices[Item '#]&amp;Prices[Location],Prices[Mean Price])</f>
        <v>#N/A</v>
      </c>
      <c r="I25" s="113" cm="1">
        <f t="array" ref="I25">_xlfn.XLOOKUP($A25&amp;"All Districts",Prices[Item '#]&amp;Prices[Location],Prices[Mean Price])</f>
        <v>12.84</v>
      </c>
      <c r="J25">
        <f t="shared" ca="1" si="1"/>
        <v>0</v>
      </c>
      <c r="K25" t="str">
        <f ca="1">IF(AND(_xlfn.IFNA(Output[[#This Row],[Mean Unit Price State]],0)=0,Output[[#This Row],[Price Override?]]=0),"CHECK","")</f>
        <v/>
      </c>
      <c r="Y25" s="157">
        <v>701</v>
      </c>
      <c r="Z25" s="38" t="s">
        <v>3686</v>
      </c>
      <c r="AA25" s="38" cm="1">
        <f t="array" aca="1" ref="AA25" ca="1">_xlfn.XLOOKUP($Y25,INDIRECT("'"&amp;$Z25&amp;"'!C1:C1000"),INDIRECT("'"&amp;$Z25&amp;"'!"&amp;AA$8&amp;"1:"&amp;AA$8&amp;"1000"))</f>
        <v>0</v>
      </c>
      <c r="AB25" s="38" cm="1">
        <f t="array" aca="1" ref="AB25" ca="1">_xlfn.XLOOKUP($Y25,INDIRECT("'"&amp;$Z25&amp;"'!C1:C1000"),INDIRECT("'"&amp;$Z25&amp;"'!"&amp;AB$8&amp;"1:"&amp;AB$8&amp;"1000"))</f>
        <v>0</v>
      </c>
      <c r="AC25" s="505" cm="1">
        <f t="array" aca="1" ref="AC25" ca="1">_xlfn.XLOOKUP($Y25,INDIRECT("'"&amp;$Z25&amp;"'!C1:C1000"),INDIRECT("'"&amp;$Z25&amp;"'!"&amp;AC$8&amp;"1:"&amp;AC$8&amp;"1000"))</f>
        <v>0</v>
      </c>
      <c r="AD25" s="38"/>
      <c r="AE25" s="38"/>
      <c r="AF25" s="38"/>
    </row>
    <row r="26" spans="1:32">
      <c r="A26" s="31">
        <v>241.12</v>
      </c>
      <c r="B26" s="111" t="str">
        <f>_xlfn.XLOOKUP(A26,Prices[Item '#],Prices[Description])</f>
        <v>12 INCH REINFORCED CONCRETE PIPE CLASS III</v>
      </c>
      <c r="C26" s="111" t="str">
        <f>_xlfn.XLOOKUP($A26,Prices[Item '#],Prices[Units])</f>
        <v>FT</v>
      </c>
      <c r="D26" s="112">
        <f ca="1">_xlfn.IFNA(_xlfn.XLOOKUP(A26,PullFromCalcs[Item],PullFromCalcs[Quantity]),"-")</f>
        <v>0</v>
      </c>
      <c r="E26" s="114">
        <f t="shared" ca="1" si="0"/>
        <v>137</v>
      </c>
      <c r="F26" s="114">
        <f ca="1">_xlfn.IFNA(_xlfn.XLOOKUP(A26,PullFromCalcs[Item],PullFromCalcs[Price]),0)</f>
        <v>0</v>
      </c>
      <c r="G26" s="584" t="str">
        <f>_xlfn.XLOOKUP(A26,PullFromCalcs[Item],PullFromCalcs[Sheet],"MiscItems")</f>
        <v>DRAINAGE</v>
      </c>
      <c r="H26" s="113" t="e" cm="1">
        <f t="array" ref="H26">_xlfn.XLOOKUP($A26&amp;BasicProjectData!$G$18,Prices[Item '#]&amp;Prices[Location],Prices[Mean Price])</f>
        <v>#N/A</v>
      </c>
      <c r="I26" s="113" cm="1">
        <f t="array" ref="I26">_xlfn.XLOOKUP($A26&amp;"All Districts",Prices[Item '#]&amp;Prices[Location],Prices[Mean Price])</f>
        <v>136.94</v>
      </c>
      <c r="J26">
        <f t="shared" ca="1" si="1"/>
        <v>0</v>
      </c>
      <c r="K26" t="str">
        <f ca="1">IF(AND(_xlfn.IFNA(Output[[#This Row],[Mean Unit Price State]],0)=0,Output[[#This Row],[Price Override?]]=0),"CHECK","")</f>
        <v/>
      </c>
      <c r="Y26" s="157">
        <v>701.2</v>
      </c>
      <c r="Z26" s="38" t="s">
        <v>3686</v>
      </c>
      <c r="AA26" s="38" cm="1">
        <f t="array" aca="1" ref="AA26" ca="1">_xlfn.XLOOKUP($Y26,INDIRECT("'"&amp;$Z26&amp;"'!C1:C1000"),INDIRECT("'"&amp;$Z26&amp;"'!"&amp;AA$8&amp;"1:"&amp;AA$8&amp;"1000"))</f>
        <v>0</v>
      </c>
      <c r="AB26" s="38" cm="1">
        <f t="array" aca="1" ref="AB26" ca="1">_xlfn.XLOOKUP($Y26,INDIRECT("'"&amp;$Z26&amp;"'!C1:C1000"),INDIRECT("'"&amp;$Z26&amp;"'!"&amp;AB$8&amp;"1:"&amp;AB$8&amp;"1000"))</f>
        <v>0</v>
      </c>
      <c r="AC26" s="505" cm="1">
        <f t="array" aca="1" ref="AC26" ca="1">_xlfn.XLOOKUP($Y26,INDIRECT("'"&amp;$Z26&amp;"'!C1:C1000"),INDIRECT("'"&amp;$Z26&amp;"'!"&amp;AC$8&amp;"1:"&amp;AC$8&amp;"1000"))</f>
        <v>0</v>
      </c>
      <c r="AD26" s="38"/>
      <c r="AE26" s="38"/>
      <c r="AF26" s="38"/>
    </row>
    <row r="27" spans="1:32">
      <c r="A27" s="31">
        <v>241.18</v>
      </c>
      <c r="B27" s="111" t="str">
        <f>_xlfn.XLOOKUP(A27,Prices[Item '#],Prices[Description])</f>
        <v>18 INCH REINFORCED CONCRETE PIPE CLASS III</v>
      </c>
      <c r="C27" s="111" t="str">
        <f>_xlfn.XLOOKUP($A27,Prices[Item '#],Prices[Units])</f>
        <v>FT</v>
      </c>
      <c r="D27" s="112">
        <f ca="1">_xlfn.IFNA(_xlfn.XLOOKUP(A27,PullFromCalcs[Item],PullFromCalcs[Quantity]),"-")</f>
        <v>0</v>
      </c>
      <c r="E27" s="114">
        <f t="shared" ca="1" si="0"/>
        <v>183</v>
      </c>
      <c r="F27" s="114">
        <f ca="1">_xlfn.IFNA(_xlfn.XLOOKUP(A27,PullFromCalcs[Item],PullFromCalcs[Price]),0)</f>
        <v>0</v>
      </c>
      <c r="G27" s="584" t="str">
        <f>_xlfn.XLOOKUP(A27,PullFromCalcs[Item],PullFromCalcs[Sheet],"MiscItems")</f>
        <v>DRAINAGE</v>
      </c>
      <c r="H27" s="113" t="e" cm="1">
        <f t="array" ref="H27">_xlfn.XLOOKUP($A27&amp;BasicProjectData!$G$18,Prices[Item '#]&amp;Prices[Location],Prices[Mean Price])</f>
        <v>#N/A</v>
      </c>
      <c r="I27" s="113" cm="1">
        <f t="array" ref="I27">_xlfn.XLOOKUP($A27&amp;"All Districts",Prices[Item '#]&amp;Prices[Location],Prices[Mean Price])</f>
        <v>182.64</v>
      </c>
      <c r="J27">
        <f t="shared" ca="1" si="1"/>
        <v>0</v>
      </c>
      <c r="K27" t="str">
        <f ca="1">IF(AND(_xlfn.IFNA(Output[[#This Row],[Mean Unit Price State]],0)=0,Output[[#This Row],[Price Override?]]=0),"CHECK","")</f>
        <v/>
      </c>
      <c r="Y27" s="157">
        <v>702</v>
      </c>
      <c r="Z27" s="38" t="s">
        <v>3686</v>
      </c>
      <c r="AA27" s="38" cm="1">
        <f t="array" aca="1" ref="AA27" ca="1">_xlfn.XLOOKUP($Y27,INDIRECT("'"&amp;$Z27&amp;"'!C1:C1000"),INDIRECT("'"&amp;$Z27&amp;"'!"&amp;AA$8&amp;"1:"&amp;AA$8&amp;"1000"))</f>
        <v>0</v>
      </c>
      <c r="AB27" s="38" cm="1">
        <f t="array" aca="1" ref="AB27" ca="1">_xlfn.XLOOKUP($Y27,INDIRECT("'"&amp;$Z27&amp;"'!C1:C1000"),INDIRECT("'"&amp;$Z27&amp;"'!"&amp;AB$8&amp;"1:"&amp;AB$8&amp;"1000"))</f>
        <v>0</v>
      </c>
      <c r="AC27" s="505" cm="1">
        <f t="array" aca="1" ref="AC27" ca="1">_xlfn.XLOOKUP($Y27,INDIRECT("'"&amp;$Z27&amp;"'!C1:C1000"),INDIRECT("'"&amp;$Z27&amp;"'!"&amp;AC$8&amp;"1:"&amp;AC$8&amp;"1000"))</f>
        <v>0</v>
      </c>
      <c r="AD27" s="38"/>
      <c r="AE27" s="38"/>
      <c r="AF27" s="38"/>
    </row>
    <row r="28" spans="1:32">
      <c r="A28" s="31">
        <v>241.36</v>
      </c>
      <c r="B28" s="686" t="str">
        <f>_xlfn.XLOOKUP(A28,Prices[Item '#],Prices[Description])</f>
        <v>36 INCH REINFORCED CONCRETE PIPE CLASS III</v>
      </c>
      <c r="C28" s="111" t="str">
        <f>_xlfn.XLOOKUP($A28,Prices[Item '#],Prices[Units])</f>
        <v>FT</v>
      </c>
      <c r="D28" s="112">
        <f ca="1">_xlfn.IFNA(_xlfn.XLOOKUP(A28,PullFromCalcs[Item],PullFromCalcs[Quantity]),"-")</f>
        <v>0</v>
      </c>
      <c r="E28" s="114">
        <f t="shared" ca="1" si="0"/>
        <v>537</v>
      </c>
      <c r="F28" s="114">
        <f ca="1">_xlfn.IFNA(_xlfn.XLOOKUP(A28,PullFromCalcs[Item],PullFromCalcs[Price]),0)</f>
        <v>0</v>
      </c>
      <c r="G28" s="584" t="str">
        <f>_xlfn.XLOOKUP(A28,PullFromCalcs[Item],PullFromCalcs[Sheet],"MiscItems")</f>
        <v>DRAINAGE</v>
      </c>
      <c r="H28" s="113" t="e" cm="1">
        <f t="array" ref="H28">_xlfn.XLOOKUP($A28&amp;BasicProjectData!$G$18,Prices[Item '#]&amp;Prices[Location],Prices[Mean Price])</f>
        <v>#N/A</v>
      </c>
      <c r="I28" s="113" cm="1">
        <f t="array" ref="I28">_xlfn.XLOOKUP($A28&amp;"All Districts",Prices[Item '#]&amp;Prices[Location],Prices[Mean Price])</f>
        <v>536.91999999999996</v>
      </c>
      <c r="J28">
        <f t="shared" ca="1" si="1"/>
        <v>0</v>
      </c>
      <c r="K28" t="str">
        <f ca="1">IF(AND(_xlfn.IFNA(Output[[#This Row],[Mean Unit Price State]],0)=0,Output[[#This Row],[Price Override?]]=0),"CHECK","")</f>
        <v/>
      </c>
      <c r="Y28" s="157">
        <v>702</v>
      </c>
      <c r="Z28" s="38" t="s">
        <v>3686</v>
      </c>
      <c r="AA28" s="38" cm="1">
        <f t="array" aca="1" ref="AA28" ca="1">_xlfn.XLOOKUP($Y28,INDIRECT("'"&amp;$Z28&amp;"'!C1:C1000"),INDIRECT("'"&amp;$Z28&amp;"'!"&amp;AA$8&amp;"1:"&amp;AA$8&amp;"1000"))</f>
        <v>0</v>
      </c>
      <c r="AB28" s="38" cm="1">
        <f t="array" aca="1" ref="AB28" ca="1">_xlfn.XLOOKUP($Y28,INDIRECT("'"&amp;$Z28&amp;"'!C1:C1000"),INDIRECT("'"&amp;$Z28&amp;"'!"&amp;AB$8&amp;"1:"&amp;AB$8&amp;"1000"))</f>
        <v>0</v>
      </c>
      <c r="AC28" s="505" cm="1">
        <f t="array" aca="1" ref="AC28" ca="1">_xlfn.XLOOKUP($Y28,INDIRECT("'"&amp;$Z28&amp;"'!C1:C1000"),INDIRECT("'"&amp;$Z28&amp;"'!"&amp;AC$8&amp;"1:"&amp;AC$8&amp;"1000"))</f>
        <v>0</v>
      </c>
      <c r="AD28" s="38"/>
      <c r="AE28" s="38"/>
      <c r="AF28" s="38"/>
    </row>
    <row r="29" spans="1:32">
      <c r="A29" s="31">
        <v>241.72</v>
      </c>
      <c r="B29" s="686" t="s">
        <v>1912</v>
      </c>
      <c r="C29" s="121" t="s">
        <v>17</v>
      </c>
      <c r="D29" s="112">
        <f ca="1">_xlfn.IFNA(_xlfn.XLOOKUP(A29,PullFromCalcs[Item],PullFromCalcs[Quantity]),"-")</f>
        <v>0</v>
      </c>
      <c r="E29" s="114">
        <f t="shared" si="0"/>
        <v>350</v>
      </c>
      <c r="F29" s="114">
        <f ca="1">_xlfn.IFNA(_xlfn.XLOOKUP(A29,PullFromCalcs[Item],PullFromCalcs[Price]),0)</f>
        <v>0</v>
      </c>
      <c r="G29" s="584" t="str">
        <f>_xlfn.XLOOKUP(A29,PullFromCalcs[Item],PullFromCalcs[Sheet],"MiscItems")</f>
        <v>DRAINAGE</v>
      </c>
      <c r="H29" s="113" t="e" cm="1">
        <f t="array" ref="H29">_xlfn.XLOOKUP($A29&amp;BasicProjectData!$G$18,Prices[Item '#]&amp;Prices[Location],Prices[Mean Price])</f>
        <v>#N/A</v>
      </c>
      <c r="I29" s="1134" t="e" cm="1">
        <f t="array" ref="I29">_xlfn.XLOOKUP($A29&amp;"All Districts",Prices[Item '#]&amp;Prices[Location],Prices[Mean Price])</f>
        <v>#N/A</v>
      </c>
      <c r="J29" s="1135">
        <v>350</v>
      </c>
      <c r="K29" t="str">
        <f>IF(AND(_xlfn.IFNA(Output[[#This Row],[Mean Unit Price State]],0)=0,Output[[#This Row],[Price Override?]]=0),"CHECK","")</f>
        <v/>
      </c>
      <c r="Y29" s="157">
        <v>706</v>
      </c>
      <c r="Z29" s="38" t="s">
        <v>3686</v>
      </c>
      <c r="AA29" s="38" cm="1">
        <f t="array" aca="1" ref="AA29" ca="1">_xlfn.XLOOKUP($Y29,INDIRECT("'"&amp;$Z29&amp;"'!C1:C1000"),INDIRECT("'"&amp;$Z29&amp;"'!"&amp;AA$8&amp;"1:"&amp;AA$8&amp;"1000"))</f>
        <v>0</v>
      </c>
      <c r="AB29" s="38" cm="1">
        <f t="array" aca="1" ref="AB29" ca="1">_xlfn.XLOOKUP($Y29,INDIRECT("'"&amp;$Z29&amp;"'!C1:C1000"),INDIRECT("'"&amp;$Z29&amp;"'!"&amp;AB$8&amp;"1:"&amp;AB$8&amp;"1000"))</f>
        <v>0</v>
      </c>
      <c r="AC29" s="505" cm="1">
        <f t="array" aca="1" ref="AC29" ca="1">_xlfn.XLOOKUP($Y29,INDIRECT("'"&amp;$Z29&amp;"'!C1:C1000"),INDIRECT("'"&amp;$Z29&amp;"'!"&amp;AC$8&amp;"1:"&amp;AC$8&amp;"1000"))</f>
        <v>0</v>
      </c>
      <c r="AD29" s="38"/>
      <c r="AE29" s="38"/>
      <c r="AF29" s="38"/>
    </row>
    <row r="30" spans="1:32">
      <c r="A30" s="1133">
        <v>242.36</v>
      </c>
      <c r="B30" s="686" t="s">
        <v>224</v>
      </c>
      <c r="C30" s="686" t="s">
        <v>2</v>
      </c>
      <c r="D30" s="112">
        <f ca="1">_xlfn.IFNA(_xlfn.XLOOKUP(A30,PullFromCalcs[Item],PullFromCalcs[Quantity]),"-")</f>
        <v>0</v>
      </c>
      <c r="E30" s="114">
        <f t="shared" si="0"/>
        <v>2500</v>
      </c>
      <c r="F30" s="114">
        <f ca="1">_xlfn.IFNA(_xlfn.XLOOKUP(A30,PullFromCalcs[Item],PullFromCalcs[Price]),0)</f>
        <v>0</v>
      </c>
      <c r="G30" s="584" t="str">
        <f>_xlfn.XLOOKUP(A30,PullFromCalcs[Item],PullFromCalcs[Sheet],"MiscItems")</f>
        <v>DRAINAGE</v>
      </c>
      <c r="H30" s="113" t="e" cm="1">
        <f t="array" ref="H30">_xlfn.XLOOKUP($A30&amp;BasicProjectData!$G$18,Prices[Item '#]&amp;Prices[Location],Prices[Mean Price])</f>
        <v>#N/A</v>
      </c>
      <c r="I30" s="1134" t="e" cm="1">
        <f t="array" ref="I30">_xlfn.XLOOKUP($A30&amp;"All Districts",Prices[Item '#]&amp;Prices[Location],Prices[Mean Price])</f>
        <v>#N/A</v>
      </c>
      <c r="J30" s="1135">
        <v>2500</v>
      </c>
      <c r="K30" t="str">
        <f>IF(AND(_xlfn.IFNA(Output[[#This Row],[Mean Unit Price State]],0)=0,Output[[#This Row],[Price Override?]]=0),"CHECK","")</f>
        <v/>
      </c>
      <c r="Y30" s="157">
        <v>751</v>
      </c>
      <c r="Z30" s="38" t="s">
        <v>3686</v>
      </c>
      <c r="AA30" s="38" cm="1">
        <f t="array" aca="1" ref="AA30" ca="1">_xlfn.XLOOKUP($Y30,INDIRECT("'"&amp;$Z30&amp;"'!C1:C1000"),INDIRECT("'"&amp;$Z30&amp;"'!"&amp;AA$8&amp;"1:"&amp;AA$8&amp;"1000"))</f>
        <v>0</v>
      </c>
      <c r="AB30" s="38" cm="1">
        <f t="array" aca="1" ref="AB30" ca="1">_xlfn.XLOOKUP($Y30,INDIRECT("'"&amp;$Z30&amp;"'!C1:C1000"),INDIRECT("'"&amp;$Z30&amp;"'!"&amp;AB$8&amp;"1:"&amp;AB$8&amp;"1000"))</f>
        <v>0</v>
      </c>
      <c r="AC30" s="505" cm="1">
        <f t="array" aca="1" ref="AC30" ca="1">_xlfn.XLOOKUP($Y30,INDIRECT("'"&amp;$Z30&amp;"'!C1:C1000"),INDIRECT("'"&amp;$Z30&amp;"'!"&amp;AC$8&amp;"1:"&amp;AC$8&amp;"1000"))</f>
        <v>0</v>
      </c>
      <c r="AD30" s="38"/>
      <c r="AE30" s="38"/>
      <c r="AF30" s="38"/>
    </row>
    <row r="31" spans="1:32">
      <c r="A31" s="115">
        <v>402</v>
      </c>
      <c r="B31" s="111" t="str">
        <f>_xlfn.XLOOKUP(A31,Prices[Item '#],Prices[Description])</f>
        <v>DENSE GRADED CRUSHED STONE FOR SUB-BASE</v>
      </c>
      <c r="C31" s="111" t="str">
        <f>_xlfn.XLOOKUP($A31,Prices[Item '#],Prices[Units])</f>
        <v>CY</v>
      </c>
      <c r="D31" s="112">
        <f ca="1">_xlfn.IFNA(_xlfn.XLOOKUP(A31,PullFromCalcs[Item],PullFromCalcs[Quantity]),"-")</f>
        <v>0</v>
      </c>
      <c r="E31" s="114">
        <f t="shared" ca="1" si="0"/>
        <v>95</v>
      </c>
      <c r="F31" s="114">
        <f ca="1">_xlfn.IFNA(_xlfn.XLOOKUP(A31,PullFromCalcs[Item],PullFromCalcs[Price]),0)</f>
        <v>0</v>
      </c>
      <c r="G31" s="584" t="str">
        <f>_xlfn.XLOOKUP(A31,PullFromCalcs[Item],PullFromCalcs[Sheet],"MiscItems")</f>
        <v>CIVIL</v>
      </c>
      <c r="H31" s="113" t="e" cm="1">
        <f t="array" ref="H31">_xlfn.XLOOKUP($A31&amp;BasicProjectData!$G$18,Prices[Item '#]&amp;Prices[Location],Prices[Mean Price])</f>
        <v>#N/A</v>
      </c>
      <c r="I31" s="113" cm="1">
        <f t="array" ref="I31">_xlfn.XLOOKUP($A31&amp;"All Districts",Prices[Item '#]&amp;Prices[Location],Prices[Mean Price])</f>
        <v>94.05</v>
      </c>
      <c r="J31">
        <f ca="1">_xlfn.XLOOKUP(A31,$Y$10:$Y$165,$AB$10:$AB$165)</f>
        <v>0</v>
      </c>
      <c r="K31" t="str">
        <f ca="1">IF(AND(_xlfn.IFNA(Output[[#This Row],[Mean Unit Price State]],0)=0,Output[[#This Row],[Price Override?]]=0),"CHECK","")</f>
        <v/>
      </c>
      <c r="Y31" s="1137">
        <v>804.3</v>
      </c>
      <c r="Z31" s="38"/>
      <c r="AA31" s="1136">
        <f ca="1">AA34+AA90</f>
        <v>0</v>
      </c>
      <c r="AB31" s="38">
        <f ca="1">MAX(AB34,AB90)</f>
        <v>0</v>
      </c>
      <c r="AC31" s="38">
        <f ca="1">MAX(AC34,AC90)</f>
        <v>0</v>
      </c>
      <c r="AD31" s="38"/>
      <c r="AE31" s="38"/>
      <c r="AF31" s="38"/>
    </row>
    <row r="32" spans="1:32">
      <c r="A32" s="115">
        <v>431</v>
      </c>
      <c r="B32" s="111" t="str">
        <f>_xlfn.XLOOKUP(A32,Prices[Item '#],Prices[Description])</f>
        <v>HIGH EARLY STRENGTH CEMENT CONCRETE BASE COURSE</v>
      </c>
      <c r="C32" s="111" t="str">
        <f>_xlfn.XLOOKUP($A32,Prices[Item '#],Prices[Units])</f>
        <v>SY</v>
      </c>
      <c r="D32" s="112">
        <f ca="1">_xlfn.IFNA(_xlfn.XLOOKUP(A32,PullFromCalcs[Item],PullFromCalcs[Quantity]),"-")</f>
        <v>0</v>
      </c>
      <c r="E32" s="114">
        <f t="shared" ca="1" si="0"/>
        <v>93</v>
      </c>
      <c r="F32" s="114">
        <f ca="1">_xlfn.IFNA(_xlfn.XLOOKUP(A32,PullFromCalcs[Item],PullFromCalcs[Price]),0)</f>
        <v>0</v>
      </c>
      <c r="G32" s="584" t="str">
        <f>_xlfn.XLOOKUP(A32,PullFromCalcs[Item],PullFromCalcs[Sheet],"MiscItems")</f>
        <v>CIVIL</v>
      </c>
      <c r="H32" s="113" t="e" cm="1">
        <f t="array" ref="H32">_xlfn.XLOOKUP($A32&amp;BasicProjectData!$G$18,Prices[Item '#]&amp;Prices[Location],Prices[Mean Price])</f>
        <v>#N/A</v>
      </c>
      <c r="I32" s="113" cm="1">
        <f t="array" ref="I32">_xlfn.XLOOKUP($A32&amp;"All Districts",Prices[Item '#]&amp;Prices[Location],Prices[Mean Price])</f>
        <v>92.24</v>
      </c>
      <c r="J32">
        <f ca="1">_xlfn.XLOOKUP(A32,$Y$10:$Y$165,$AB$10:$AB$165)</f>
        <v>0</v>
      </c>
      <c r="K32" t="str">
        <f ca="1">IF(AND(_xlfn.IFNA(Output[[#This Row],[Mean Unit Price State]],0)=0,Output[[#This Row],[Price Override?]]=0),"CHECK","")</f>
        <v/>
      </c>
      <c r="Y32" s="1137">
        <v>811.22</v>
      </c>
      <c r="Z32" s="38"/>
      <c r="AA32" s="1136">
        <f ca="1">AA91+AA101</f>
        <v>0</v>
      </c>
      <c r="AB32" s="38">
        <f ca="1">MAX(AB91,AB101)</f>
        <v>0</v>
      </c>
      <c r="AC32" s="38">
        <f ca="1">MAX(AC91,AC101)</f>
        <v>0</v>
      </c>
      <c r="AD32" s="38"/>
      <c r="AE32" s="38"/>
      <c r="AF32" s="38"/>
    </row>
    <row r="33" spans="1:32">
      <c r="A33" s="115">
        <v>440</v>
      </c>
      <c r="B33" s="111" t="str">
        <f>_xlfn.XLOOKUP(A33,Prices[Item '#],Prices[Description])</f>
        <v>CALCIUM CHLORIDE FOR ROADWAY DUST CONTROL</v>
      </c>
      <c r="C33" s="111" t="str">
        <f>_xlfn.XLOOKUP($A33,Prices[Item '#],Prices[Units])</f>
        <v>LB</v>
      </c>
      <c r="D33" s="112">
        <f ca="1">_xlfn.IFNA(_xlfn.XLOOKUP(A33,PullFromCalcs[Item],PullFromCalcs[Quantity]),"-")</f>
        <v>0</v>
      </c>
      <c r="E33" s="114">
        <f t="shared" ca="1" si="0"/>
        <v>1</v>
      </c>
      <c r="F33" s="114">
        <f ca="1">_xlfn.IFNA(_xlfn.XLOOKUP(A33,PullFromCalcs[Item],PullFromCalcs[Price]),0)</f>
        <v>0</v>
      </c>
      <c r="G33" s="584" t="str">
        <f>_xlfn.XLOOKUP(A33,PullFromCalcs[Item],PullFromCalcs[Sheet],"MiscItems")</f>
        <v>CIVIL</v>
      </c>
      <c r="H33" s="113" t="e" cm="1">
        <f t="array" ref="H33">_xlfn.XLOOKUP($A33&amp;BasicProjectData!$G$18,Prices[Item '#]&amp;Prices[Location],Prices[Mean Price])</f>
        <v>#N/A</v>
      </c>
      <c r="I33" s="113" cm="1">
        <f t="array" ref="I33">_xlfn.XLOOKUP($A33&amp;"All Districts",Prices[Item '#]&amp;Prices[Location],Prices[Mean Price])</f>
        <v>0.45</v>
      </c>
      <c r="J33">
        <f ca="1">_xlfn.XLOOKUP(A33,$Y$10:$Y$165,$AB$10:$AB$165)</f>
        <v>0</v>
      </c>
      <c r="K33" t="str">
        <f ca="1">IF(AND(_xlfn.IFNA(Output[[#This Row],[Mean Unit Price State]],0)=0,Output[[#This Row],[Price Override?]]=0),"CHECK","")</f>
        <v/>
      </c>
      <c r="Y33" s="157">
        <v>765</v>
      </c>
      <c r="Z33" s="38" t="s">
        <v>3686</v>
      </c>
      <c r="AA33" s="38" cm="1">
        <f t="array" aca="1" ref="AA33" ca="1">_xlfn.XLOOKUP($Y33,INDIRECT("'"&amp;$Z33&amp;"'!C1:C1000"),INDIRECT("'"&amp;$Z33&amp;"'!"&amp;AA$8&amp;"1:"&amp;AA$8&amp;"1000"))</f>
        <v>0</v>
      </c>
      <c r="AB33" s="38" cm="1">
        <f t="array" aca="1" ref="AB33" ca="1">_xlfn.XLOOKUP($Y33,INDIRECT("'"&amp;$Z33&amp;"'!C1:C1000"),INDIRECT("'"&amp;$Z33&amp;"'!"&amp;AB$8&amp;"1:"&amp;AB$8&amp;"1000"))</f>
        <v>0</v>
      </c>
      <c r="AC33" s="505" cm="1">
        <f t="array" aca="1" ref="AC33" ca="1">_xlfn.XLOOKUP($Y33,INDIRECT("'"&amp;$Z33&amp;"'!C1:C1000"),INDIRECT("'"&amp;$Z33&amp;"'!"&amp;AC$8&amp;"1:"&amp;AC$8&amp;"1000"))</f>
        <v>0</v>
      </c>
      <c r="AD33" s="38"/>
      <c r="AE33" s="38"/>
      <c r="AF33" s="38"/>
    </row>
    <row r="34" spans="1:32">
      <c r="A34" s="116">
        <v>450.14</v>
      </c>
      <c r="B34" s="686" t="s">
        <v>1656</v>
      </c>
      <c r="C34" s="686" t="s">
        <v>7</v>
      </c>
      <c r="D34" s="112">
        <f ca="1">_xlfn.IFNA(_xlfn.XLOOKUP(A34,PullFromCalcs[Item],PullFromCalcs[Quantity]),"-")</f>
        <v>0</v>
      </c>
      <c r="E34" s="114">
        <f t="shared" si="0"/>
        <v>170</v>
      </c>
      <c r="F34" s="114">
        <f ca="1">_xlfn.IFNA(_xlfn.XLOOKUP(A34,PullFromCalcs[Item],PullFromCalcs[Price]),0)</f>
        <v>0</v>
      </c>
      <c r="G34" s="584" t="str">
        <f>_xlfn.XLOOKUP(A34,PullFromCalcs[Item],PullFromCalcs[Sheet],"MiscItems")</f>
        <v>CIVIL</v>
      </c>
      <c r="H34" s="113" t="e" cm="1">
        <f t="array" ref="H34">_xlfn.XLOOKUP($A34&amp;BasicProjectData!$G$18,Prices[Item '#]&amp;Prices[Location],Prices[Mean Price])</f>
        <v>#N/A</v>
      </c>
      <c r="I34" s="1134" t="e" cm="1">
        <f t="array" ref="I34">_xlfn.XLOOKUP($A34&amp;"All Districts",Prices[Item '#]&amp;Prices[Location],Prices[Mean Price])</f>
        <v>#N/A</v>
      </c>
      <c r="J34" s="1135">
        <v>170</v>
      </c>
      <c r="K34" t="str">
        <f>IF(AND(_xlfn.IFNA(Output[[#This Row],[Mean Unit Price State]],0)=0,Output[[#This Row],[Price Override?]]=0),"CHECK","")</f>
        <v/>
      </c>
      <c r="Y34" s="157">
        <v>804.3</v>
      </c>
      <c r="Z34" s="38" t="s">
        <v>1586</v>
      </c>
      <c r="AA34" s="38" cm="1">
        <f t="array" aca="1" ref="AA34" ca="1">_xlfn.XLOOKUP($Y34,INDIRECT("'"&amp;$Z34&amp;"'!C1:C1000"),INDIRECT("'"&amp;$Z34&amp;"'!"&amp;AA$8&amp;"1:"&amp;AA$8&amp;"1000"))</f>
        <v>0</v>
      </c>
      <c r="AB34" s="38" cm="1">
        <f t="array" aca="1" ref="AB34" ca="1">_xlfn.XLOOKUP($Y34,INDIRECT("'"&amp;$Z34&amp;"'!C1:C1000"),INDIRECT("'"&amp;$Z34&amp;"'!"&amp;AB$8&amp;"1:"&amp;AB$8&amp;"1000"))</f>
        <v>0</v>
      </c>
      <c r="AC34" s="505" cm="1">
        <f t="array" aca="1" ref="AC34" ca="1">_xlfn.XLOOKUP($Y34,INDIRECT("'"&amp;$Z34&amp;"'!C1:C1000"),INDIRECT("'"&amp;$Z34&amp;"'!"&amp;AC$8&amp;"1:"&amp;AC$8&amp;"1000"))</f>
        <v>0</v>
      </c>
      <c r="AD34" s="38"/>
      <c r="AE34" s="38"/>
      <c r="AF34" s="38"/>
    </row>
    <row r="35" spans="1:32">
      <c r="A35" s="116">
        <v>450.16</v>
      </c>
      <c r="B35" s="686" t="s">
        <v>1657</v>
      </c>
      <c r="C35" s="686" t="s">
        <v>7</v>
      </c>
      <c r="D35" s="112">
        <f ca="1">_xlfn.IFNA(_xlfn.XLOOKUP(A35,PullFromCalcs[Item],PullFromCalcs[Quantity]),"-")</f>
        <v>0</v>
      </c>
      <c r="E35" s="114">
        <f t="shared" si="0"/>
        <v>170</v>
      </c>
      <c r="F35" s="114">
        <f ca="1">_xlfn.IFNA(_xlfn.XLOOKUP(A35,PullFromCalcs[Item],PullFromCalcs[Price]),0)</f>
        <v>0</v>
      </c>
      <c r="G35" s="584" t="str">
        <f>_xlfn.XLOOKUP(A35,PullFromCalcs[Item],PullFromCalcs[Sheet],"MiscItems")</f>
        <v>CIVIL</v>
      </c>
      <c r="H35" s="113" t="e" cm="1">
        <f t="array" ref="H35">_xlfn.XLOOKUP($A35&amp;BasicProjectData!$G$18,Prices[Item '#]&amp;Prices[Location],Prices[Mean Price])</f>
        <v>#N/A</v>
      </c>
      <c r="I35" s="1134" t="e" cm="1">
        <f t="array" ref="I35">_xlfn.XLOOKUP($A35&amp;"All Districts",Prices[Item '#]&amp;Prices[Location],Prices[Mean Price])</f>
        <v>#N/A</v>
      </c>
      <c r="J35" s="1135">
        <v>170</v>
      </c>
      <c r="K35" t="str">
        <f>IF(AND(_xlfn.IFNA(Output[[#This Row],[Mean Unit Price State]],0)=0,Output[[#This Row],[Price Override?]]=0),"CHECK","")</f>
        <v/>
      </c>
      <c r="Y35" s="157">
        <v>816.01</v>
      </c>
      <c r="Z35" s="38" t="s">
        <v>1547</v>
      </c>
      <c r="AA35" s="38" cm="1">
        <f t="array" aca="1" ref="AA35" ca="1">_xlfn.XLOOKUP($Y35,INDIRECT("'"&amp;$Z35&amp;"'!C1:C1000"),INDIRECT("'"&amp;$Z35&amp;"'!"&amp;AA$8&amp;"1:"&amp;AA$8&amp;"1000"))</f>
        <v>1</v>
      </c>
      <c r="AB35" s="38" cm="1">
        <f t="array" aca="1" ref="AB35" ca="1">_xlfn.XLOOKUP($Y35,INDIRECT("'"&amp;$Z35&amp;"'!C1:C1000"),INDIRECT("'"&amp;$Z35&amp;"'!"&amp;AB$8&amp;"1:"&amp;AB$8&amp;"1000"))</f>
        <v>0</v>
      </c>
      <c r="AC35" s="505" cm="1">
        <f t="array" aca="1" ref="AC35" ca="1">_xlfn.XLOOKUP($Y35,INDIRECT("'"&amp;$Z35&amp;"'!C1:C1000"),INDIRECT("'"&amp;$Z35&amp;"'!"&amp;AC$8&amp;"1:"&amp;AC$8&amp;"1000"))</f>
        <v>0</v>
      </c>
      <c r="AD35" s="38"/>
      <c r="AE35" s="38"/>
      <c r="AF35" s="38"/>
    </row>
    <row r="36" spans="1:32">
      <c r="A36" s="110">
        <v>450.23</v>
      </c>
      <c r="B36" s="111" t="str">
        <f>_xlfn.XLOOKUP(A36,Prices[Item '#],Prices[Description])</f>
        <v>SUPERPAVE SURFACE COURSE - 12.5 (SSC - 12.5)</v>
      </c>
      <c r="C36" s="111" t="str">
        <f>_xlfn.XLOOKUP($A36,Prices[Item '#],Prices[Units])</f>
        <v>TON</v>
      </c>
      <c r="D36" s="112">
        <f ca="1">_xlfn.IFNA(_xlfn.XLOOKUP(A36,PullFromCalcs[Item],PullFromCalcs[Quantity]),"-")</f>
        <v>0</v>
      </c>
      <c r="E36" s="114">
        <f t="shared" ca="1" si="0"/>
        <v>154</v>
      </c>
      <c r="F36" s="114">
        <f ca="1">_xlfn.IFNA(_xlfn.XLOOKUP(A36,PullFromCalcs[Item],PullFromCalcs[Price]),0)</f>
        <v>0</v>
      </c>
      <c r="G36" s="584" t="str">
        <f>_xlfn.XLOOKUP(A36,PullFromCalcs[Item],PullFromCalcs[Sheet],"MiscItems")</f>
        <v>CIVIL</v>
      </c>
      <c r="H36" s="113" t="e" cm="1">
        <f t="array" ref="H36">_xlfn.XLOOKUP($A36&amp;BasicProjectData!$G$18,Prices[Item '#]&amp;Prices[Location],Prices[Mean Price])</f>
        <v>#N/A</v>
      </c>
      <c r="I36" s="113" cm="1">
        <f t="array" ref="I36">_xlfn.XLOOKUP($A36&amp;"All Districts",Prices[Item '#]&amp;Prices[Location],Prices[Mean Price])</f>
        <v>153.63</v>
      </c>
      <c r="J36">
        <f t="shared" ref="J36:J43" ca="1" si="2">_xlfn.XLOOKUP(A36,$Y$10:$Y$165,$AB$10:$AB$165)</f>
        <v>0</v>
      </c>
      <c r="K36" t="str">
        <f ca="1">IF(AND(_xlfn.IFNA(Output[[#This Row],[Mean Unit Price State]],0)=0,Output[[#This Row],[Price Override?]]=0),"CHECK","")</f>
        <v/>
      </c>
      <c r="Y36" s="157">
        <v>816.02</v>
      </c>
      <c r="Z36" s="38" t="s">
        <v>1547</v>
      </c>
      <c r="AA36" s="38" cm="1">
        <f t="array" aca="1" ref="AA36" ca="1">_xlfn.XLOOKUP($Y36,INDIRECT("'"&amp;$Z36&amp;"'!C1:C1000"),INDIRECT("'"&amp;$Z36&amp;"'!"&amp;AA$8&amp;"1:"&amp;AA$8&amp;"1000"))</f>
        <v>1</v>
      </c>
      <c r="AB36" s="38" cm="1">
        <f t="array" aca="1" ref="AB36" ca="1">_xlfn.XLOOKUP($Y36,INDIRECT("'"&amp;$Z36&amp;"'!C1:C1000"),INDIRECT("'"&amp;$Z36&amp;"'!"&amp;AB$8&amp;"1:"&amp;AB$8&amp;"1000"))</f>
        <v>0</v>
      </c>
      <c r="AC36" s="505" cm="1">
        <f t="array" aca="1" ref="AC36" ca="1">_xlfn.XLOOKUP($Y36,INDIRECT("'"&amp;$Z36&amp;"'!C1:C1000"),INDIRECT("'"&amp;$Z36&amp;"'!"&amp;AC$8&amp;"1:"&amp;AC$8&amp;"1000"))</f>
        <v>0</v>
      </c>
      <c r="AD36" s="38"/>
      <c r="AE36" s="38"/>
      <c r="AF36" s="38"/>
    </row>
    <row r="37" spans="1:32">
      <c r="A37" s="110">
        <v>450.32</v>
      </c>
      <c r="B37" s="111" t="str">
        <f>_xlfn.XLOOKUP(A37,Prices[Item '#],Prices[Description])</f>
        <v>SUPERPAVE INTERMEDIATE COURSE - 19.0 (SIC - 19.0)</v>
      </c>
      <c r="C37" s="111" t="str">
        <f>_xlfn.XLOOKUP($A37,Prices[Item '#],Prices[Units])</f>
        <v>TON</v>
      </c>
      <c r="D37" s="112">
        <f ca="1">_xlfn.IFNA(_xlfn.XLOOKUP(A37,PullFromCalcs[Item],PullFromCalcs[Quantity]),"-")</f>
        <v>0</v>
      </c>
      <c r="E37" s="114">
        <f t="shared" ca="1" si="0"/>
        <v>162</v>
      </c>
      <c r="F37" s="114">
        <f ca="1">_xlfn.IFNA(_xlfn.XLOOKUP(A37,PullFromCalcs[Item],PullFromCalcs[Price]),0)</f>
        <v>0</v>
      </c>
      <c r="G37" s="584" t="str">
        <f>_xlfn.XLOOKUP(A37,PullFromCalcs[Item],PullFromCalcs[Sheet],"MiscItems")</f>
        <v>CIVIL</v>
      </c>
      <c r="H37" s="113" t="e" cm="1">
        <f t="array" ref="H37">_xlfn.XLOOKUP($A37&amp;BasicProjectData!$G$18,Prices[Item '#]&amp;Prices[Location],Prices[Mean Price])</f>
        <v>#N/A</v>
      </c>
      <c r="I37" s="113" cm="1">
        <f t="array" ref="I37">_xlfn.XLOOKUP($A37&amp;"All Districts",Prices[Item '#]&amp;Prices[Location],Prices[Mean Price])</f>
        <v>161.88</v>
      </c>
      <c r="J37">
        <f t="shared" ca="1" si="2"/>
        <v>0</v>
      </c>
      <c r="K37" t="str">
        <f ca="1">IF(AND(_xlfn.IFNA(Output[[#This Row],[Mean Unit Price State]],0)=0,Output[[#This Row],[Price Override?]]=0),"CHECK","")</f>
        <v/>
      </c>
      <c r="Y37" s="157">
        <v>816.03</v>
      </c>
      <c r="Z37" s="38" t="s">
        <v>1547</v>
      </c>
      <c r="AA37" s="38" cm="1">
        <f t="array" aca="1" ref="AA37" ca="1">_xlfn.XLOOKUP($Y37,INDIRECT("'"&amp;$Z37&amp;"'!C1:C1000"),INDIRECT("'"&amp;$Z37&amp;"'!"&amp;AA$8&amp;"1:"&amp;AA$8&amp;"1000"))</f>
        <v>1</v>
      </c>
      <c r="AB37" s="38" cm="1">
        <f t="array" aca="1" ref="AB37" ca="1">_xlfn.XLOOKUP($Y37,INDIRECT("'"&amp;$Z37&amp;"'!C1:C1000"),INDIRECT("'"&amp;$Z37&amp;"'!"&amp;AB$8&amp;"1:"&amp;AB$8&amp;"1000"))</f>
        <v>0</v>
      </c>
      <c r="AC37" s="505" cm="1">
        <f t="array" aca="1" ref="AC37" ca="1">_xlfn.XLOOKUP($Y37,INDIRECT("'"&amp;$Z37&amp;"'!C1:C1000"),INDIRECT("'"&amp;$Z37&amp;"'!"&amp;AC$8&amp;"1:"&amp;AC$8&amp;"1000"))</f>
        <v>0</v>
      </c>
      <c r="AD37" s="38"/>
      <c r="AE37" s="38"/>
      <c r="AF37" s="38"/>
    </row>
    <row r="38" spans="1:32">
      <c r="A38" s="110">
        <v>450.42</v>
      </c>
      <c r="B38" s="111" t="str">
        <f>_xlfn.XLOOKUP(A38,Prices[Item '#],Prices[Description])</f>
        <v>SUPERPAVE BASE COURSE - 37.5 (SBC - 37.5)</v>
      </c>
      <c r="C38" s="111" t="str">
        <f>_xlfn.XLOOKUP($A38,Prices[Item '#],Prices[Units])</f>
        <v>TON</v>
      </c>
      <c r="D38" s="112">
        <f ca="1">_xlfn.IFNA(_xlfn.XLOOKUP(A38,PullFromCalcs[Item],PullFromCalcs[Quantity]),"-")</f>
        <v>0</v>
      </c>
      <c r="E38" s="114">
        <f t="shared" ca="1" si="0"/>
        <v>168</v>
      </c>
      <c r="F38" s="114">
        <f ca="1">_xlfn.IFNA(_xlfn.XLOOKUP(A38,PullFromCalcs[Item],PullFromCalcs[Price]),0)</f>
        <v>0</v>
      </c>
      <c r="G38" s="584" t="str">
        <f>_xlfn.XLOOKUP(A38,PullFromCalcs[Item],PullFromCalcs[Sheet],"MiscItems")</f>
        <v>CIVIL</v>
      </c>
      <c r="H38" s="113" t="e" cm="1">
        <f t="array" ref="H38">_xlfn.XLOOKUP($A38&amp;BasicProjectData!$G$18,Prices[Item '#]&amp;Prices[Location],Prices[Mean Price])</f>
        <v>#N/A</v>
      </c>
      <c r="I38" s="113" cm="1">
        <f t="array" ref="I38">_xlfn.XLOOKUP($A38&amp;"All Districts",Prices[Item '#]&amp;Prices[Location],Prices[Mean Price])</f>
        <v>167.16</v>
      </c>
      <c r="J38">
        <f t="shared" ca="1" si="2"/>
        <v>0</v>
      </c>
      <c r="K38" t="str">
        <f ca="1">IF(AND(_xlfn.IFNA(Output[[#This Row],[Mean Unit Price State]],0)=0,Output[[#This Row],[Price Override?]]=0),"CHECK","")</f>
        <v/>
      </c>
      <c r="Y38" s="157">
        <v>816.04</v>
      </c>
      <c r="Z38" s="38" t="s">
        <v>1547</v>
      </c>
      <c r="AA38" s="38" cm="1">
        <f t="array" aca="1" ref="AA38" ca="1">_xlfn.XLOOKUP($Y38,INDIRECT("'"&amp;$Z38&amp;"'!C1:C1000"),INDIRECT("'"&amp;$Z38&amp;"'!"&amp;AA$8&amp;"1:"&amp;AA$8&amp;"1000"))</f>
        <v>1</v>
      </c>
      <c r="AB38" s="38" cm="1">
        <f t="array" aca="1" ref="AB38" ca="1">_xlfn.XLOOKUP($Y38,INDIRECT("'"&amp;$Z38&amp;"'!C1:C1000"),INDIRECT("'"&amp;$Z38&amp;"'!"&amp;AB$8&amp;"1:"&amp;AB$8&amp;"1000"))</f>
        <v>0</v>
      </c>
      <c r="AC38" s="505" cm="1">
        <f t="array" aca="1" ref="AC38" ca="1">_xlfn.XLOOKUP($Y38,INDIRECT("'"&amp;$Z38&amp;"'!C1:C1000"),INDIRECT("'"&amp;$Z38&amp;"'!"&amp;AC$8&amp;"1:"&amp;AC$8&amp;"1000"))</f>
        <v>0</v>
      </c>
      <c r="AD38" s="38"/>
      <c r="AE38" s="38"/>
      <c r="AF38" s="1266" t="s">
        <v>3759</v>
      </c>
    </row>
    <row r="39" spans="1:32">
      <c r="A39" s="110">
        <v>451</v>
      </c>
      <c r="B39" s="111" t="str">
        <f>_xlfn.XLOOKUP(A39,Prices[Item '#],Prices[Description])</f>
        <v>HMA FOR PATCHING</v>
      </c>
      <c r="C39" s="111" t="str">
        <f>_xlfn.XLOOKUP($A39,Prices[Item '#],Prices[Units])</f>
        <v>TON</v>
      </c>
      <c r="D39" s="112">
        <f ca="1">_xlfn.IFNA(_xlfn.XLOOKUP(A39,PullFromCalcs[Item],PullFromCalcs[Quantity]),"-")</f>
        <v>0</v>
      </c>
      <c r="E39" s="114">
        <f t="shared" ca="1" si="0"/>
        <v>299</v>
      </c>
      <c r="F39" s="114">
        <f ca="1">_xlfn.IFNA(_xlfn.XLOOKUP(A39,PullFromCalcs[Item],PullFromCalcs[Price]),0)</f>
        <v>0</v>
      </c>
      <c r="G39" s="584" t="str">
        <f>_xlfn.XLOOKUP(A39,PullFromCalcs[Item],PullFromCalcs[Sheet],"MiscItems")</f>
        <v>PVMTPRES</v>
      </c>
      <c r="H39" s="113" t="e" cm="1">
        <f t="array" ref="H39">_xlfn.XLOOKUP($A39&amp;BasicProjectData!$G$18,Prices[Item '#]&amp;Prices[Location],Prices[Mean Price])</f>
        <v>#N/A</v>
      </c>
      <c r="I39" s="113" cm="1">
        <f t="array" ref="I39">_xlfn.XLOOKUP($A39&amp;"All Districts",Prices[Item '#]&amp;Prices[Location],Prices[Mean Price])</f>
        <v>298.41000000000003</v>
      </c>
      <c r="J39">
        <f t="shared" ca="1" si="2"/>
        <v>0</v>
      </c>
      <c r="K39" t="str">
        <f ca="1">IF(AND(_xlfn.IFNA(Output[[#This Row],[Mean Unit Price State]],0)=0,Output[[#This Row],[Price Override?]]=0),"CHECK","")</f>
        <v/>
      </c>
      <c r="Y39" s="157">
        <v>816.99</v>
      </c>
      <c r="Z39" s="38" t="s">
        <v>1547</v>
      </c>
      <c r="AA39" s="38" cm="1">
        <f t="array" aca="1" ref="AA39" ca="1">_xlfn.XLOOKUP($Y39,INDIRECT("'"&amp;$Z39&amp;"'!C1:C1000"),INDIRECT("'"&amp;$Z39&amp;"'!"&amp;AA$8&amp;"1:"&amp;AA$8&amp;"1000"))</f>
        <v>0</v>
      </c>
      <c r="AB39" s="38" cm="1">
        <f t="array" aca="1" ref="AB39" ca="1">_xlfn.XLOOKUP($Y39,INDIRECT("'"&amp;$Z39&amp;"'!C1:C1000"),INDIRECT("'"&amp;$Z39&amp;"'!"&amp;AB$8&amp;"1:"&amp;AB$8&amp;"1000"))</f>
        <v>0</v>
      </c>
      <c r="AC39" s="505" cm="1">
        <f t="array" aca="1" ref="AC39" ca="1">_xlfn.XLOOKUP($Y39,INDIRECT("'"&amp;$Z39&amp;"'!C1:C1000"),INDIRECT("'"&amp;$Z39&amp;"'!"&amp;AC$8&amp;"1:"&amp;AC$8&amp;"1000"))</f>
        <v>0</v>
      </c>
      <c r="AD39" s="38"/>
      <c r="AE39" s="38"/>
      <c r="AF39" s="1266"/>
    </row>
    <row r="40" spans="1:32">
      <c r="A40" s="110">
        <v>452</v>
      </c>
      <c r="B40" s="111" t="str">
        <f>_xlfn.XLOOKUP(A40,Prices[Item '#],Prices[Description])</f>
        <v>ASPHALT EMULSION FOR TACK COAT</v>
      </c>
      <c r="C40" s="111" t="str">
        <f>_xlfn.XLOOKUP($A40,Prices[Item '#],Prices[Units])</f>
        <v>GAL</v>
      </c>
      <c r="D40" s="112">
        <f ca="1">_xlfn.IFNA(_xlfn.XLOOKUP(A40,PullFromCalcs[Item],PullFromCalcs[Quantity]),"-")</f>
        <v>0</v>
      </c>
      <c r="E40" s="114">
        <f t="shared" ca="1" si="0"/>
        <v>11</v>
      </c>
      <c r="F40" s="114">
        <f ca="1">_xlfn.IFNA(_xlfn.XLOOKUP(A40,PullFromCalcs[Item],PullFromCalcs[Price]),0)</f>
        <v>0</v>
      </c>
      <c r="G40" s="584" t="str">
        <f>_xlfn.XLOOKUP(A40,PullFromCalcs[Item],PullFromCalcs[Sheet],"MiscItems")</f>
        <v>CIVIL</v>
      </c>
      <c r="H40" s="113" t="e" cm="1">
        <f t="array" ref="H40">_xlfn.XLOOKUP($A40&amp;BasicProjectData!$G$18,Prices[Item '#]&amp;Prices[Location],Prices[Mean Price])</f>
        <v>#N/A</v>
      </c>
      <c r="I40" s="113" cm="1">
        <f t="array" ref="I40">_xlfn.XLOOKUP($A40&amp;"All Districts",Prices[Item '#]&amp;Prices[Location],Prices[Mean Price])</f>
        <v>10.029999999999999</v>
      </c>
      <c r="J40">
        <f t="shared" ca="1" si="2"/>
        <v>0</v>
      </c>
      <c r="K40" t="str">
        <f ca="1">IF(AND(_xlfn.IFNA(Output[[#This Row],[Mean Unit Price State]],0)=0,Output[[#This Row],[Price Override?]]=0),"CHECK","")</f>
        <v/>
      </c>
      <c r="Y40" s="157">
        <v>815.01</v>
      </c>
      <c r="Z40" s="38" t="s">
        <v>1547</v>
      </c>
      <c r="AA40" s="38" t="e" cm="1">
        <f t="array" aca="1" ref="AA40" ca="1">_xlfn.XLOOKUP($Y40,INDIRECT("'"&amp;$Z40&amp;"'!C1:C1000"),INDIRECT("'"&amp;$Z40&amp;"'!"&amp;AA$8&amp;"1:"&amp;AA$8&amp;"1000"))</f>
        <v>#N/A</v>
      </c>
      <c r="AB40" s="38" t="e" cm="1">
        <f t="array" aca="1" ref="AB40" ca="1">_xlfn.XLOOKUP($Y40,INDIRECT("'"&amp;$Z40&amp;"'!C1:C1000"),INDIRECT("'"&amp;$Z40&amp;"'!"&amp;AB$8&amp;"1:"&amp;AB$8&amp;"1000"))</f>
        <v>#N/A</v>
      </c>
      <c r="AC40" s="505" t="e" cm="1">
        <f t="array" aca="1" ref="AC40" ca="1">_xlfn.XLOOKUP($Y40,INDIRECT("'"&amp;$Z40&amp;"'!C1:C1000"),INDIRECT("'"&amp;$Z40&amp;"'!"&amp;AC$8&amp;"1:"&amp;AC$8&amp;"1000"))</f>
        <v>#N/A</v>
      </c>
      <c r="AD40" s="38"/>
      <c r="AE40" s="38"/>
      <c r="AF40" s="1266"/>
    </row>
    <row r="41" spans="1:32">
      <c r="A41" s="110">
        <v>453</v>
      </c>
      <c r="B41" s="111" t="str">
        <f>_xlfn.XLOOKUP(A41,Prices[Item '#],Prices[Description])</f>
        <v>HMA JOINT ADHESIVE</v>
      </c>
      <c r="C41" s="111" t="str">
        <f>_xlfn.XLOOKUP($A41,Prices[Item '#],Prices[Units])</f>
        <v>FT</v>
      </c>
      <c r="D41" s="112">
        <f ca="1">_xlfn.IFNA(_xlfn.XLOOKUP(A41,PullFromCalcs[Item],PullFromCalcs[Quantity]),"-")</f>
        <v>0</v>
      </c>
      <c r="E41" s="114">
        <f t="shared" ca="1" si="0"/>
        <v>2</v>
      </c>
      <c r="F41" s="114">
        <f ca="1">_xlfn.IFNA(_xlfn.XLOOKUP(A41,PullFromCalcs[Item],PullFromCalcs[Price]),0)</f>
        <v>0</v>
      </c>
      <c r="G41" s="584" t="str">
        <f>_xlfn.XLOOKUP(A41,PullFromCalcs[Item],PullFromCalcs[Sheet],"MiscItems")</f>
        <v>CIVIL</v>
      </c>
      <c r="H41" s="113" t="e" cm="1">
        <f t="array" ref="H41">_xlfn.XLOOKUP($A41&amp;BasicProjectData!$G$18,Prices[Item '#]&amp;Prices[Location],Prices[Mean Price])</f>
        <v>#N/A</v>
      </c>
      <c r="I41" s="113" cm="1">
        <f t="array" ref="I41">_xlfn.XLOOKUP($A41&amp;"All Districts",Prices[Item '#]&amp;Prices[Location],Prices[Mean Price])</f>
        <v>1.51</v>
      </c>
      <c r="J41">
        <f t="shared" ca="1" si="2"/>
        <v>0</v>
      </c>
      <c r="K41" t="str">
        <f ca="1">IF(AND(_xlfn.IFNA(Output[[#This Row],[Mean Unit Price State]],0)=0,Output[[#This Row],[Price Override?]]=0),"CHECK","")</f>
        <v/>
      </c>
      <c r="Y41" s="157">
        <v>815.02</v>
      </c>
      <c r="Z41" s="38" t="s">
        <v>1547</v>
      </c>
      <c r="AA41" s="38" t="e" cm="1">
        <f t="array" aca="1" ref="AA41" ca="1">_xlfn.XLOOKUP($Y41,INDIRECT("'"&amp;$Z41&amp;"'!C1:C1000"),INDIRECT("'"&amp;$Z41&amp;"'!"&amp;AA$8&amp;"1:"&amp;AA$8&amp;"1000"))</f>
        <v>#N/A</v>
      </c>
      <c r="AB41" s="38" t="e" cm="1">
        <f t="array" aca="1" ref="AB41" ca="1">_xlfn.XLOOKUP($Y41,INDIRECT("'"&amp;$Z41&amp;"'!C1:C1000"),INDIRECT("'"&amp;$Z41&amp;"'!"&amp;AB$8&amp;"1:"&amp;AB$8&amp;"1000"))</f>
        <v>#N/A</v>
      </c>
      <c r="AC41" s="505" t="e" cm="1">
        <f t="array" aca="1" ref="AC41" ca="1">_xlfn.XLOOKUP($Y41,INDIRECT("'"&amp;$Z41&amp;"'!C1:C1000"),INDIRECT("'"&amp;$Z41&amp;"'!"&amp;AC$8&amp;"1:"&amp;AC$8&amp;"1000"))</f>
        <v>#N/A</v>
      </c>
      <c r="AD41" s="38"/>
      <c r="AE41" s="38"/>
      <c r="AF41" s="1266"/>
    </row>
    <row r="42" spans="1:32">
      <c r="A42" s="31">
        <v>470</v>
      </c>
      <c r="B42" s="111" t="str">
        <f>_xlfn.XLOOKUP(A42,Prices[Item '#],Prices[Description])</f>
        <v>HOT MIX ASPHALT BERM</v>
      </c>
      <c r="C42" s="111" t="str">
        <f>_xlfn.XLOOKUP($A42,Prices[Item '#],Prices[Units])</f>
        <v>TON</v>
      </c>
      <c r="D42" s="112">
        <f ca="1">_xlfn.IFNA(_xlfn.XLOOKUP(A42,PullFromCalcs[Item],PullFromCalcs[Quantity]),"-")</f>
        <v>0</v>
      </c>
      <c r="E42" s="114">
        <f t="shared" ca="1" si="0"/>
        <v>383</v>
      </c>
      <c r="F42" s="114">
        <f ca="1">_xlfn.IFNA(_xlfn.XLOOKUP(A42,PullFromCalcs[Item],PullFromCalcs[Price]),0)</f>
        <v>0</v>
      </c>
      <c r="G42" s="584" t="str">
        <f>_xlfn.XLOOKUP(A42,PullFromCalcs[Item],PullFromCalcs[Sheet],"MiscItems")</f>
        <v>EDGING</v>
      </c>
      <c r="H42" s="113" t="e" cm="1">
        <f t="array" ref="H42">_xlfn.XLOOKUP($A42&amp;BasicProjectData!$G$18,Prices[Item '#]&amp;Prices[Location],Prices[Mean Price])</f>
        <v>#N/A</v>
      </c>
      <c r="I42" s="113" cm="1">
        <f t="array" ref="I42">_xlfn.XLOOKUP($A42&amp;"All Districts",Prices[Item '#]&amp;Prices[Location],Prices[Mean Price])</f>
        <v>382.84</v>
      </c>
      <c r="J42">
        <f t="shared" ca="1" si="2"/>
        <v>0</v>
      </c>
      <c r="K42" t="str">
        <f ca="1">IF(AND(_xlfn.IFNA(Output[[#This Row],[Mean Unit Price State]],0)=0,Output[[#This Row],[Price Override?]]=0),"CHECK","")</f>
        <v/>
      </c>
      <c r="Y42" s="157">
        <v>815.03</v>
      </c>
      <c r="Z42" s="38" t="s">
        <v>1547</v>
      </c>
      <c r="AA42" s="38" t="e" cm="1">
        <f t="array" aca="1" ref="AA42" ca="1">_xlfn.XLOOKUP($Y42,INDIRECT("'"&amp;$Z42&amp;"'!C1:C1000"),INDIRECT("'"&amp;$Z42&amp;"'!"&amp;AA$8&amp;"1:"&amp;AA$8&amp;"1000"))</f>
        <v>#N/A</v>
      </c>
      <c r="AB42" s="38" t="e" cm="1">
        <f t="array" aca="1" ref="AB42" ca="1">_xlfn.XLOOKUP($Y42,INDIRECT("'"&amp;$Z42&amp;"'!C1:C1000"),INDIRECT("'"&amp;$Z42&amp;"'!"&amp;AB$8&amp;"1:"&amp;AB$8&amp;"1000"))</f>
        <v>#N/A</v>
      </c>
      <c r="AC42" s="505" t="e" cm="1">
        <f t="array" aca="1" ref="AC42" ca="1">_xlfn.XLOOKUP($Y42,INDIRECT("'"&amp;$Z42&amp;"'!C1:C1000"),INDIRECT("'"&amp;$Z42&amp;"'!"&amp;AC$8&amp;"1:"&amp;AC$8&amp;"1000"))</f>
        <v>#N/A</v>
      </c>
      <c r="AD42" s="38"/>
      <c r="AE42" s="38"/>
      <c r="AF42" s="38"/>
    </row>
    <row r="43" spans="1:32">
      <c r="A43" s="115">
        <v>472</v>
      </c>
      <c r="B43" s="111" t="str">
        <f>_xlfn.XLOOKUP(A43,Prices[Item '#],Prices[Description])</f>
        <v>TEMPORARY ASPHALT PATCHING</v>
      </c>
      <c r="C43" s="111" t="str">
        <f>_xlfn.XLOOKUP($A43,Prices[Item '#],Prices[Units])</f>
        <v>TON</v>
      </c>
      <c r="D43" s="112">
        <f ca="1">_xlfn.IFNA(_xlfn.XLOOKUP(A43,PullFromCalcs[Item],PullFromCalcs[Quantity]),"-")</f>
        <v>0</v>
      </c>
      <c r="E43" s="114">
        <f t="shared" ca="1" si="0"/>
        <v>291</v>
      </c>
      <c r="F43" s="114">
        <f ca="1">_xlfn.IFNA(_xlfn.XLOOKUP(A43,PullFromCalcs[Item],PullFromCalcs[Price]),0)</f>
        <v>0</v>
      </c>
      <c r="G43" s="584" t="str">
        <f>_xlfn.XLOOKUP(A43,PullFromCalcs[Item],PullFromCalcs[Sheet],"MiscItems")</f>
        <v>CIVIL</v>
      </c>
      <c r="H43" s="113" t="e" cm="1">
        <f t="array" ref="H43">_xlfn.XLOOKUP($A43&amp;BasicProjectData!$G$18,Prices[Item '#]&amp;Prices[Location],Prices[Mean Price])</f>
        <v>#N/A</v>
      </c>
      <c r="I43" s="113" cm="1">
        <f t="array" ref="I43">_xlfn.XLOOKUP($A43&amp;"All Districts",Prices[Item '#]&amp;Prices[Location],Prices[Mean Price])</f>
        <v>290.87</v>
      </c>
      <c r="J43">
        <f t="shared" ca="1" si="2"/>
        <v>0</v>
      </c>
      <c r="K43" t="str">
        <f ca="1">IF(AND(_xlfn.IFNA(Output[[#This Row],[Mean Unit Price State]],0)=0,Output[[#This Row],[Price Override?]]=0),"CHECK","")</f>
        <v/>
      </c>
      <c r="Y43" s="157">
        <v>815.04</v>
      </c>
      <c r="Z43" s="38" t="s">
        <v>1547</v>
      </c>
      <c r="AA43" s="38" t="e" cm="1">
        <f t="array" aca="1" ref="AA43" ca="1">_xlfn.XLOOKUP($Y43,INDIRECT("'"&amp;$Z43&amp;"'!C1:C1000"),INDIRECT("'"&amp;$Z43&amp;"'!"&amp;AA$8&amp;"1:"&amp;AA$8&amp;"1000"))</f>
        <v>#N/A</v>
      </c>
      <c r="AB43" s="38" t="e" cm="1">
        <f t="array" aca="1" ref="AB43" ca="1">_xlfn.XLOOKUP($Y43,INDIRECT("'"&amp;$Z43&amp;"'!C1:C1000"),INDIRECT("'"&amp;$Z43&amp;"'!"&amp;AB$8&amp;"1:"&amp;AB$8&amp;"1000"))</f>
        <v>#N/A</v>
      </c>
      <c r="AC43" s="505" t="e" cm="1">
        <f t="array" aca="1" ref="AC43" ca="1">_xlfn.XLOOKUP($Y43,INDIRECT("'"&amp;$Z43&amp;"'!C1:C1000"),INDIRECT("'"&amp;$Z43&amp;"'!"&amp;AC$8&amp;"1:"&amp;AC$8&amp;"1000"))</f>
        <v>#N/A</v>
      </c>
      <c r="AD43" s="38"/>
      <c r="AE43" s="38"/>
      <c r="AF43" s="38"/>
    </row>
    <row r="44" spans="1:32">
      <c r="A44" s="118">
        <v>476.11</v>
      </c>
      <c r="B44" s="686" t="s">
        <v>1701</v>
      </c>
      <c r="C44" s="1115" t="s">
        <v>1</v>
      </c>
      <c r="D44" s="112">
        <f ca="1">_xlfn.IFNA(_xlfn.XLOOKUP(A44,PullFromCalcs[Item],PullFromCalcs[Quantity]),"-")</f>
        <v>0</v>
      </c>
      <c r="E44" s="114">
        <f t="shared" si="0"/>
        <v>75</v>
      </c>
      <c r="F44" s="114">
        <f ca="1">_xlfn.IFNA(_xlfn.XLOOKUP(A44,PullFromCalcs[Item],PullFromCalcs[Price]),0)</f>
        <v>0</v>
      </c>
      <c r="G44" s="584" t="str">
        <f>_xlfn.XLOOKUP(A44,PullFromCalcs[Item],PullFromCalcs[Sheet],"MiscItems")</f>
        <v>CIVIL</v>
      </c>
      <c r="H44" s="113" t="e" cm="1">
        <f t="array" ref="H44">_xlfn.XLOOKUP($A44&amp;BasicProjectData!$G$18,Prices[Item '#]&amp;Prices[Location],Prices[Mean Price])</f>
        <v>#N/A</v>
      </c>
      <c r="I44" s="1134" t="e" cm="1">
        <f t="array" ref="I44">_xlfn.XLOOKUP($A44&amp;"All Districts",Prices[Item '#]&amp;Prices[Location],Prices[Mean Price])</f>
        <v>#N/A</v>
      </c>
      <c r="J44" s="1135">
        <v>75</v>
      </c>
      <c r="K44" t="str">
        <f>IF(AND(_xlfn.IFNA(Output[[#This Row],[Mean Unit Price State]],0)=0,Output[[#This Row],[Price Override?]]=0),"CHECK","")</f>
        <v/>
      </c>
      <c r="Y44" s="157">
        <v>832</v>
      </c>
      <c r="Z44" s="38" t="s">
        <v>1586</v>
      </c>
      <c r="AA44" s="38" cm="1">
        <f t="array" aca="1" ref="AA44" ca="1">_xlfn.XLOOKUP($Y44,INDIRECT("'"&amp;$Z44&amp;"'!C1:C1000"),INDIRECT("'"&amp;$Z44&amp;"'!"&amp;AA$8&amp;"1:"&amp;AA$8&amp;"1000"))</f>
        <v>0</v>
      </c>
      <c r="AB44" s="38" cm="1">
        <f t="array" aca="1" ref="AB44" ca="1">_xlfn.XLOOKUP($Y44,INDIRECT("'"&amp;$Z44&amp;"'!C1:C1000"),INDIRECT("'"&amp;$Z44&amp;"'!"&amp;AB$8&amp;"1:"&amp;AB$8&amp;"1000"))</f>
        <v>0</v>
      </c>
      <c r="AC44" s="505" cm="1">
        <f t="array" aca="1" ref="AC44" ca="1">_xlfn.XLOOKUP($Y44,INDIRECT("'"&amp;$Z44&amp;"'!C1:C1000"),INDIRECT("'"&amp;$Z44&amp;"'!"&amp;AC$8&amp;"1:"&amp;AC$8&amp;"1000"))</f>
        <v>0</v>
      </c>
      <c r="AD44" s="38"/>
      <c r="AE44" s="38"/>
      <c r="AF44" s="38"/>
    </row>
    <row r="45" spans="1:32">
      <c r="A45" s="31">
        <v>506</v>
      </c>
      <c r="B45" s="111" t="str">
        <f>_xlfn.XLOOKUP(A45,Prices[Item '#],Prices[Description])</f>
        <v>GRANITE CURB TYPE VB - STRAIGHT</v>
      </c>
      <c r="C45" s="111" t="str">
        <f>_xlfn.XLOOKUP($A45,Prices[Item '#],Prices[Units])</f>
        <v>FT</v>
      </c>
      <c r="D45" s="112">
        <f ca="1">_xlfn.IFNA(_xlfn.XLOOKUP(A45,PullFromCalcs[Item],PullFromCalcs[Quantity]),"-")</f>
        <v>0</v>
      </c>
      <c r="E45" s="114">
        <f t="shared" ca="1" si="0"/>
        <v>71</v>
      </c>
      <c r="F45" s="114">
        <f ca="1">_xlfn.IFNA(_xlfn.XLOOKUP(A45,PullFromCalcs[Item],PullFromCalcs[Price]),0)</f>
        <v>0</v>
      </c>
      <c r="G45" s="584" t="str">
        <f>_xlfn.XLOOKUP(A45,PullFromCalcs[Item],PullFromCalcs[Sheet],"MiscItems")</f>
        <v>EDGING</v>
      </c>
      <c r="H45" s="113" t="e" cm="1">
        <f t="array" ref="H45">_xlfn.XLOOKUP($A45&amp;BasicProjectData!$G$18,Prices[Item '#]&amp;Prices[Location],Prices[Mean Price])</f>
        <v>#N/A</v>
      </c>
      <c r="I45" s="113" cm="1">
        <f t="array" ref="I45">_xlfn.XLOOKUP($A45&amp;"All Districts",Prices[Item '#]&amp;Prices[Location],Prices[Mean Price])</f>
        <v>70.650000000000006</v>
      </c>
      <c r="J45">
        <f t="shared" ref="J45:J68" ca="1" si="3">_xlfn.XLOOKUP(A45,$Y$10:$Y$165,$AB$10:$AB$165)</f>
        <v>0</v>
      </c>
      <c r="K45" t="str">
        <f ca="1">IF(AND(_xlfn.IFNA(Output[[#This Row],[Mean Unit Price State]],0)=0,Output[[#This Row],[Price Override?]]=0),"CHECK","")</f>
        <v/>
      </c>
      <c r="Y45" s="157"/>
      <c r="Z45" s="38"/>
      <c r="AA45" s="38"/>
      <c r="AB45" s="38"/>
      <c r="AC45" s="505"/>
      <c r="AD45" s="38"/>
      <c r="AE45" s="38"/>
      <c r="AF45" s="38"/>
    </row>
    <row r="46" spans="1:32">
      <c r="A46" s="31">
        <v>506.1</v>
      </c>
      <c r="B46" s="111" t="str">
        <f>_xlfn.XLOOKUP(A46,Prices[Item '#],Prices[Description])</f>
        <v>GRANITE CURB TYPE VB - CURVED</v>
      </c>
      <c r="C46" s="111" t="str">
        <f>_xlfn.XLOOKUP($A46,Prices[Item '#],Prices[Units])</f>
        <v>FT</v>
      </c>
      <c r="D46" s="112">
        <f ca="1">_xlfn.IFNA(_xlfn.XLOOKUP(A46,PullFromCalcs[Item],PullFromCalcs[Quantity]),"-")</f>
        <v>0</v>
      </c>
      <c r="E46" s="114">
        <f t="shared" ca="1" si="0"/>
        <v>88</v>
      </c>
      <c r="F46" s="114">
        <f ca="1">_xlfn.IFNA(_xlfn.XLOOKUP(A46,PullFromCalcs[Item],PullFromCalcs[Price]),0)</f>
        <v>0</v>
      </c>
      <c r="G46" s="584" t="str">
        <f>_xlfn.XLOOKUP(A46,PullFromCalcs[Item],PullFromCalcs[Sheet],"MiscItems")</f>
        <v>EDGING</v>
      </c>
      <c r="H46" s="113" t="e" cm="1">
        <f t="array" ref="H46">_xlfn.XLOOKUP($A46&amp;BasicProjectData!$G$18,Prices[Item '#]&amp;Prices[Location],Prices[Mean Price])</f>
        <v>#N/A</v>
      </c>
      <c r="I46" s="113" cm="1">
        <f t="array" ref="I46">_xlfn.XLOOKUP($A46&amp;"All Districts",Prices[Item '#]&amp;Prices[Location],Prices[Mean Price])</f>
        <v>87.61</v>
      </c>
      <c r="J46">
        <f t="shared" ca="1" si="3"/>
        <v>0</v>
      </c>
      <c r="K46" t="str">
        <f ca="1">IF(AND(_xlfn.IFNA(Output[[#This Row],[Mean Unit Price State]],0)=0,Output[[#This Row],[Price Override?]]=0),"CHECK","")</f>
        <v/>
      </c>
      <c r="Y46" s="157">
        <v>847.1</v>
      </c>
      <c r="Z46" s="38" t="s">
        <v>1586</v>
      </c>
      <c r="AA46" s="38" cm="1">
        <f t="array" aca="1" ref="AA46" ca="1">_xlfn.XLOOKUP($Y46,INDIRECT("'"&amp;$Z46&amp;"'!C1:C1000"),INDIRECT("'"&amp;$Z46&amp;"'!"&amp;AA$8&amp;"1:"&amp;AA$8&amp;"1000"))</f>
        <v>0</v>
      </c>
      <c r="AB46" s="38" cm="1">
        <f t="array" aca="1" ref="AB46" ca="1">_xlfn.XLOOKUP($Y46,INDIRECT("'"&amp;$Z46&amp;"'!C1:C1000"),INDIRECT("'"&amp;$Z46&amp;"'!"&amp;AB$8&amp;"1:"&amp;AB$8&amp;"1000"))</f>
        <v>0</v>
      </c>
      <c r="AC46" s="505" cm="1">
        <f t="array" aca="1" ref="AC46" ca="1">_xlfn.XLOOKUP($Y46,INDIRECT("'"&amp;$Z46&amp;"'!C1:C1000"),INDIRECT("'"&amp;$Z46&amp;"'!"&amp;AC$8&amp;"1:"&amp;AC$8&amp;"1000"))</f>
        <v>0</v>
      </c>
      <c r="AD46" s="38"/>
      <c r="AE46" s="38"/>
      <c r="AF46" s="38"/>
    </row>
    <row r="47" spans="1:32" ht="25.5">
      <c r="A47" s="31">
        <v>509</v>
      </c>
      <c r="B47" s="111" t="str">
        <f>_xlfn.XLOOKUP(A47,Prices[Item '#],Prices[Description])</f>
        <v>GRANITE TRANSITION CURB FOR PEDESTRIAN CURB RAMPS - STRAIGHT</v>
      </c>
      <c r="C47" s="111" t="str">
        <f>_xlfn.XLOOKUP($A47,Prices[Item '#],Prices[Units])</f>
        <v>FT</v>
      </c>
      <c r="D47" s="112">
        <f ca="1">_xlfn.IFNA(_xlfn.XLOOKUP(A47,PullFromCalcs[Item],PullFromCalcs[Quantity]),"-")</f>
        <v>0</v>
      </c>
      <c r="E47" s="114">
        <f t="shared" ca="1" si="0"/>
        <v>87</v>
      </c>
      <c r="F47" s="114">
        <f ca="1">_xlfn.IFNA(_xlfn.XLOOKUP(A47,PullFromCalcs[Item],PullFromCalcs[Price]),0)</f>
        <v>0</v>
      </c>
      <c r="G47" s="584" t="str">
        <f>_xlfn.XLOOKUP(A47,PullFromCalcs[Item],PullFromCalcs[Sheet],"MiscItems")</f>
        <v>EDGING</v>
      </c>
      <c r="H47" s="113" t="e" cm="1">
        <f t="array" ref="H47">_xlfn.XLOOKUP($A47&amp;BasicProjectData!$G$18,Prices[Item '#]&amp;Prices[Location],Prices[Mean Price])</f>
        <v>#N/A</v>
      </c>
      <c r="I47" s="113" cm="1">
        <f t="array" ref="I47">_xlfn.XLOOKUP($A47&amp;"All Districts",Prices[Item '#]&amp;Prices[Location],Prices[Mean Price])</f>
        <v>86.51</v>
      </c>
      <c r="J47">
        <f t="shared" ca="1" si="3"/>
        <v>0</v>
      </c>
      <c r="K47" t="str">
        <f ca="1">IF(AND(_xlfn.IFNA(Output[[#This Row],[Mean Unit Price State]],0)=0,Output[[#This Row],[Price Override?]]=0),"CHECK","")</f>
        <v/>
      </c>
      <c r="Y47" s="157">
        <v>863.1</v>
      </c>
      <c r="Z47" s="38" t="s">
        <v>1586</v>
      </c>
      <c r="AA47" s="38" cm="1">
        <f t="array" aca="1" ref="AA47" ca="1">_xlfn.XLOOKUP($Y47,INDIRECT("'"&amp;$Z47&amp;"'!C1:C1000"),INDIRECT("'"&amp;$Z47&amp;"'!"&amp;AA$8&amp;"1:"&amp;AA$8&amp;"1000"))</f>
        <v>0</v>
      </c>
      <c r="AB47" s="38" cm="1">
        <f t="array" aca="1" ref="AB47" ca="1">_xlfn.XLOOKUP($Y47,INDIRECT("'"&amp;$Z47&amp;"'!C1:C1000"),INDIRECT("'"&amp;$Z47&amp;"'!"&amp;AB$8&amp;"1:"&amp;AB$8&amp;"1000"))</f>
        <v>0</v>
      </c>
      <c r="AC47" s="505" cm="1">
        <f t="array" aca="1" ref="AC47" ca="1">_xlfn.XLOOKUP($Y47,INDIRECT("'"&amp;$Z47&amp;"'!C1:C1000"),INDIRECT("'"&amp;$Z47&amp;"'!"&amp;AC$8&amp;"1:"&amp;AC$8&amp;"1000"))</f>
        <v>0</v>
      </c>
      <c r="AD47" s="38"/>
      <c r="AE47" s="38"/>
      <c r="AF47" s="38"/>
    </row>
    <row r="48" spans="1:32" ht="25.5">
      <c r="A48" s="31">
        <v>509.1</v>
      </c>
      <c r="B48" s="111" t="str">
        <f>_xlfn.XLOOKUP(A48,Prices[Item '#],Prices[Description])</f>
        <v>GRANITE TRANSITION CURB FOR PEDESTRIAN CURB RAMPS - CURVED</v>
      </c>
      <c r="C48" s="111" t="str">
        <f>_xlfn.XLOOKUP($A48,Prices[Item '#],Prices[Units])</f>
        <v>FT</v>
      </c>
      <c r="D48" s="112">
        <f ca="1">_xlfn.IFNA(_xlfn.XLOOKUP(A48,PullFromCalcs[Item],PullFromCalcs[Quantity]),"-")</f>
        <v>0</v>
      </c>
      <c r="E48" s="114">
        <f t="shared" ca="1" si="0"/>
        <v>101</v>
      </c>
      <c r="F48" s="114">
        <f ca="1">_xlfn.IFNA(_xlfn.XLOOKUP(A48,PullFromCalcs[Item],PullFromCalcs[Price]),0)</f>
        <v>0</v>
      </c>
      <c r="G48" s="584" t="str">
        <f>_xlfn.XLOOKUP(A48,PullFromCalcs[Item],PullFromCalcs[Sheet],"MiscItems")</f>
        <v>EDGING</v>
      </c>
      <c r="H48" s="113" t="e" cm="1">
        <f t="array" ref="H48">_xlfn.XLOOKUP($A48&amp;BasicProjectData!$G$18,Prices[Item '#]&amp;Prices[Location],Prices[Mean Price])</f>
        <v>#N/A</v>
      </c>
      <c r="I48" s="113" cm="1">
        <f t="array" ref="I48">_xlfn.XLOOKUP($A48&amp;"All Districts",Prices[Item '#]&amp;Prices[Location],Prices[Mean Price])</f>
        <v>100.54</v>
      </c>
      <c r="J48">
        <f t="shared" ca="1" si="3"/>
        <v>0</v>
      </c>
      <c r="K48" t="str">
        <f ca="1">IF(AND(_xlfn.IFNA(Output[[#This Row],[Mean Unit Price State]],0)=0,Output[[#This Row],[Price Override?]]=0),"CHECK","")</f>
        <v/>
      </c>
      <c r="Y48" s="157">
        <v>864.04</v>
      </c>
      <c r="Z48" s="38" t="s">
        <v>1586</v>
      </c>
      <c r="AA48" s="38" cm="1">
        <f t="array" aca="1" ref="AA48" ca="1">_xlfn.XLOOKUP($Y48,INDIRECT("'"&amp;$Z48&amp;"'!C1:C1000"),INDIRECT("'"&amp;$Z48&amp;"'!"&amp;AA$8&amp;"1:"&amp;AA$8&amp;"1000"))</f>
        <v>0</v>
      </c>
      <c r="AB48" s="38" cm="1">
        <f t="array" aca="1" ref="AB48" ca="1">_xlfn.XLOOKUP($Y48,INDIRECT("'"&amp;$Z48&amp;"'!C1:C1000"),INDIRECT("'"&amp;$Z48&amp;"'!"&amp;AB$8&amp;"1:"&amp;AB$8&amp;"1000"))</f>
        <v>0</v>
      </c>
      <c r="AC48" s="505" cm="1">
        <f t="array" aca="1" ref="AC48" ca="1">_xlfn.XLOOKUP($Y48,INDIRECT("'"&amp;$Z48&amp;"'!C1:C1000"),INDIRECT("'"&amp;$Z48&amp;"'!"&amp;AC$8&amp;"1:"&amp;AC$8&amp;"1000"))</f>
        <v>0</v>
      </c>
      <c r="AD48" s="38"/>
      <c r="AE48" s="38"/>
      <c r="AF48" s="38"/>
    </row>
    <row r="49" spans="1:32">
      <c r="A49" s="31">
        <v>510</v>
      </c>
      <c r="B49" s="111" t="str">
        <f>_xlfn.XLOOKUP(A49,Prices[Item '#],Prices[Description])</f>
        <v>GRANITE EDGING TYPE SA</v>
      </c>
      <c r="C49" s="111" t="str">
        <f>_xlfn.XLOOKUP($A49,Prices[Item '#],Prices[Units])</f>
        <v>FT</v>
      </c>
      <c r="D49" s="112">
        <f ca="1">_xlfn.IFNA(_xlfn.XLOOKUP(A49,PullFromCalcs[Item],PullFromCalcs[Quantity]),"-")</f>
        <v>0</v>
      </c>
      <c r="E49" s="114">
        <f t="shared" ca="1" si="0"/>
        <v>65</v>
      </c>
      <c r="F49" s="114">
        <f ca="1">_xlfn.IFNA(_xlfn.XLOOKUP(A49,PullFromCalcs[Item],PullFromCalcs[Price]),0)</f>
        <v>0</v>
      </c>
      <c r="G49" s="584" t="str">
        <f>_xlfn.XLOOKUP(A49,PullFromCalcs[Item],PullFromCalcs[Sheet],"MiscItems")</f>
        <v>EDGING</v>
      </c>
      <c r="H49" s="113" t="e" cm="1">
        <f t="array" ref="H49">_xlfn.XLOOKUP($A49&amp;BasicProjectData!$G$18,Prices[Item '#]&amp;Prices[Location],Prices[Mean Price])</f>
        <v>#N/A</v>
      </c>
      <c r="I49" s="113" cm="1">
        <f t="array" ref="I49">_xlfn.XLOOKUP($A49&amp;"All Districts",Prices[Item '#]&amp;Prices[Location],Prices[Mean Price])</f>
        <v>64.59</v>
      </c>
      <c r="J49">
        <f t="shared" ca="1" si="3"/>
        <v>0</v>
      </c>
      <c r="K49" t="str">
        <f ca="1">IF(AND(_xlfn.IFNA(Output[[#This Row],[Mean Unit Price State]],0)=0,Output[[#This Row],[Price Override?]]=0),"CHECK","")</f>
        <v/>
      </c>
      <c r="Y49" s="157">
        <v>866.10599999999999</v>
      </c>
      <c r="Z49" s="38" t="s">
        <v>1586</v>
      </c>
      <c r="AA49" s="38" cm="1">
        <f t="array" aca="1" ref="AA49" ca="1">_xlfn.XLOOKUP($Y49,INDIRECT("'"&amp;$Z49&amp;"'!C1:C1000"),INDIRECT("'"&amp;$Z49&amp;"'!"&amp;AA$8&amp;"1:"&amp;AA$8&amp;"1000"))</f>
        <v>0</v>
      </c>
      <c r="AB49" s="38" cm="1">
        <f t="array" aca="1" ref="AB49" ca="1">_xlfn.XLOOKUP($Y49,INDIRECT("'"&amp;$Z49&amp;"'!C1:C1000"),INDIRECT("'"&amp;$Z49&amp;"'!"&amp;AB$8&amp;"1:"&amp;AB$8&amp;"1000"))</f>
        <v>0</v>
      </c>
      <c r="AC49" s="505" cm="1">
        <f t="array" aca="1" ref="AC49" ca="1">_xlfn.XLOOKUP($Y49,INDIRECT("'"&amp;$Z49&amp;"'!C1:C1000"),INDIRECT("'"&amp;$Z49&amp;"'!"&amp;AC$8&amp;"1:"&amp;AC$8&amp;"1000"))</f>
        <v>0</v>
      </c>
      <c r="AD49" s="38"/>
      <c r="AE49" s="38"/>
      <c r="AF49" s="38"/>
    </row>
    <row r="50" spans="1:32">
      <c r="A50" s="31">
        <v>514</v>
      </c>
      <c r="B50" s="111" t="str">
        <f>_xlfn.XLOOKUP(A50,Prices[Item '#],Prices[Description])</f>
        <v>GRANITE CURB INLET - STRAIGHT</v>
      </c>
      <c r="C50" s="111" t="str">
        <f>_xlfn.XLOOKUP($A50,Prices[Item '#],Prices[Units])</f>
        <v>EA</v>
      </c>
      <c r="D50" s="112">
        <f ca="1">_xlfn.IFNA(_xlfn.XLOOKUP(A50,PullFromCalcs[Item],PullFromCalcs[Quantity]),"-")</f>
        <v>0</v>
      </c>
      <c r="E50" s="114">
        <f t="shared" ca="1" si="0"/>
        <v>738</v>
      </c>
      <c r="F50" s="114">
        <f ca="1">_xlfn.IFNA(_xlfn.XLOOKUP(A50,PullFromCalcs[Item],PullFromCalcs[Price]),0)</f>
        <v>0</v>
      </c>
      <c r="G50" s="584" t="str">
        <f>_xlfn.XLOOKUP(A50,PullFromCalcs[Item],PullFromCalcs[Sheet],"MiscItems")</f>
        <v>DRAINAGE</v>
      </c>
      <c r="H50" s="113" t="e" cm="1">
        <f t="array" ref="H50">_xlfn.XLOOKUP($A50&amp;BasicProjectData!$G$18,Prices[Item '#]&amp;Prices[Location],Prices[Mean Price])</f>
        <v>#N/A</v>
      </c>
      <c r="I50" s="113" cm="1">
        <f t="array" ref="I50">_xlfn.XLOOKUP($A50&amp;"All Districts",Prices[Item '#]&amp;Prices[Location],Prices[Mean Price])</f>
        <v>737.52</v>
      </c>
      <c r="J50">
        <f t="shared" ca="1" si="3"/>
        <v>0</v>
      </c>
      <c r="K50" t="str">
        <f ca="1">IF(AND(_xlfn.IFNA(Output[[#This Row],[Mean Unit Price State]],0)=0,Output[[#This Row],[Price Override?]]=0),"CHECK","")</f>
        <v/>
      </c>
      <c r="Y50" s="157">
        <v>866.11199999999997</v>
      </c>
      <c r="Z50" s="38" t="s">
        <v>1586</v>
      </c>
      <c r="AA50" s="38" cm="1">
        <f t="array" aca="1" ref="AA50" ca="1">_xlfn.XLOOKUP($Y50,INDIRECT("'"&amp;$Z50&amp;"'!C1:C1000"),INDIRECT("'"&amp;$Z50&amp;"'!"&amp;AA$8&amp;"1:"&amp;AA$8&amp;"1000"))</f>
        <v>0</v>
      </c>
      <c r="AB50" s="38" cm="1">
        <f t="array" aca="1" ref="AB50" ca="1">_xlfn.XLOOKUP($Y50,INDIRECT("'"&amp;$Z50&amp;"'!C1:C1000"),INDIRECT("'"&amp;$Z50&amp;"'!"&amp;AB$8&amp;"1:"&amp;AB$8&amp;"1000"))</f>
        <v>0</v>
      </c>
      <c r="AC50" s="505" cm="1">
        <f t="array" aca="1" ref="AC50" ca="1">_xlfn.XLOOKUP($Y50,INDIRECT("'"&amp;$Z50&amp;"'!C1:C1000"),INDIRECT("'"&amp;$Z50&amp;"'!"&amp;AC$8&amp;"1:"&amp;AC$8&amp;"1000"))</f>
        <v>0</v>
      </c>
      <c r="AD50" s="38"/>
      <c r="AE50" s="38"/>
      <c r="AF50" s="38"/>
    </row>
    <row r="51" spans="1:32">
      <c r="A51" s="116">
        <v>520</v>
      </c>
      <c r="B51" s="111" t="str">
        <f>_xlfn.XLOOKUP(A51,Prices[Item '#],Prices[Description])</f>
        <v>CONCRETE CURB TYPE VA</v>
      </c>
      <c r="C51" s="111" t="str">
        <f>_xlfn.XLOOKUP($A51,Prices[Item '#],Prices[Units])</f>
        <v>FT</v>
      </c>
      <c r="D51" s="112">
        <f ca="1">_xlfn.IFNA(_xlfn.XLOOKUP(A51,PullFromCalcs[Item],PullFromCalcs[Quantity]),"-")</f>
        <v>0</v>
      </c>
      <c r="E51" s="114">
        <f t="shared" ca="1" si="0"/>
        <v>67</v>
      </c>
      <c r="F51" s="114">
        <f ca="1">_xlfn.IFNA(_xlfn.XLOOKUP(A51,PullFromCalcs[Item],PullFromCalcs[Price]),0)</f>
        <v>0</v>
      </c>
      <c r="G51" s="584" t="str">
        <f>_xlfn.XLOOKUP(A51,PullFromCalcs[Item],PullFromCalcs[Sheet],"MiscItems")</f>
        <v>EDGING</v>
      </c>
      <c r="H51" s="113" t="e" cm="1">
        <f t="array" ref="H51">_xlfn.XLOOKUP($A51&amp;BasicProjectData!$G$18,Prices[Item '#]&amp;Prices[Location],Prices[Mean Price])</f>
        <v>#N/A</v>
      </c>
      <c r="I51" s="113" cm="1">
        <f t="array" ref="I51">_xlfn.XLOOKUP($A51&amp;"All Districts",Prices[Item '#]&amp;Prices[Location],Prices[Mean Price])</f>
        <v>66.89</v>
      </c>
      <c r="J51">
        <f t="shared" ca="1" si="3"/>
        <v>0</v>
      </c>
      <c r="K51" t="str">
        <f ca="1">IF(AND(_xlfn.IFNA(Output[[#This Row],[Mean Unit Price State]],0)=0,Output[[#This Row],[Price Override?]]=0),"CHECK","")</f>
        <v/>
      </c>
      <c r="Y51" s="157">
        <v>867.10599999999999</v>
      </c>
      <c r="Z51" s="38" t="s">
        <v>1586</v>
      </c>
      <c r="AA51" s="38" cm="1">
        <f t="array" aca="1" ref="AA51" ca="1">_xlfn.XLOOKUP($Y51,INDIRECT("'"&amp;$Z51&amp;"'!C1:C1000"),INDIRECT("'"&amp;$Z51&amp;"'!"&amp;AA$8&amp;"1:"&amp;AA$8&amp;"1000"))</f>
        <v>0</v>
      </c>
      <c r="AB51" s="38" cm="1">
        <f t="array" aca="1" ref="AB51" ca="1">_xlfn.XLOOKUP($Y51,INDIRECT("'"&amp;$Z51&amp;"'!C1:C1000"),INDIRECT("'"&amp;$Z51&amp;"'!"&amp;AB$8&amp;"1:"&amp;AB$8&amp;"1000"))</f>
        <v>0</v>
      </c>
      <c r="AC51" s="505" cm="1">
        <f t="array" aca="1" ref="AC51" ca="1">_xlfn.XLOOKUP($Y51,INDIRECT("'"&amp;$Z51&amp;"'!C1:C1000"),INDIRECT("'"&amp;$Z51&amp;"'!"&amp;AC$8&amp;"1:"&amp;AC$8&amp;"1000"))</f>
        <v>0</v>
      </c>
      <c r="AD51" s="38"/>
      <c r="AE51" s="38"/>
      <c r="AF51" s="38"/>
    </row>
    <row r="52" spans="1:32">
      <c r="A52" s="116">
        <v>570</v>
      </c>
      <c r="B52" s="111" t="str">
        <f>_xlfn.XLOOKUP(A52,Prices[Item '#],Prices[Description])</f>
        <v>HOT MIX ASPHALT CURB - OPTION</v>
      </c>
      <c r="C52" s="111" t="str">
        <f>_xlfn.XLOOKUP($A52,Prices[Item '#],Prices[Units])</f>
        <v>FT</v>
      </c>
      <c r="D52" s="112">
        <f ca="1">_xlfn.IFNA(_xlfn.XLOOKUP(A52,PullFromCalcs[Item],PullFromCalcs[Quantity]),"-")</f>
        <v>0</v>
      </c>
      <c r="E52" s="114">
        <f t="shared" ca="1" si="0"/>
        <v>27</v>
      </c>
      <c r="F52" s="114">
        <f ca="1">_xlfn.IFNA(_xlfn.XLOOKUP(A52,PullFromCalcs[Item],PullFromCalcs[Price]),0)</f>
        <v>0</v>
      </c>
      <c r="G52" s="584" t="str">
        <f>_xlfn.XLOOKUP(A52,PullFromCalcs[Item],PullFromCalcs[Sheet],"MiscItems")</f>
        <v>EDGING</v>
      </c>
      <c r="H52" s="113" t="e" cm="1">
        <f t="array" ref="H52">_xlfn.XLOOKUP($A52&amp;BasicProjectData!$G$18,Prices[Item '#]&amp;Prices[Location],Prices[Mean Price])</f>
        <v>#N/A</v>
      </c>
      <c r="I52" s="113" cm="1">
        <f t="array" ref="I52">_xlfn.XLOOKUP($A52&amp;"All Districts",Prices[Item '#]&amp;Prices[Location],Prices[Mean Price])</f>
        <v>26.75</v>
      </c>
      <c r="J52">
        <f t="shared" ca="1" si="3"/>
        <v>0</v>
      </c>
      <c r="K52" t="str">
        <f ca="1">IF(AND(_xlfn.IFNA(Output[[#This Row],[Mean Unit Price State]],0)=0,Output[[#This Row],[Price Override?]]=0),"CHECK","")</f>
        <v/>
      </c>
      <c r="Y52" s="157">
        <v>142</v>
      </c>
      <c r="Z52" s="38" t="s">
        <v>1549</v>
      </c>
      <c r="AA52" s="38" cm="1">
        <f t="array" aca="1" ref="AA52" ca="1">_xlfn.XLOOKUP($Y52,INDIRECT("'"&amp;$Z52&amp;"'!C1:C1000"),INDIRECT("'"&amp;$Z52&amp;"'!"&amp;AA$8&amp;"1:"&amp;AA$8&amp;"1000"))</f>
        <v>0</v>
      </c>
      <c r="AB52" s="38" cm="1">
        <f t="array" aca="1" ref="AB52" ca="1">_xlfn.XLOOKUP($Y52,INDIRECT("'"&amp;$Z52&amp;"'!C1:C1000"),INDIRECT("'"&amp;$Z52&amp;"'!"&amp;AB$8&amp;"1:"&amp;AB$8&amp;"1000"))</f>
        <v>0</v>
      </c>
      <c r="AC52" s="505" cm="1">
        <f t="array" aca="1" ref="AC52" ca="1">_xlfn.XLOOKUP($Y52,INDIRECT("'"&amp;$Z52&amp;"'!C1:C1000"),INDIRECT("'"&amp;$Z52&amp;"'!"&amp;AC$8&amp;"1:"&amp;AC$8&amp;"1000"))</f>
        <v>0</v>
      </c>
      <c r="AD52" s="38"/>
      <c r="AE52" s="38"/>
      <c r="AF52" s="38"/>
    </row>
    <row r="53" spans="1:32">
      <c r="A53" s="120">
        <v>580</v>
      </c>
      <c r="B53" s="111" t="str">
        <f>_xlfn.XLOOKUP(A53,Prices[Item '#],Prices[Description])</f>
        <v>CURB REMOVED AND RESET</v>
      </c>
      <c r="C53" s="111" t="str">
        <f>_xlfn.XLOOKUP($A53,Prices[Item '#],Prices[Units])</f>
        <v>FT</v>
      </c>
      <c r="D53" s="112">
        <f ca="1">_xlfn.IFNA(_xlfn.XLOOKUP(A53,PullFromCalcs[Item],PullFromCalcs[Quantity]),"-")</f>
        <v>0</v>
      </c>
      <c r="E53" s="114">
        <f t="shared" ca="1" si="0"/>
        <v>48</v>
      </c>
      <c r="F53" s="114">
        <f ca="1">_xlfn.IFNA(_xlfn.XLOOKUP(A53,PullFromCalcs[Item],PullFromCalcs[Price]),0)</f>
        <v>0</v>
      </c>
      <c r="G53" s="584" t="str">
        <f>_xlfn.XLOOKUP(A53,PullFromCalcs[Item],PullFromCalcs[Sheet],"MiscItems")</f>
        <v>EDGING</v>
      </c>
      <c r="H53" s="113" t="e" cm="1">
        <f t="array" ref="H53">_xlfn.XLOOKUP($A53&amp;BasicProjectData!$G$18,Prices[Item '#]&amp;Prices[Location],Prices[Mean Price])</f>
        <v>#N/A</v>
      </c>
      <c r="I53" s="113" cm="1">
        <f t="array" ref="I53">_xlfn.XLOOKUP($A53&amp;"All Districts",Prices[Item '#]&amp;Prices[Location],Prices[Mean Price])</f>
        <v>47.53</v>
      </c>
      <c r="J53">
        <f t="shared" ca="1" si="3"/>
        <v>0</v>
      </c>
      <c r="K53" t="str">
        <f ca="1">IF(AND(_xlfn.IFNA(Output[[#This Row],[Mean Unit Price State]],0)=0,Output[[#This Row],[Price Override?]]=0),"CHECK","")</f>
        <v/>
      </c>
      <c r="Y53" s="157">
        <v>476.11</v>
      </c>
      <c r="Z53" s="38" t="s">
        <v>3686</v>
      </c>
      <c r="AA53" s="38" cm="1">
        <f t="array" aca="1" ref="AA53" ca="1">_xlfn.XLOOKUP($Y53,INDIRECT("'"&amp;$Z53&amp;"'!C1:C1000"),INDIRECT("'"&amp;$Z53&amp;"'!"&amp;AA$8&amp;"1:"&amp;AA$8&amp;"1000"))</f>
        <v>0</v>
      </c>
      <c r="AB53" s="38" cm="1">
        <f t="array" aca="1" ref="AB53" ca="1">_xlfn.XLOOKUP($Y53,INDIRECT("'"&amp;$Z53&amp;"'!C1:C1000"),INDIRECT("'"&amp;$Z53&amp;"'!"&amp;AB$8&amp;"1:"&amp;AB$8&amp;"1000"))</f>
        <v>0</v>
      </c>
      <c r="AC53" s="505" cm="1">
        <f t="array" aca="1" ref="AC53" ca="1">_xlfn.XLOOKUP($Y53,INDIRECT("'"&amp;$Z53&amp;"'!C1:C1000"),INDIRECT("'"&amp;$Z53&amp;"'!"&amp;AC$8&amp;"1:"&amp;AC$8&amp;"1000"))</f>
        <v>0</v>
      </c>
      <c r="AD53" s="38"/>
      <c r="AE53" s="38"/>
      <c r="AF53" s="38"/>
    </row>
    <row r="54" spans="1:32">
      <c r="A54" s="116">
        <v>590</v>
      </c>
      <c r="B54" s="111" t="str">
        <f>_xlfn.XLOOKUP(A54,Prices[Item '#],Prices[Description])</f>
        <v>CURB REMOVED AND STACKED</v>
      </c>
      <c r="C54" s="111" t="str">
        <f>_xlfn.XLOOKUP($A54,Prices[Item '#],Prices[Units])</f>
        <v>FT</v>
      </c>
      <c r="D54" s="112">
        <f>_xlfn.IFNA(_xlfn.XLOOKUP(A54,PullFromCalcs[Item],PullFromCalcs[Quantity]),"-")</f>
        <v>0</v>
      </c>
      <c r="E54" s="114">
        <f t="shared" si="0"/>
        <v>13</v>
      </c>
      <c r="F54" s="114">
        <f>_xlfn.IFNA(_xlfn.XLOOKUP(A54,PullFromCalcs[Item],PullFromCalcs[Price]),0)</f>
        <v>0</v>
      </c>
      <c r="G54" s="584" t="str">
        <f>_xlfn.XLOOKUP(A54,PullFromCalcs[Item],PullFromCalcs[Sheet],"MiscItems")</f>
        <v>EDGING</v>
      </c>
      <c r="H54" s="113" t="e" cm="1">
        <f t="array" ref="H54">_xlfn.XLOOKUP($A54&amp;BasicProjectData!$G$18,Prices[Item '#]&amp;Prices[Location],Prices[Mean Price])</f>
        <v>#N/A</v>
      </c>
      <c r="I54" s="113" cm="1">
        <f t="array" ref="I54">_xlfn.XLOOKUP($A54&amp;"All Districts",Prices[Item '#]&amp;Prices[Location],Prices[Mean Price])</f>
        <v>12.79</v>
      </c>
      <c r="J54">
        <f t="shared" si="3"/>
        <v>0</v>
      </c>
      <c r="K54" t="str">
        <f>IF(AND(_xlfn.IFNA(Output[[#This Row],[Mean Unit Price State]],0)=0,Output[[#This Row],[Price Override?]]=0),"CHECK","")</f>
        <v/>
      </c>
      <c r="Y54" s="157">
        <v>826</v>
      </c>
      <c r="Z54" s="38" t="s">
        <v>1547</v>
      </c>
      <c r="AA54" s="38" cm="1">
        <f t="array" aca="1" ref="AA54" ca="1">_xlfn.XLOOKUP($Y54,INDIRECT("'"&amp;$Z54&amp;"'!C1:C1000"),INDIRECT("'"&amp;$Z54&amp;"'!"&amp;AA$8&amp;"1:"&amp;AA$8&amp;"1000"))</f>
        <v>0</v>
      </c>
      <c r="AB54" s="38" cm="1">
        <f t="array" aca="1" ref="AB54" ca="1">_xlfn.XLOOKUP($Y54,INDIRECT("'"&amp;$Z54&amp;"'!C1:C1000"),INDIRECT("'"&amp;$Z54&amp;"'!"&amp;AB$8&amp;"1:"&amp;AB$8&amp;"1000"))</f>
        <v>0</v>
      </c>
      <c r="AC54" s="505" cm="1">
        <f t="array" aca="1" ref="AC54" ca="1">_xlfn.XLOOKUP($Y54,INDIRECT("'"&amp;$Z54&amp;"'!C1:C1000"),INDIRECT("'"&amp;$Z54&amp;"'!"&amp;AC$8&amp;"1:"&amp;AC$8&amp;"1000"))</f>
        <v>0</v>
      </c>
      <c r="AD54" s="38"/>
      <c r="AE54" s="38"/>
      <c r="AF54" s="38"/>
    </row>
    <row r="55" spans="1:32">
      <c r="A55" s="116">
        <v>620.12</v>
      </c>
      <c r="B55" s="111" t="str">
        <f>_xlfn.XLOOKUP(A55,Prices[Item '#],Prices[Description])</f>
        <v>GUARDRAIL, TL-2 (SINGLE FACED)</v>
      </c>
      <c r="C55" s="111" t="str">
        <f>_xlfn.XLOOKUP($A55,Prices[Item '#],Prices[Units])</f>
        <v>FT</v>
      </c>
      <c r="D55" s="112">
        <f ca="1">_xlfn.IFNA(_xlfn.XLOOKUP(A55,PullFromCalcs[Item],PullFromCalcs[Quantity]),"-")</f>
        <v>0</v>
      </c>
      <c r="E55" s="114">
        <f t="shared" ca="1" si="0"/>
        <v>38</v>
      </c>
      <c r="F55" s="114">
        <f ca="1">_xlfn.IFNA(_xlfn.XLOOKUP(A55,PullFromCalcs[Item],PullFromCalcs[Price]),0)</f>
        <v>0</v>
      </c>
      <c r="G55" s="584" t="str">
        <f>_xlfn.XLOOKUP(A55,PullFromCalcs[Item],PullFromCalcs[Sheet],"MiscItems")</f>
        <v>EDGING</v>
      </c>
      <c r="H55" s="113" t="e" cm="1">
        <f t="array" ref="H55">_xlfn.XLOOKUP($A55&amp;BasicProjectData!$G$18,Prices[Item '#]&amp;Prices[Location],Prices[Mean Price])</f>
        <v>#N/A</v>
      </c>
      <c r="I55" s="113" cm="1">
        <f t="array" ref="I55">_xlfn.XLOOKUP($A55&amp;"All Districts",Prices[Item '#]&amp;Prices[Location],Prices[Mean Price])</f>
        <v>37.72</v>
      </c>
      <c r="J55">
        <f t="shared" ca="1" si="3"/>
        <v>0</v>
      </c>
      <c r="K55" t="str">
        <f ca="1">IF(AND(_xlfn.IFNA(Output[[#This Row],[Mean Unit Price State]],0)=0,Output[[#This Row],[Price Override?]]=0),"CHECK","")</f>
        <v/>
      </c>
      <c r="Y55" s="157"/>
      <c r="Z55" s="38"/>
      <c r="AA55" s="38"/>
      <c r="AB55" s="38"/>
      <c r="AC55" s="505"/>
      <c r="AD55" s="38"/>
      <c r="AE55" s="38"/>
      <c r="AF55" s="38"/>
    </row>
    <row r="56" spans="1:32">
      <c r="A56" s="116">
        <v>620.32000000000005</v>
      </c>
      <c r="B56" s="111" t="str">
        <f>_xlfn.XLOOKUP(A56,Prices[Item '#],Prices[Description])</f>
        <v>GUARDRAIL - CURVED, TL-2 (SINGLE FACED)</v>
      </c>
      <c r="C56" s="111" t="str">
        <f>_xlfn.XLOOKUP($A56,Prices[Item '#],Prices[Units])</f>
        <v>FT</v>
      </c>
      <c r="D56" s="112">
        <f ca="1">_xlfn.IFNA(_xlfn.XLOOKUP(A56,PullFromCalcs[Item],PullFromCalcs[Quantity]),"-")</f>
        <v>0</v>
      </c>
      <c r="E56" s="114">
        <f t="shared" ca="1" si="0"/>
        <v>48</v>
      </c>
      <c r="F56" s="114">
        <f ca="1">_xlfn.IFNA(_xlfn.XLOOKUP(A56,PullFromCalcs[Item],PullFromCalcs[Price]),0)</f>
        <v>0</v>
      </c>
      <c r="G56" s="584" t="str">
        <f>_xlfn.XLOOKUP(A56,PullFromCalcs[Item],PullFromCalcs[Sheet],"MiscItems")</f>
        <v>EDGING</v>
      </c>
      <c r="H56" s="113" t="e" cm="1">
        <f t="array" ref="H56">_xlfn.XLOOKUP($A56&amp;BasicProjectData!$G$18,Prices[Item '#]&amp;Prices[Location],Prices[Mean Price])</f>
        <v>#N/A</v>
      </c>
      <c r="I56" s="113" cm="1">
        <f t="array" ref="I56">_xlfn.XLOOKUP($A56&amp;"All Districts",Prices[Item '#]&amp;Prices[Location],Prices[Mean Price])</f>
        <v>47.27</v>
      </c>
      <c r="J56">
        <f t="shared" ca="1" si="3"/>
        <v>0</v>
      </c>
      <c r="K56" t="str">
        <f ca="1">IF(AND(_xlfn.IFNA(Output[[#This Row],[Mean Unit Price State]],0)=0,Output[[#This Row],[Price Override?]]=0),"CHECK","")</f>
        <v/>
      </c>
      <c r="Y56" s="157"/>
      <c r="Z56" s="38"/>
      <c r="AA56" s="38"/>
      <c r="AB56" s="38"/>
      <c r="AC56" s="505"/>
      <c r="AD56" s="38"/>
      <c r="AE56" s="38"/>
      <c r="AF56" s="38"/>
    </row>
    <row r="57" spans="1:32">
      <c r="A57" s="35">
        <v>629.1</v>
      </c>
      <c r="B57" s="111" t="str">
        <f>_xlfn.XLOOKUP(A57,Prices[Item '#],Prices[Description])</f>
        <v>PRECAST CONCRETE BARRIER - SINGLE FACED</v>
      </c>
      <c r="C57" s="111" t="str">
        <f>_xlfn.XLOOKUP($A57,Prices[Item '#],Prices[Units])</f>
        <v>FT</v>
      </c>
      <c r="D57" s="112">
        <f ca="1">_xlfn.IFNA(_xlfn.XLOOKUP(A57,PullFromCalcs[Item],PullFromCalcs[Quantity]),"-")</f>
        <v>0</v>
      </c>
      <c r="E57" s="114">
        <f t="shared" ca="1" si="0"/>
        <v>281</v>
      </c>
      <c r="F57" s="114">
        <f ca="1">_xlfn.IFNA(_xlfn.XLOOKUP(A57,PullFromCalcs[Item],PullFromCalcs[Price]),0)</f>
        <v>0</v>
      </c>
      <c r="G57" s="584" t="str">
        <f>_xlfn.XLOOKUP(A57,PullFromCalcs[Item],PullFromCalcs[Sheet],"MiscItems")</f>
        <v>EDGING</v>
      </c>
      <c r="H57" s="113" t="e" cm="1">
        <f t="array" ref="H57">_xlfn.XLOOKUP($A57&amp;BasicProjectData!$G$18,Prices[Item '#]&amp;Prices[Location],Prices[Mean Price])</f>
        <v>#N/A</v>
      </c>
      <c r="I57" s="113" cm="1">
        <f t="array" ref="I57">_xlfn.XLOOKUP($A57&amp;"All Districts",Prices[Item '#]&amp;Prices[Location],Prices[Mean Price])</f>
        <v>280.77999999999997</v>
      </c>
      <c r="J57">
        <f t="shared" ca="1" si="3"/>
        <v>0</v>
      </c>
      <c r="K57" t="str">
        <f ca="1">IF(AND(_xlfn.IFNA(Output[[#This Row],[Mean Unit Price State]],0)=0,Output[[#This Row],[Price Override?]]=0),"CHECK","")</f>
        <v/>
      </c>
      <c r="Y57" s="157">
        <v>506</v>
      </c>
      <c r="Z57" s="38" t="s">
        <v>1548</v>
      </c>
      <c r="AA57" s="38" cm="1">
        <f t="array" aca="1" ref="AA57" ca="1">_xlfn.XLOOKUP($Y57,INDIRECT("'"&amp;$Z57&amp;"'!C1:C1000"),INDIRECT("'"&amp;$Z57&amp;"'!"&amp;AA$8&amp;"1:"&amp;AA$8&amp;"1000"))</f>
        <v>0</v>
      </c>
      <c r="AB57" s="38" cm="1">
        <f t="array" aca="1" ref="AB57" ca="1">_xlfn.XLOOKUP($Y57,INDIRECT("'"&amp;$Z57&amp;"'!C1:C1000"),INDIRECT("'"&amp;$Z57&amp;"'!"&amp;AB$8&amp;"1:"&amp;AB$8&amp;"1000"))</f>
        <v>0</v>
      </c>
      <c r="AC57" s="505" cm="1">
        <f t="array" aca="1" ref="AC57" ca="1">_xlfn.XLOOKUP($Y57,INDIRECT("'"&amp;$Z57&amp;"'!C1:C1000"),INDIRECT("'"&amp;$Z57&amp;"'!"&amp;AC$8&amp;"1:"&amp;AC$8&amp;"1000"))</f>
        <v>0</v>
      </c>
      <c r="AD57" s="38"/>
      <c r="AE57" s="38"/>
      <c r="AF57" s="38"/>
    </row>
    <row r="58" spans="1:32">
      <c r="A58" s="35">
        <v>630</v>
      </c>
      <c r="B58" s="111" t="str">
        <f>_xlfn.XLOOKUP(A58,Prices[Item '#],Prices[Description])</f>
        <v>HIGHWAY GUARD REMOVED AND RESET</v>
      </c>
      <c r="C58" s="111" t="str">
        <f>_xlfn.XLOOKUP($A58,Prices[Item '#],Prices[Units])</f>
        <v>FT</v>
      </c>
      <c r="D58" s="112">
        <f ca="1">_xlfn.IFNA(_xlfn.XLOOKUP(A58,PullFromCalcs[Item],PullFromCalcs[Quantity]),"-")</f>
        <v>0</v>
      </c>
      <c r="E58" s="114">
        <f t="shared" ca="1" si="0"/>
        <v>36</v>
      </c>
      <c r="F58" s="114">
        <f ca="1">_xlfn.IFNA(_xlfn.XLOOKUP(A58,PullFromCalcs[Item],PullFromCalcs[Price]),0)</f>
        <v>0</v>
      </c>
      <c r="G58" s="584" t="str">
        <f>_xlfn.XLOOKUP(A58,PullFromCalcs[Item],PullFromCalcs[Sheet],"MiscItems")</f>
        <v>EDGING</v>
      </c>
      <c r="H58" s="113" t="e" cm="1">
        <f t="array" ref="H58">_xlfn.XLOOKUP($A58&amp;BasicProjectData!$G$18,Prices[Item '#]&amp;Prices[Location],Prices[Mean Price])</f>
        <v>#N/A</v>
      </c>
      <c r="I58" s="113" cm="1">
        <f t="array" ref="I58">_xlfn.XLOOKUP($A58&amp;"All Districts",Prices[Item '#]&amp;Prices[Location],Prices[Mean Price])</f>
        <v>35.869999999999997</v>
      </c>
      <c r="J58">
        <f t="shared" ca="1" si="3"/>
        <v>0</v>
      </c>
      <c r="K58" t="str">
        <f ca="1">IF(AND(_xlfn.IFNA(Output[[#This Row],[Mean Unit Price State]],0)=0,Output[[#This Row],[Price Override?]]=0),"CHECK","")</f>
        <v/>
      </c>
      <c r="Y58" s="157">
        <v>506.1</v>
      </c>
      <c r="Z58" s="38" t="s">
        <v>1548</v>
      </c>
      <c r="AA58" s="38" cm="1">
        <f t="array" aca="1" ref="AA58" ca="1">_xlfn.XLOOKUP($Y58,INDIRECT("'"&amp;$Z58&amp;"'!C1:C1000"),INDIRECT("'"&amp;$Z58&amp;"'!"&amp;AA$8&amp;"1:"&amp;AA$8&amp;"1000"))</f>
        <v>0</v>
      </c>
      <c r="AB58" s="38" cm="1">
        <f t="array" aca="1" ref="AB58" ca="1">_xlfn.XLOOKUP($Y58,INDIRECT("'"&amp;$Z58&amp;"'!C1:C1000"),INDIRECT("'"&amp;$Z58&amp;"'!"&amp;AB$8&amp;"1:"&amp;AB$8&amp;"1000"))</f>
        <v>0</v>
      </c>
      <c r="AC58" s="505" cm="1">
        <f t="array" aca="1" ref="AC58" ca="1">_xlfn.XLOOKUP($Y58,INDIRECT("'"&amp;$Z58&amp;"'!C1:C1000"),INDIRECT("'"&amp;$Z58&amp;"'!"&amp;AC$8&amp;"1:"&amp;AC$8&amp;"1000"))</f>
        <v>0</v>
      </c>
      <c r="AD58" s="38"/>
      <c r="AE58" s="38"/>
      <c r="AF58" s="38"/>
    </row>
    <row r="59" spans="1:32">
      <c r="A59" s="35">
        <v>630.1</v>
      </c>
      <c r="B59" s="111" t="str">
        <f>_xlfn.XLOOKUP(A59,Prices[Item '#],Prices[Description])</f>
        <v>HIGHWAY GUARD REMOVED AND STACKED</v>
      </c>
      <c r="C59" s="111" t="str">
        <f>_xlfn.XLOOKUP($A59,Prices[Item '#],Prices[Units])</f>
        <v>FT</v>
      </c>
      <c r="D59" s="112">
        <f ca="1">_xlfn.IFNA(_xlfn.XLOOKUP(A59,PullFromCalcs[Item],PullFromCalcs[Quantity]),"-")</f>
        <v>0</v>
      </c>
      <c r="E59" s="114">
        <f t="shared" ca="1" si="0"/>
        <v>3</v>
      </c>
      <c r="F59" s="114">
        <f ca="1">_xlfn.IFNA(_xlfn.XLOOKUP(A59,PullFromCalcs[Item],PullFromCalcs[Price]),0)</f>
        <v>0</v>
      </c>
      <c r="G59" s="584" t="str">
        <f>_xlfn.XLOOKUP(A59,PullFromCalcs[Item],PullFromCalcs[Sheet],"MiscItems")</f>
        <v>EDGING</v>
      </c>
      <c r="H59" s="113" t="e" cm="1">
        <f t="array" ref="H59">_xlfn.XLOOKUP($A59&amp;BasicProjectData!$G$18,Prices[Item '#]&amp;Prices[Location],Prices[Mean Price])</f>
        <v>#N/A</v>
      </c>
      <c r="I59" s="113" cm="1">
        <f t="array" ref="I59">_xlfn.XLOOKUP($A59&amp;"All Districts",Prices[Item '#]&amp;Prices[Location],Prices[Mean Price])</f>
        <v>2.71</v>
      </c>
      <c r="J59">
        <f t="shared" ca="1" si="3"/>
        <v>0</v>
      </c>
      <c r="K59" t="str">
        <f ca="1">IF(AND(_xlfn.IFNA(Output[[#This Row],[Mean Unit Price State]],0)=0,Output[[#This Row],[Price Override?]]=0),"CHECK","")</f>
        <v/>
      </c>
      <c r="Y59" s="157">
        <v>509</v>
      </c>
      <c r="Z59" s="38" t="s">
        <v>1548</v>
      </c>
      <c r="AA59" s="38" cm="1">
        <f t="array" aca="1" ref="AA59" ca="1">_xlfn.XLOOKUP($Y59,INDIRECT("'"&amp;$Z59&amp;"'!C1:C1000"),INDIRECT("'"&amp;$Z59&amp;"'!"&amp;AA$8&amp;"1:"&amp;AA$8&amp;"1000"))</f>
        <v>0</v>
      </c>
      <c r="AB59" s="38" cm="1">
        <f t="array" aca="1" ref="AB59" ca="1">_xlfn.XLOOKUP($Y59,INDIRECT("'"&amp;$Z59&amp;"'!C1:C1000"),INDIRECT("'"&amp;$Z59&amp;"'!"&amp;AB$8&amp;"1:"&amp;AB$8&amp;"1000"))</f>
        <v>0</v>
      </c>
      <c r="AC59" s="505" cm="1">
        <f t="array" aca="1" ref="AC59" ca="1">_xlfn.XLOOKUP($Y59,INDIRECT("'"&amp;$Z59&amp;"'!C1:C1000"),INDIRECT("'"&amp;$Z59&amp;"'!"&amp;AC$8&amp;"1:"&amp;AC$8&amp;"1000"))</f>
        <v>0</v>
      </c>
      <c r="AD59" s="38"/>
      <c r="AE59" s="38"/>
      <c r="AF59" s="38"/>
    </row>
    <row r="60" spans="1:32">
      <c r="A60" s="119">
        <v>645.048</v>
      </c>
      <c r="B60" s="111" t="str">
        <f>_xlfn.XLOOKUP(A60,Prices[Item '#],Prices[Description])</f>
        <v>48 INCH CHAIN LINK FENCE (PIPE TOP RAIL) (LINE POST OPTION)</v>
      </c>
      <c r="C60" s="111" t="str">
        <f>_xlfn.XLOOKUP($A60,Prices[Item '#],Prices[Units])</f>
        <v>FT</v>
      </c>
      <c r="D60" s="112">
        <f ca="1">_xlfn.IFNA(_xlfn.XLOOKUP(A60,PullFromCalcs[Item],PullFromCalcs[Quantity]),"-")</f>
        <v>0</v>
      </c>
      <c r="E60" s="114">
        <f t="shared" ca="1" si="0"/>
        <v>81</v>
      </c>
      <c r="F60" s="114">
        <f ca="1">_xlfn.IFNA(_xlfn.XLOOKUP(A60,PullFromCalcs[Item],PullFromCalcs[Price]),0)</f>
        <v>0</v>
      </c>
      <c r="G60" s="584" t="str">
        <f>_xlfn.XLOOKUP(A60,PullFromCalcs[Item],PullFromCalcs[Sheet],"MiscItems")</f>
        <v>EDGING</v>
      </c>
      <c r="H60" s="113" t="e" cm="1">
        <f t="array" ref="H60">_xlfn.XLOOKUP($A60&amp;BasicProjectData!$G$18,Prices[Item '#]&amp;Prices[Location],Prices[Mean Price])</f>
        <v>#N/A</v>
      </c>
      <c r="I60" s="113" cm="1">
        <f t="array" ref="I60">_xlfn.XLOOKUP($A60&amp;"All Districts",Prices[Item '#]&amp;Prices[Location],Prices[Mean Price])</f>
        <v>80.38</v>
      </c>
      <c r="J60">
        <f t="shared" ca="1" si="3"/>
        <v>0</v>
      </c>
      <c r="K60" t="str">
        <f ca="1">IF(AND(_xlfn.IFNA(Output[[#This Row],[Mean Unit Price State]],0)=0,Output[[#This Row],[Price Override?]]=0),"CHECK","")</f>
        <v/>
      </c>
      <c r="Y60" s="157">
        <v>509.1</v>
      </c>
      <c r="Z60" s="38" t="s">
        <v>1548</v>
      </c>
      <c r="AA60" s="38" cm="1">
        <f t="array" aca="1" ref="AA60" ca="1">_xlfn.XLOOKUP($Y60,INDIRECT("'"&amp;$Z60&amp;"'!C1:C1000"),INDIRECT("'"&amp;$Z60&amp;"'!"&amp;AA$8&amp;"1:"&amp;AA$8&amp;"1000"))</f>
        <v>0</v>
      </c>
      <c r="AB60" s="38" cm="1">
        <f t="array" aca="1" ref="AB60" ca="1">_xlfn.XLOOKUP($Y60,INDIRECT("'"&amp;$Z60&amp;"'!C1:C1000"),INDIRECT("'"&amp;$Z60&amp;"'!"&amp;AB$8&amp;"1:"&amp;AB$8&amp;"1000"))</f>
        <v>0</v>
      </c>
      <c r="AC60" s="505" cm="1">
        <f t="array" aca="1" ref="AC60" ca="1">_xlfn.XLOOKUP($Y60,INDIRECT("'"&amp;$Z60&amp;"'!C1:C1000"),INDIRECT("'"&amp;$Z60&amp;"'!"&amp;AC$8&amp;"1:"&amp;AC$8&amp;"1000"))</f>
        <v>0</v>
      </c>
      <c r="AD60" s="38"/>
      <c r="AE60" s="38"/>
      <c r="AF60" s="38"/>
    </row>
    <row r="61" spans="1:32">
      <c r="A61" s="116">
        <v>655</v>
      </c>
      <c r="B61" s="111" t="str">
        <f>_xlfn.XLOOKUP(A61,Prices[Item '#],Prices[Description])</f>
        <v>CEDAR RAIL FENCE</v>
      </c>
      <c r="C61" s="111" t="str">
        <f>_xlfn.XLOOKUP($A61,Prices[Item '#],Prices[Units])</f>
        <v>FT</v>
      </c>
      <c r="D61" s="112">
        <f ca="1">_xlfn.IFNA(_xlfn.XLOOKUP(A61,PullFromCalcs[Item],PullFromCalcs[Quantity]),"-")</f>
        <v>0</v>
      </c>
      <c r="E61" s="114">
        <f t="shared" ca="1" si="0"/>
        <v>137</v>
      </c>
      <c r="F61" s="114">
        <f ca="1">_xlfn.IFNA(_xlfn.XLOOKUP(A61,PullFromCalcs[Item],PullFromCalcs[Price]),0)</f>
        <v>0</v>
      </c>
      <c r="G61" s="584" t="str">
        <f>_xlfn.XLOOKUP(A61,PullFromCalcs[Item],PullFromCalcs[Sheet],"MiscItems")</f>
        <v>EDGING</v>
      </c>
      <c r="H61" s="113" t="e" cm="1">
        <f t="array" ref="H61">_xlfn.XLOOKUP($A61&amp;BasicProjectData!$G$18,Prices[Item '#]&amp;Prices[Location],Prices[Mean Price])</f>
        <v>#N/A</v>
      </c>
      <c r="I61" s="113" cm="1">
        <f t="array" ref="I61">_xlfn.XLOOKUP($A61&amp;"All Districts",Prices[Item '#]&amp;Prices[Location],Prices[Mean Price])</f>
        <v>136.47</v>
      </c>
      <c r="J61">
        <f t="shared" ca="1" si="3"/>
        <v>0</v>
      </c>
      <c r="K61" t="str">
        <f ca="1">IF(AND(_xlfn.IFNA(Output[[#This Row],[Mean Unit Price State]],0)=0,Output[[#This Row],[Price Override?]]=0),"CHECK","")</f>
        <v/>
      </c>
      <c r="Y61" s="157">
        <v>520</v>
      </c>
      <c r="Z61" s="38" t="s">
        <v>1548</v>
      </c>
      <c r="AA61" s="38" cm="1">
        <f t="array" aca="1" ref="AA61" ca="1">_xlfn.XLOOKUP($Y61,INDIRECT("'"&amp;$Z61&amp;"'!C1:C1000"),INDIRECT("'"&amp;$Z61&amp;"'!"&amp;AA$8&amp;"1:"&amp;AA$8&amp;"1000"))</f>
        <v>0</v>
      </c>
      <c r="AB61" s="38" cm="1">
        <f t="array" aca="1" ref="AB61" ca="1">_xlfn.XLOOKUP($Y61,INDIRECT("'"&amp;$Z61&amp;"'!C1:C1000"),INDIRECT("'"&amp;$Z61&amp;"'!"&amp;AB$8&amp;"1:"&amp;AB$8&amp;"1000"))</f>
        <v>0</v>
      </c>
      <c r="AC61" s="506" cm="1">
        <f t="array" aca="1" ref="AC61" ca="1">_xlfn.XLOOKUP($Y61,INDIRECT("'"&amp;$Z61&amp;"'!C1:C1000"),INDIRECT("'"&amp;$Z61&amp;"'!"&amp;AC$8&amp;"1:"&amp;AC$8&amp;"1000"))</f>
        <v>0</v>
      </c>
      <c r="AD61" s="38"/>
      <c r="AE61" s="38"/>
      <c r="AF61" s="38"/>
    </row>
    <row r="62" spans="1:32">
      <c r="A62" s="35">
        <v>665</v>
      </c>
      <c r="B62" s="111" t="str">
        <f>_xlfn.XLOOKUP(A62,Prices[Item '#],Prices[Description])</f>
        <v>CHAIN LINK FENCE REMOVED AND STACKED</v>
      </c>
      <c r="C62" s="111" t="str">
        <f>_xlfn.XLOOKUP($A62,Prices[Item '#],Prices[Units])</f>
        <v>FT</v>
      </c>
      <c r="D62" s="112">
        <f ca="1">_xlfn.IFNA(_xlfn.XLOOKUP(A62,PullFromCalcs[Item],PullFromCalcs[Quantity]),"-")</f>
        <v>0</v>
      </c>
      <c r="E62" s="114">
        <f t="shared" ca="1" si="0"/>
        <v>31</v>
      </c>
      <c r="F62" s="114">
        <f ca="1">_xlfn.IFNA(_xlfn.XLOOKUP(A62,PullFromCalcs[Item],PullFromCalcs[Price]),0)</f>
        <v>0</v>
      </c>
      <c r="G62" s="584" t="str">
        <f>_xlfn.XLOOKUP(A62,PullFromCalcs[Item],PullFromCalcs[Sheet],"MiscItems")</f>
        <v>EDGING</v>
      </c>
      <c r="H62" s="113" t="e" cm="1">
        <f t="array" ref="H62">_xlfn.XLOOKUP($A62&amp;BasicProjectData!$G$18,Prices[Item '#]&amp;Prices[Location],Prices[Mean Price])</f>
        <v>#N/A</v>
      </c>
      <c r="I62" s="113" cm="1">
        <f t="array" ref="I62">_xlfn.XLOOKUP($A62&amp;"All Districts",Prices[Item '#]&amp;Prices[Location],Prices[Mean Price])</f>
        <v>30.88</v>
      </c>
      <c r="J62">
        <f t="shared" ca="1" si="3"/>
        <v>0</v>
      </c>
      <c r="K62" t="str">
        <f ca="1">IF(AND(_xlfn.IFNA(Output[[#This Row],[Mean Unit Price State]],0)=0,Output[[#This Row],[Price Override?]]=0),"CHECK","")</f>
        <v/>
      </c>
      <c r="Y62" s="157">
        <v>570</v>
      </c>
      <c r="Z62" s="38" t="s">
        <v>1548</v>
      </c>
      <c r="AA62" s="38" cm="1">
        <f t="array" aca="1" ref="AA62" ca="1">_xlfn.XLOOKUP($Y62,INDIRECT("'"&amp;$Z62&amp;"'!C1:C1000"),INDIRECT("'"&amp;$Z62&amp;"'!"&amp;AA$8&amp;"1:"&amp;AA$8&amp;"1000"))</f>
        <v>0</v>
      </c>
      <c r="AB62" s="38" cm="1">
        <f t="array" aca="1" ref="AB62" ca="1">_xlfn.XLOOKUP($Y62,INDIRECT("'"&amp;$Z62&amp;"'!C1:C1000"),INDIRECT("'"&amp;$Z62&amp;"'!"&amp;AB$8&amp;"1:"&amp;AB$8&amp;"1000"))</f>
        <v>0</v>
      </c>
      <c r="AC62" s="505" cm="1">
        <f t="array" aca="1" ref="AC62" ca="1">_xlfn.XLOOKUP($Y62,INDIRECT("'"&amp;$Z62&amp;"'!C1:C1000"),INDIRECT("'"&amp;$Z62&amp;"'!"&amp;AC$8&amp;"1:"&amp;AC$8&amp;"1000"))</f>
        <v>0</v>
      </c>
      <c r="AD62" s="38"/>
      <c r="AE62" s="38"/>
      <c r="AF62" s="38"/>
    </row>
    <row r="63" spans="1:32">
      <c r="A63" s="35">
        <v>666</v>
      </c>
      <c r="B63" s="111" t="str">
        <f>_xlfn.XLOOKUP(A63,Prices[Item '#],Prices[Description])</f>
        <v>CHAIN LINK FENCE REMOVED AND RESET</v>
      </c>
      <c r="C63" s="111" t="str">
        <f>_xlfn.XLOOKUP($A63,Prices[Item '#],Prices[Units])</f>
        <v>FT</v>
      </c>
      <c r="D63" s="112">
        <f ca="1">_xlfn.IFNA(_xlfn.XLOOKUP(A63,PullFromCalcs[Item],PullFromCalcs[Quantity]),"-")</f>
        <v>0</v>
      </c>
      <c r="E63" s="114">
        <f t="shared" ca="1" si="0"/>
        <v>81</v>
      </c>
      <c r="F63" s="114">
        <f ca="1">_xlfn.IFNA(_xlfn.XLOOKUP(A63,PullFromCalcs[Item],PullFromCalcs[Price]),0)</f>
        <v>0</v>
      </c>
      <c r="G63" s="584" t="str">
        <f>_xlfn.XLOOKUP(A63,PullFromCalcs[Item],PullFromCalcs[Sheet],"MiscItems")</f>
        <v>EDGING</v>
      </c>
      <c r="H63" s="113" t="e" cm="1">
        <f t="array" ref="H63">_xlfn.XLOOKUP($A63&amp;BasicProjectData!$G$18,Prices[Item '#]&amp;Prices[Location],Prices[Mean Price])</f>
        <v>#N/A</v>
      </c>
      <c r="I63" s="113" cm="1">
        <f t="array" ref="I63">_xlfn.XLOOKUP($A63&amp;"All Districts",Prices[Item '#]&amp;Prices[Location],Prices[Mean Price])</f>
        <v>80.88</v>
      </c>
      <c r="J63">
        <f t="shared" ca="1" si="3"/>
        <v>0</v>
      </c>
      <c r="K63" t="str">
        <f ca="1">IF(AND(_xlfn.IFNA(Output[[#This Row],[Mean Unit Price State]],0)=0,Output[[#This Row],[Price Override?]]=0),"CHECK","")</f>
        <v/>
      </c>
      <c r="Y63" s="210">
        <v>580</v>
      </c>
      <c r="Z63" s="38" t="s">
        <v>1548</v>
      </c>
      <c r="AA63" s="38" cm="1">
        <f t="array" aca="1" ref="AA63" ca="1">_xlfn.XLOOKUP($Y63,INDIRECT("'"&amp;$Z63&amp;"'!C1:C1000"),INDIRECT("'"&amp;$Z63&amp;"'!"&amp;AA$8&amp;"1:"&amp;AA$8&amp;"1000"))</f>
        <v>0</v>
      </c>
      <c r="AB63" s="38" cm="1">
        <f t="array" aca="1" ref="AB63" ca="1">_xlfn.XLOOKUP($Y63,INDIRECT("'"&amp;$Z63&amp;"'!C1:C1000"),INDIRECT("'"&amp;$Z63&amp;"'!"&amp;AB$8&amp;"1:"&amp;AB$8&amp;"1000"))</f>
        <v>0</v>
      </c>
      <c r="AC63" s="505" cm="1">
        <f t="array" aca="1" ref="AC63" ca="1">_xlfn.XLOOKUP($Y63,INDIRECT("'"&amp;$Z63&amp;"'!C1:C1000"),INDIRECT("'"&amp;$Z63&amp;"'!"&amp;AC$8&amp;"1:"&amp;AC$8&amp;"1000"))</f>
        <v>0</v>
      </c>
      <c r="AD63" s="38"/>
      <c r="AE63" s="38"/>
      <c r="AF63" s="38"/>
    </row>
    <row r="64" spans="1:32">
      <c r="A64" s="35">
        <v>669</v>
      </c>
      <c r="B64" s="111" t="str">
        <f>_xlfn.XLOOKUP(A64,Prices[Item '#],Prices[Description])</f>
        <v>FENCE REMOVED AND STACKED</v>
      </c>
      <c r="C64" s="111" t="str">
        <f>_xlfn.XLOOKUP($A64,Prices[Item '#],Prices[Units])</f>
        <v>FT</v>
      </c>
      <c r="D64" s="112">
        <f ca="1">_xlfn.IFNA(_xlfn.XLOOKUP(A64,PullFromCalcs[Item],PullFromCalcs[Quantity]),"-")</f>
        <v>0</v>
      </c>
      <c r="E64" s="114">
        <f t="shared" ca="1" si="0"/>
        <v>18</v>
      </c>
      <c r="F64" s="114">
        <f ca="1">_xlfn.IFNA(_xlfn.XLOOKUP(A64,PullFromCalcs[Item],PullFromCalcs[Price]),0)</f>
        <v>0</v>
      </c>
      <c r="G64" s="584" t="str">
        <f>_xlfn.XLOOKUP(A64,PullFromCalcs[Item],PullFromCalcs[Sheet],"MiscItems")</f>
        <v>EDGING</v>
      </c>
      <c r="H64" s="113" t="e" cm="1">
        <f t="array" ref="H64">_xlfn.XLOOKUP($A64&amp;BasicProjectData!$G$18,Prices[Item '#]&amp;Prices[Location],Prices[Mean Price])</f>
        <v>#N/A</v>
      </c>
      <c r="I64" s="113" cm="1">
        <f t="array" ref="I64">_xlfn.XLOOKUP($A64&amp;"All Districts",Prices[Item '#]&amp;Prices[Location],Prices[Mean Price])</f>
        <v>17.43</v>
      </c>
      <c r="J64">
        <f t="shared" ca="1" si="3"/>
        <v>0</v>
      </c>
      <c r="K64" t="str">
        <f ca="1">IF(AND(_xlfn.IFNA(Output[[#This Row],[Mean Unit Price State]],0)=0,Output[[#This Row],[Price Override?]]=0),"CHECK","")</f>
        <v/>
      </c>
      <c r="Y64" s="157">
        <v>620.12</v>
      </c>
      <c r="Z64" s="38" t="s">
        <v>1548</v>
      </c>
      <c r="AA64" s="38" cm="1">
        <f t="array" aca="1" ref="AA64" ca="1">_xlfn.XLOOKUP($Y64,INDIRECT("'"&amp;$Z64&amp;"'!C1:C1000"),INDIRECT("'"&amp;$Z64&amp;"'!"&amp;AA$8&amp;"1:"&amp;AA$8&amp;"1000"))</f>
        <v>0</v>
      </c>
      <c r="AB64" s="38" cm="1">
        <f t="array" aca="1" ref="AB64" ca="1">_xlfn.XLOOKUP($Y64,INDIRECT("'"&amp;$Z64&amp;"'!C1:C1000"),INDIRECT("'"&amp;$Z64&amp;"'!"&amp;AB$8&amp;"1:"&amp;AB$8&amp;"1000"))</f>
        <v>0</v>
      </c>
      <c r="AC64" s="505" cm="1">
        <f t="array" aca="1" ref="AC64" ca="1">_xlfn.XLOOKUP($Y64,INDIRECT("'"&amp;$Z64&amp;"'!C1:C1000"),INDIRECT("'"&amp;$Z64&amp;"'!"&amp;AC$8&amp;"1:"&amp;AC$8&amp;"1000"))</f>
        <v>0</v>
      </c>
      <c r="AD64" s="38"/>
      <c r="AE64" s="38"/>
      <c r="AF64" s="38"/>
    </row>
    <row r="65" spans="1:32">
      <c r="A65" s="35">
        <v>670</v>
      </c>
      <c r="B65" s="111" t="str">
        <f>_xlfn.XLOOKUP(A65,Prices[Item '#],Prices[Description])</f>
        <v>FENCE REMOVED AND RESET</v>
      </c>
      <c r="C65" s="111" t="str">
        <f>_xlfn.XLOOKUP($A65,Prices[Item '#],Prices[Units])</f>
        <v>FT</v>
      </c>
      <c r="D65" s="112">
        <f ca="1">_xlfn.IFNA(_xlfn.XLOOKUP(A65,PullFromCalcs[Item],PullFromCalcs[Quantity]),"-")</f>
        <v>0</v>
      </c>
      <c r="E65" s="114">
        <f t="shared" ca="1" si="0"/>
        <v>95</v>
      </c>
      <c r="F65" s="114">
        <f ca="1">_xlfn.IFNA(_xlfn.XLOOKUP(A65,PullFromCalcs[Item],PullFromCalcs[Price]),0)</f>
        <v>0</v>
      </c>
      <c r="G65" s="584" t="str">
        <f>_xlfn.XLOOKUP(A65,PullFromCalcs[Item],PullFromCalcs[Sheet],"MiscItems")</f>
        <v>EDGING</v>
      </c>
      <c r="H65" s="113" t="e" cm="1">
        <f t="array" ref="H65">_xlfn.XLOOKUP($A65&amp;BasicProjectData!$G$18,Prices[Item '#]&amp;Prices[Location],Prices[Mean Price])</f>
        <v>#N/A</v>
      </c>
      <c r="I65" s="113" cm="1">
        <f t="array" ref="I65">_xlfn.XLOOKUP($A65&amp;"All Districts",Prices[Item '#]&amp;Prices[Location],Prices[Mean Price])</f>
        <v>94.16</v>
      </c>
      <c r="J65">
        <f t="shared" ca="1" si="3"/>
        <v>0</v>
      </c>
      <c r="K65" t="str">
        <f ca="1">IF(AND(_xlfn.IFNA(Output[[#This Row],[Mean Unit Price State]],0)=0,Output[[#This Row],[Price Override?]]=0),"CHECK","")</f>
        <v/>
      </c>
      <c r="Y65" s="157">
        <v>620.32000000000005</v>
      </c>
      <c r="Z65" s="38" t="s">
        <v>1548</v>
      </c>
      <c r="AA65" s="38" cm="1">
        <f t="array" aca="1" ref="AA65" ca="1">_xlfn.XLOOKUP($Y65,INDIRECT("'"&amp;$Z65&amp;"'!C1:C1000"),INDIRECT("'"&amp;$Z65&amp;"'!"&amp;AA$8&amp;"1:"&amp;AA$8&amp;"1000"))</f>
        <v>0</v>
      </c>
      <c r="AB65" s="38" cm="1">
        <f t="array" aca="1" ref="AB65" ca="1">_xlfn.XLOOKUP($Y65,INDIRECT("'"&amp;$Z65&amp;"'!C1:C1000"),INDIRECT("'"&amp;$Z65&amp;"'!"&amp;AB$8&amp;"1:"&amp;AB$8&amp;"1000"))</f>
        <v>0</v>
      </c>
      <c r="AC65" s="505" cm="1">
        <f t="array" aca="1" ref="AC65" ca="1">_xlfn.XLOOKUP($Y65,INDIRECT("'"&amp;$Z65&amp;"'!C1:C1000"),INDIRECT("'"&amp;$Z65&amp;"'!"&amp;AC$8&amp;"1:"&amp;AC$8&amp;"1000"))</f>
        <v>0</v>
      </c>
      <c r="AD65" s="38"/>
      <c r="AE65" s="38"/>
      <c r="AF65" s="38"/>
    </row>
    <row r="66" spans="1:32">
      <c r="A66" s="116">
        <v>685</v>
      </c>
      <c r="B66" s="111" t="str">
        <f>_xlfn.XLOOKUP(A66,Prices[Item '#],Prices[Description])</f>
        <v>STONE MASONRY WALL IN CEMENT MORTAR</v>
      </c>
      <c r="C66" s="111" t="str">
        <f>_xlfn.XLOOKUP($A66,Prices[Item '#],Prices[Units])</f>
        <v>CY</v>
      </c>
      <c r="D66" s="112">
        <f ca="1">_xlfn.IFNA(_xlfn.XLOOKUP(A66,PullFromCalcs[Item],PullFromCalcs[Quantity]),"-")</f>
        <v>0</v>
      </c>
      <c r="E66" s="114">
        <f t="shared" ca="1" si="0"/>
        <v>1435</v>
      </c>
      <c r="F66" s="114">
        <f ca="1">_xlfn.IFNA(_xlfn.XLOOKUP(A66,PullFromCalcs[Item],PullFromCalcs[Price]),0)</f>
        <v>0</v>
      </c>
      <c r="G66" s="584" t="str">
        <f>_xlfn.XLOOKUP(A66,PullFromCalcs[Item],PullFromCalcs[Sheet],"MiscItems")</f>
        <v>EDGING</v>
      </c>
      <c r="H66" s="113" t="e" cm="1">
        <f t="array" ref="H66">_xlfn.XLOOKUP($A66&amp;BasicProjectData!$G$18,Prices[Item '#]&amp;Prices[Location],Prices[Mean Price])</f>
        <v>#N/A</v>
      </c>
      <c r="I66" s="113" cm="1">
        <f t="array" ref="I66">_xlfn.XLOOKUP($A66&amp;"All Districts",Prices[Item '#]&amp;Prices[Location],Prices[Mean Price])</f>
        <v>1434.34</v>
      </c>
      <c r="J66">
        <f t="shared" ca="1" si="3"/>
        <v>0</v>
      </c>
      <c r="K66" t="str">
        <f ca="1">IF(AND(_xlfn.IFNA(Output[[#This Row],[Mean Unit Price State]],0)=0,Output[[#This Row],[Price Override?]]=0),"CHECK","")</f>
        <v/>
      </c>
      <c r="Y66" s="157">
        <v>645.048</v>
      </c>
      <c r="Z66" s="38" t="s">
        <v>1548</v>
      </c>
      <c r="AA66" s="38" cm="1">
        <f t="array" aca="1" ref="AA66" ca="1">_xlfn.XLOOKUP($Y66,INDIRECT("'"&amp;$Z66&amp;"'!C1:C1000"),INDIRECT("'"&amp;$Z66&amp;"'!"&amp;AA$8&amp;"1:"&amp;AA$8&amp;"1000"))</f>
        <v>0</v>
      </c>
      <c r="AB66" s="38" cm="1">
        <f t="array" aca="1" ref="AB66" ca="1">_xlfn.XLOOKUP($Y66,INDIRECT("'"&amp;$Z66&amp;"'!C1:C1000"),INDIRECT("'"&amp;$Z66&amp;"'!"&amp;AB$8&amp;"1:"&amp;AB$8&amp;"1000"))</f>
        <v>0</v>
      </c>
      <c r="AC66" s="505" cm="1">
        <f t="array" aca="1" ref="AC66" ca="1">_xlfn.XLOOKUP($Y66,INDIRECT("'"&amp;$Z66&amp;"'!C1:C1000"),INDIRECT("'"&amp;$Z66&amp;"'!"&amp;AC$8&amp;"1:"&amp;AC$8&amp;"1000"))</f>
        <v>0</v>
      </c>
      <c r="AD66" s="38"/>
      <c r="AE66" s="38"/>
      <c r="AF66" s="38"/>
    </row>
    <row r="67" spans="1:32" ht="25.5">
      <c r="A67" s="35">
        <v>690</v>
      </c>
      <c r="B67" s="111" t="str">
        <f>_xlfn.XLOOKUP(A67,Prices[Item '#],Prices[Description])</f>
        <v>STONE MASONRY WALL REMOVED AND REBUILT IN CEMENT MORTAR</v>
      </c>
      <c r="C67" s="111" t="str">
        <f>_xlfn.XLOOKUP($A67,Prices[Item '#],Prices[Units])</f>
        <v>CY</v>
      </c>
      <c r="D67" s="112">
        <f ca="1">_xlfn.IFNA(_xlfn.XLOOKUP(A67,PullFromCalcs[Item],PullFromCalcs[Quantity]),"-")</f>
        <v>0</v>
      </c>
      <c r="E67" s="114">
        <f t="shared" ca="1" si="0"/>
        <v>1400</v>
      </c>
      <c r="F67" s="114">
        <f ca="1">_xlfn.IFNA(_xlfn.XLOOKUP(A67,PullFromCalcs[Item],PullFromCalcs[Price]),0)</f>
        <v>0</v>
      </c>
      <c r="G67" s="584" t="str">
        <f>_xlfn.XLOOKUP(A67,PullFromCalcs[Item],PullFromCalcs[Sheet],"MiscItems")</f>
        <v>EDGING</v>
      </c>
      <c r="H67" s="113" t="e" cm="1">
        <f t="array" ref="H67">_xlfn.XLOOKUP($A67&amp;BasicProjectData!$G$18,Prices[Item '#]&amp;Prices[Location],Prices[Mean Price])</f>
        <v>#N/A</v>
      </c>
      <c r="I67" s="113" cm="1">
        <f t="array" ref="I67">_xlfn.XLOOKUP($A67&amp;"All Districts",Prices[Item '#]&amp;Prices[Location],Prices[Mean Price])</f>
        <v>1399.67</v>
      </c>
      <c r="J67">
        <f t="shared" ca="1" si="3"/>
        <v>0</v>
      </c>
      <c r="K67" t="str">
        <f ca="1">IF(AND(_xlfn.IFNA(Output[[#This Row],[Mean Unit Price State]],0)=0,Output[[#This Row],[Price Override?]]=0),"CHECK","")</f>
        <v/>
      </c>
      <c r="Y67" s="157">
        <v>685</v>
      </c>
      <c r="Z67" s="38" t="s">
        <v>1548</v>
      </c>
      <c r="AA67" s="38" cm="1">
        <f t="array" aca="1" ref="AA67" ca="1">_xlfn.XLOOKUP($Y67,INDIRECT("'"&amp;$Z67&amp;"'!C1:C1000"),INDIRECT("'"&amp;$Z67&amp;"'!"&amp;AA$8&amp;"1:"&amp;AA$8&amp;"1000"))</f>
        <v>0</v>
      </c>
      <c r="AB67" s="38" cm="1">
        <f t="array" aca="1" ref="AB67" ca="1">_xlfn.XLOOKUP($Y67,INDIRECT("'"&amp;$Z67&amp;"'!C1:C1000"),INDIRECT("'"&amp;$Z67&amp;"'!"&amp;AB$8&amp;"1:"&amp;AB$8&amp;"1000"))</f>
        <v>0</v>
      </c>
      <c r="AC67" s="505" cm="1">
        <f t="array" aca="1" ref="AC67" ca="1">_xlfn.XLOOKUP($Y67,INDIRECT("'"&amp;$Z67&amp;"'!C1:C1000"),INDIRECT("'"&amp;$Z67&amp;"'!"&amp;AC$8&amp;"1:"&amp;AC$8&amp;"1000"))</f>
        <v>0</v>
      </c>
      <c r="AD67" s="38"/>
      <c r="AE67" s="38"/>
      <c r="AF67" s="38"/>
    </row>
    <row r="68" spans="1:32">
      <c r="A68" s="35">
        <v>691</v>
      </c>
      <c r="B68" s="111" t="str">
        <f>_xlfn.XLOOKUP(A68,Prices[Item '#],Prices[Description])</f>
        <v>BALANCE STONE WALL REMOVED AND REBUILT</v>
      </c>
      <c r="C68" s="111" t="str">
        <f>_xlfn.XLOOKUP($A68,Prices[Item '#],Prices[Units])</f>
        <v>FT</v>
      </c>
      <c r="D68" s="112">
        <f ca="1">_xlfn.IFNA(_xlfn.XLOOKUP(A68,PullFromCalcs[Item],PullFromCalcs[Quantity]),"-")</f>
        <v>0</v>
      </c>
      <c r="E68" s="114">
        <f t="shared" ca="1" si="0"/>
        <v>324</v>
      </c>
      <c r="F68" s="114">
        <f ca="1">_xlfn.IFNA(_xlfn.XLOOKUP(A68,PullFromCalcs[Item],PullFromCalcs[Price]),0)</f>
        <v>0</v>
      </c>
      <c r="G68" s="584" t="str">
        <f>_xlfn.XLOOKUP(A68,PullFromCalcs[Item],PullFromCalcs[Sheet],"MiscItems")</f>
        <v>EDGING</v>
      </c>
      <c r="H68" s="113" t="e" cm="1">
        <f t="array" ref="H68">_xlfn.XLOOKUP($A68&amp;BasicProjectData!$G$18,Prices[Item '#]&amp;Prices[Location],Prices[Mean Price])</f>
        <v>#N/A</v>
      </c>
      <c r="I68" s="113" cm="1">
        <f t="array" ref="I68">_xlfn.XLOOKUP($A68&amp;"All Districts",Prices[Item '#]&amp;Prices[Location],Prices[Mean Price])</f>
        <v>323.39999999999998</v>
      </c>
      <c r="J68">
        <f t="shared" ca="1" si="3"/>
        <v>0</v>
      </c>
      <c r="K68" t="str">
        <f ca="1">IF(AND(_xlfn.IFNA(Output[[#This Row],[Mean Unit Price State]],0)=0,Output[[#This Row],[Price Override?]]=0),"CHECK","")</f>
        <v/>
      </c>
      <c r="Y68" s="157">
        <v>692</v>
      </c>
      <c r="Z68" s="38" t="s">
        <v>1548</v>
      </c>
      <c r="AA68" s="38" cm="1">
        <f t="array" aca="1" ref="AA68" ca="1">_xlfn.XLOOKUP($Y68,INDIRECT("'"&amp;$Z68&amp;"'!C1:C1000"),INDIRECT("'"&amp;$Z68&amp;"'!"&amp;AA$8&amp;"1:"&amp;AA$8&amp;"1000"))</f>
        <v>0</v>
      </c>
      <c r="AB68" s="38" cm="1">
        <f t="array" aca="1" ref="AB68" ca="1">_xlfn.XLOOKUP($Y68,INDIRECT("'"&amp;$Z68&amp;"'!C1:C1000"),INDIRECT("'"&amp;$Z68&amp;"'!"&amp;AB$8&amp;"1:"&amp;AB$8&amp;"1000"))</f>
        <v>0</v>
      </c>
      <c r="AC68" s="505" cm="1">
        <f t="array" aca="1" ref="AC68" ca="1">_xlfn.XLOOKUP($Y68,INDIRECT("'"&amp;$Z68&amp;"'!C1:C1000"),INDIRECT("'"&amp;$Z68&amp;"'!"&amp;AC$8&amp;"1:"&amp;AC$8&amp;"1000"))</f>
        <v>0</v>
      </c>
      <c r="AD68" s="38"/>
      <c r="AE68" s="38"/>
      <c r="AF68" s="38"/>
    </row>
    <row r="69" spans="1:32">
      <c r="A69" s="116">
        <v>692</v>
      </c>
      <c r="B69" s="686" t="s">
        <v>1655</v>
      </c>
      <c r="C69" s="504" t="s">
        <v>17</v>
      </c>
      <c r="D69" s="112">
        <f ca="1">_xlfn.IFNA(_xlfn.XLOOKUP(A69,PullFromCalcs[Item],PullFromCalcs[Quantity]),"-")</f>
        <v>0</v>
      </c>
      <c r="E69" s="114">
        <f t="shared" si="0"/>
        <v>250</v>
      </c>
      <c r="F69" s="114">
        <f ca="1">_xlfn.IFNA(_xlfn.XLOOKUP(A69,PullFromCalcs[Item],PullFromCalcs[Price]),0)</f>
        <v>0</v>
      </c>
      <c r="G69" s="584" t="str">
        <f>_xlfn.XLOOKUP(A69,PullFromCalcs[Item],PullFromCalcs[Sheet],"MiscItems")</f>
        <v>EDGING</v>
      </c>
      <c r="H69" s="113" t="e" cm="1">
        <f t="array" ref="H69">_xlfn.XLOOKUP($A69&amp;BasicProjectData!$G$18,Prices[Item '#]&amp;Prices[Location],Prices[Mean Price])</f>
        <v>#N/A</v>
      </c>
      <c r="I69" s="1134" t="e" cm="1">
        <f t="array" ref="I69">_xlfn.XLOOKUP($A69&amp;"All Districts",Prices[Item '#]&amp;Prices[Location],Prices[Mean Price])</f>
        <v>#N/A</v>
      </c>
      <c r="J69" s="1135">
        <v>250</v>
      </c>
      <c r="K69" t="str">
        <f>IF(AND(_xlfn.IFNA(Output[[#This Row],[Mean Unit Price State]],0)=0,Output[[#This Row],[Price Override?]]=0),"CHECK","")</f>
        <v/>
      </c>
      <c r="Y69" s="157">
        <v>901</v>
      </c>
      <c r="Z69" s="38" t="s">
        <v>1548</v>
      </c>
      <c r="AA69" s="38" cm="1">
        <f t="array" aca="1" ref="AA69" ca="1">_xlfn.XLOOKUP($Y69,INDIRECT("'"&amp;$Z69&amp;"'!C1:C1000"),INDIRECT("'"&amp;$Z69&amp;"'!"&amp;AA$8&amp;"1:"&amp;AA$8&amp;"1000"))</f>
        <v>0</v>
      </c>
      <c r="AB69" s="38" cm="1">
        <f t="array" aca="1" ref="AB69" ca="1">_xlfn.XLOOKUP($Y69,INDIRECT("'"&amp;$Z69&amp;"'!C1:C1000"),INDIRECT("'"&amp;$Z69&amp;"'!"&amp;AB$8&amp;"1:"&amp;AB$8&amp;"1000"))</f>
        <v>0</v>
      </c>
      <c r="AC69" s="505" cm="1">
        <f t="array" aca="1" ref="AC69" ca="1">_xlfn.XLOOKUP($Y69,INDIRECT("'"&amp;$Z69&amp;"'!C1:C1000"),INDIRECT("'"&amp;$Z69&amp;"'!"&amp;AC$8&amp;"1:"&amp;AC$8&amp;"1000"))</f>
        <v>0</v>
      </c>
      <c r="AD69" s="38"/>
      <c r="AE69" s="38"/>
      <c r="AF69" s="38"/>
    </row>
    <row r="70" spans="1:32">
      <c r="A70" s="31">
        <v>697.1</v>
      </c>
      <c r="B70" s="111" t="str">
        <f>_xlfn.XLOOKUP(A70,Prices[Item '#],Prices[Description])</f>
        <v>SILT SACK</v>
      </c>
      <c r="C70" s="111" t="str">
        <f>_xlfn.XLOOKUP($A70,Prices[Item '#],Prices[Units])</f>
        <v>EA</v>
      </c>
      <c r="D70" s="112">
        <f ca="1">_xlfn.IFNA(_xlfn.XLOOKUP(A70,PullFromCalcs[Item],PullFromCalcs[Quantity]),"-")</f>
        <v>0</v>
      </c>
      <c r="E70" s="114">
        <f t="shared" ca="1" si="0"/>
        <v>231</v>
      </c>
      <c r="F70" s="114">
        <f ca="1">_xlfn.IFNA(_xlfn.XLOOKUP(A70,PullFromCalcs[Item],PullFromCalcs[Price]),0)</f>
        <v>0</v>
      </c>
      <c r="G70" s="584" t="str">
        <f>_xlfn.XLOOKUP(A70,PullFromCalcs[Item],PullFromCalcs[Sheet],"MiscItems")</f>
        <v>DRAINAGE</v>
      </c>
      <c r="H70" s="113" t="e" cm="1">
        <f t="array" ref="H70">_xlfn.XLOOKUP($A70&amp;BasicProjectData!$G$18,Prices[Item '#]&amp;Prices[Location],Prices[Mean Price])</f>
        <v>#N/A</v>
      </c>
      <c r="I70" s="113" cm="1">
        <f t="array" ref="I70">_xlfn.XLOOKUP($A70&amp;"All Districts",Prices[Item '#]&amp;Prices[Location],Prices[Mean Price])</f>
        <v>230.67</v>
      </c>
      <c r="J70">
        <f t="shared" ref="J70:J75" ca="1" si="4">_xlfn.XLOOKUP(A70,$Y$10:$Y$165,$AB$10:$AB$165)</f>
        <v>0</v>
      </c>
      <c r="K70" t="str">
        <f ca="1">IF(AND(_xlfn.IFNA(Output[[#This Row],[Mean Unit Price State]],0)=0,Output[[#This Row],[Price Override?]]=0),"CHECK","")</f>
        <v/>
      </c>
      <c r="Y70" s="157">
        <v>970</v>
      </c>
      <c r="Z70" s="38" t="s">
        <v>1548</v>
      </c>
      <c r="AA70" s="38" cm="1">
        <f t="array" aca="1" ref="AA70" ca="1">_xlfn.XLOOKUP($Y70,INDIRECT("'"&amp;$Z70&amp;"'!C1:C1000"),INDIRECT("'"&amp;$Z70&amp;"'!"&amp;AA$8&amp;"1:"&amp;AA$8&amp;"1000"))</f>
        <v>0</v>
      </c>
      <c r="AB70" s="38" cm="1">
        <f t="array" aca="1" ref="AB70" ca="1">_xlfn.XLOOKUP($Y70,INDIRECT("'"&amp;$Z70&amp;"'!C1:C1000"),INDIRECT("'"&amp;$Z70&amp;"'!"&amp;AB$8&amp;"1:"&amp;AB$8&amp;"1000"))</f>
        <v>0</v>
      </c>
      <c r="AC70" s="505" cm="1">
        <f t="array" aca="1" ref="AC70" ca="1">_xlfn.XLOOKUP($Y70,INDIRECT("'"&amp;$Z70&amp;"'!C1:C1000"),INDIRECT("'"&amp;$Z70&amp;"'!"&amp;AC$8&amp;"1:"&amp;AC$8&amp;"1000"))</f>
        <v>0</v>
      </c>
      <c r="AD70" s="38"/>
      <c r="AE70" s="38"/>
      <c r="AF70" s="38"/>
    </row>
    <row r="71" spans="1:32">
      <c r="A71" s="35">
        <v>698.1</v>
      </c>
      <c r="B71" s="111" t="str">
        <f>_xlfn.XLOOKUP(A71,Prices[Item '#],Prices[Description])</f>
        <v>GEOTEXTILE FABRIC FOR STABILIZATION</v>
      </c>
      <c r="C71" s="111" t="str">
        <f>_xlfn.XLOOKUP($A71,Prices[Item '#],Prices[Units])</f>
        <v>SY</v>
      </c>
      <c r="D71" s="112">
        <f ca="1">_xlfn.IFNA(_xlfn.XLOOKUP(A71,PullFromCalcs[Item],PullFromCalcs[Quantity]),"-")</f>
        <v>0</v>
      </c>
      <c r="E71" s="114">
        <f t="shared" ca="1" si="0"/>
        <v>10</v>
      </c>
      <c r="F71" s="114">
        <f ca="1">_xlfn.IFNA(_xlfn.XLOOKUP(A71,PullFromCalcs[Item],PullFromCalcs[Price]),0)</f>
        <v>0</v>
      </c>
      <c r="G71" s="584" t="str">
        <f>_xlfn.XLOOKUP(A71,PullFromCalcs[Item],PullFromCalcs[Sheet],"MiscItems")</f>
        <v>CIVIL</v>
      </c>
      <c r="H71" s="113" t="e" cm="1">
        <f t="array" ref="H71">_xlfn.XLOOKUP($A71&amp;BasicProjectData!$G$18,Prices[Item '#]&amp;Prices[Location],Prices[Mean Price])</f>
        <v>#N/A</v>
      </c>
      <c r="I71" s="113" cm="1">
        <f t="array" ref="I71">_xlfn.XLOOKUP($A71&amp;"All Districts",Prices[Item '#]&amp;Prices[Location],Prices[Mean Price])</f>
        <v>9.02</v>
      </c>
      <c r="J71">
        <f t="shared" ca="1" si="4"/>
        <v>0</v>
      </c>
      <c r="K71" t="str">
        <f ca="1">IF(AND(_xlfn.IFNA(Output[[#This Row],[Mean Unit Price State]],0)=0,Output[[#This Row],[Price Override?]]=0),"CHECK","")</f>
        <v/>
      </c>
      <c r="Y71" s="157">
        <v>996.51</v>
      </c>
      <c r="Z71" s="38" t="s">
        <v>1548</v>
      </c>
      <c r="AA71" s="38" cm="1">
        <f t="array" aca="1" ref="AA71" ca="1">_xlfn.XLOOKUP($Y71,INDIRECT("'"&amp;$Z71&amp;"'!C1:C1000"),INDIRECT("'"&amp;$Z71&amp;"'!"&amp;AA$8&amp;"1:"&amp;AA$8&amp;"1000"))</f>
        <v>0</v>
      </c>
      <c r="AB71" s="38" cm="1">
        <f t="array" aca="1" ref="AB71" ca="1">_xlfn.XLOOKUP($Y71,INDIRECT("'"&amp;$Z71&amp;"'!C1:C1000"),INDIRECT("'"&amp;$Z71&amp;"'!"&amp;AB$8&amp;"1:"&amp;AB$8&amp;"1000"))</f>
        <v>0</v>
      </c>
      <c r="AC71" s="505" cm="1">
        <f t="array" aca="1" ref="AC71" ca="1">_xlfn.XLOOKUP($Y71,INDIRECT("'"&amp;$Z71&amp;"'!C1:C1000"),INDIRECT("'"&amp;$Z71&amp;"'!"&amp;AC$8&amp;"1:"&amp;AC$8&amp;"1000"))</f>
        <v>0</v>
      </c>
      <c r="AD71" s="38"/>
      <c r="AE71" s="38"/>
      <c r="AF71" s="38"/>
    </row>
    <row r="72" spans="1:32">
      <c r="A72" s="115">
        <v>701</v>
      </c>
      <c r="B72" s="111" t="str">
        <f>_xlfn.XLOOKUP(A72,Prices[Item '#],Prices[Description])</f>
        <v>CEMENT CONCRETE SIDEWALK</v>
      </c>
      <c r="C72" s="111" t="str">
        <f>_xlfn.XLOOKUP($A72,Prices[Item '#],Prices[Units])</f>
        <v>SY</v>
      </c>
      <c r="D72" s="112">
        <f ca="1">_xlfn.IFNA(_xlfn.XLOOKUP(A72,PullFromCalcs[Item],PullFromCalcs[Quantity]),"-")</f>
        <v>0</v>
      </c>
      <c r="E72" s="114">
        <f t="shared" ca="1" si="0"/>
        <v>100</v>
      </c>
      <c r="F72" s="114">
        <f ca="1">_xlfn.IFNA(_xlfn.XLOOKUP(A72,PullFromCalcs[Item],PullFromCalcs[Price]),0)</f>
        <v>0</v>
      </c>
      <c r="G72" s="584" t="str">
        <f>_xlfn.XLOOKUP(A72,PullFromCalcs[Item],PullFromCalcs[Sheet],"MiscItems")</f>
        <v>CIVIL</v>
      </c>
      <c r="H72" s="113" t="e" cm="1">
        <f t="array" ref="H72">_xlfn.XLOOKUP($A72&amp;BasicProjectData!$G$18,Prices[Item '#]&amp;Prices[Location],Prices[Mean Price])</f>
        <v>#N/A</v>
      </c>
      <c r="I72" s="113" cm="1">
        <f t="array" ref="I72">_xlfn.XLOOKUP($A72&amp;"All Districts",Prices[Item '#]&amp;Prices[Location],Prices[Mean Price])</f>
        <v>99.07</v>
      </c>
      <c r="J72">
        <f t="shared" ca="1" si="4"/>
        <v>0</v>
      </c>
      <c r="K72" t="str">
        <f ca="1">IF(AND(_xlfn.IFNA(Output[[#This Row],[Mean Unit Price State]],0)=0,Output[[#This Row],[Price Override?]]=0),"CHECK","")</f>
        <v/>
      </c>
      <c r="Y72" s="157">
        <v>201</v>
      </c>
      <c r="Z72" s="38" t="s">
        <v>1549</v>
      </c>
      <c r="AA72" s="38" cm="1">
        <f t="array" aca="1" ref="AA72" ca="1">_xlfn.XLOOKUP($Y72,INDIRECT("'"&amp;$Z72&amp;"'!C1:C1000"),INDIRECT("'"&amp;$Z72&amp;"'!"&amp;AA$8&amp;"1:"&amp;AA$8&amp;"1000"))</f>
        <v>0</v>
      </c>
      <c r="AB72" s="38" cm="1">
        <f t="array" aca="1" ref="AB72" ca="1">_xlfn.XLOOKUP($Y72,INDIRECT("'"&amp;$Z72&amp;"'!C1:C1000"),INDIRECT("'"&amp;$Z72&amp;"'!"&amp;AB$8&amp;"1:"&amp;AB$8&amp;"1000"))</f>
        <v>0</v>
      </c>
      <c r="AC72" s="505" cm="1">
        <f t="array" aca="1" ref="AC72" ca="1">_xlfn.XLOOKUP($Y72,INDIRECT("'"&amp;$Z72&amp;"'!C1:C1000"),INDIRECT("'"&amp;$Z72&amp;"'!"&amp;AC$8&amp;"1:"&amp;AC$8&amp;"1000"))</f>
        <v>0</v>
      </c>
      <c r="AD72" s="38"/>
      <c r="AE72" s="38"/>
      <c r="AF72" s="38"/>
    </row>
    <row r="73" spans="1:32">
      <c r="A73" s="116">
        <v>701.1</v>
      </c>
      <c r="B73" s="111" t="str">
        <f>_xlfn.XLOOKUP(A73,Prices[Item '#],Prices[Description])</f>
        <v>CEMENT CONCRETE SIDEWALK AT DRIVEWAYS</v>
      </c>
      <c r="C73" s="111" t="str">
        <f>_xlfn.XLOOKUP($A73,Prices[Item '#],Prices[Units])</f>
        <v>SY</v>
      </c>
      <c r="D73" s="112">
        <f ca="1">_xlfn.IFNA(_xlfn.XLOOKUP(A73,PullFromCalcs[Item],PullFromCalcs[Quantity]),"-")</f>
        <v>0</v>
      </c>
      <c r="E73" s="114">
        <f t="shared" ca="1" si="0"/>
        <v>109</v>
      </c>
      <c r="F73" s="114">
        <f ca="1">_xlfn.IFNA(_xlfn.XLOOKUP(A73,PullFromCalcs[Item],PullFromCalcs[Price]),0)</f>
        <v>0</v>
      </c>
      <c r="G73" s="584" t="str">
        <f>_xlfn.XLOOKUP(A73,PullFromCalcs[Item],PullFromCalcs[Sheet],"MiscItems")</f>
        <v>CIVIL</v>
      </c>
      <c r="H73" s="113" t="e" cm="1">
        <f t="array" ref="H73">_xlfn.XLOOKUP($A73&amp;BasicProjectData!$G$18,Prices[Item '#]&amp;Prices[Location],Prices[Mean Price])</f>
        <v>#N/A</v>
      </c>
      <c r="I73" s="113" cm="1">
        <f t="array" ref="I73">_xlfn.XLOOKUP($A73&amp;"All Districts",Prices[Item '#]&amp;Prices[Location],Prices[Mean Price])</f>
        <v>108.07</v>
      </c>
      <c r="J73">
        <f t="shared" ca="1" si="4"/>
        <v>0</v>
      </c>
      <c r="K73" t="str">
        <f ca="1">IF(AND(_xlfn.IFNA(Output[[#This Row],[Mean Unit Price State]],0)=0,Output[[#This Row],[Price Override?]]=0),"CHECK","")</f>
        <v/>
      </c>
      <c r="Y73" s="157">
        <v>202</v>
      </c>
      <c r="Z73" s="38" t="s">
        <v>1549</v>
      </c>
      <c r="AA73" s="38" cm="1">
        <f t="array" aca="1" ref="AA73" ca="1">_xlfn.XLOOKUP($Y73,INDIRECT("'"&amp;$Z73&amp;"'!C1:C1000"),INDIRECT("'"&amp;$Z73&amp;"'!"&amp;AA$8&amp;"1:"&amp;AA$8&amp;"1000"))</f>
        <v>0</v>
      </c>
      <c r="AB73" s="38" cm="1">
        <f t="array" aca="1" ref="AB73" ca="1">_xlfn.XLOOKUP($Y73,INDIRECT("'"&amp;$Z73&amp;"'!C1:C1000"),INDIRECT("'"&amp;$Z73&amp;"'!"&amp;AB$8&amp;"1:"&amp;AB$8&amp;"1000"))</f>
        <v>0</v>
      </c>
      <c r="AC73" s="505" cm="1">
        <f t="array" aca="1" ref="AC73" ca="1">_xlfn.XLOOKUP($Y73,INDIRECT("'"&amp;$Z73&amp;"'!C1:C1000"),INDIRECT("'"&amp;$Z73&amp;"'!"&amp;AC$8&amp;"1:"&amp;AC$8&amp;"1000"))</f>
        <v>0</v>
      </c>
      <c r="AD73" s="38"/>
      <c r="AE73" s="38"/>
      <c r="AF73" s="38"/>
    </row>
    <row r="74" spans="1:32">
      <c r="A74" s="115">
        <v>701.2</v>
      </c>
      <c r="B74" s="111" t="str">
        <f>_xlfn.XLOOKUP(A74,Prices[Item '#],Prices[Description])</f>
        <v>CEMENT CONCRETE PEDESTRIAN CURB RAMP</v>
      </c>
      <c r="C74" s="111" t="str">
        <f>_xlfn.XLOOKUP($A74,Prices[Item '#],Prices[Units])</f>
        <v>SY</v>
      </c>
      <c r="D74" s="112">
        <f ca="1">_xlfn.IFNA(_xlfn.XLOOKUP(A74,PullFromCalcs[Item],PullFromCalcs[Quantity]),"-")</f>
        <v>0</v>
      </c>
      <c r="E74" s="114">
        <f t="shared" ref="E74:E99" ca="1" si="5">ROUNDUP(IF(J74&gt;0,J74,_xlfn.IFNA(MAX(H74:I74),I74)),0)</f>
        <v>135</v>
      </c>
      <c r="F74" s="114">
        <f ca="1">_xlfn.IFNA(_xlfn.XLOOKUP(A74,PullFromCalcs[Item],PullFromCalcs[Price]),0)</f>
        <v>0</v>
      </c>
      <c r="G74" s="584" t="str">
        <f>_xlfn.XLOOKUP(A74,PullFromCalcs[Item],PullFromCalcs[Sheet],"MiscItems")</f>
        <v>CIVIL</v>
      </c>
      <c r="H74" s="113" t="e" cm="1">
        <f t="array" ref="H74">_xlfn.XLOOKUP($A74&amp;BasicProjectData!$G$18,Prices[Item '#]&amp;Prices[Location],Prices[Mean Price])</f>
        <v>#N/A</v>
      </c>
      <c r="I74" s="113" cm="1">
        <f t="array" ref="I74">_xlfn.XLOOKUP($A74&amp;"All Districts",Prices[Item '#]&amp;Prices[Location],Prices[Mean Price])</f>
        <v>134.77000000000001</v>
      </c>
      <c r="J74">
        <f t="shared" ca="1" si="4"/>
        <v>0</v>
      </c>
      <c r="K74" t="str">
        <f ca="1">IF(AND(_xlfn.IFNA(Output[[#This Row],[Mean Unit Price State]],0)=0,Output[[#This Row],[Price Override?]]=0),"CHECK","")</f>
        <v/>
      </c>
      <c r="Y74" s="157">
        <v>220</v>
      </c>
      <c r="Z74" s="38" t="s">
        <v>1549</v>
      </c>
      <c r="AA74" s="38" cm="1">
        <f t="array" aca="1" ref="AA74" ca="1">_xlfn.XLOOKUP($Y74,INDIRECT("'"&amp;$Z74&amp;"'!C1:C1000"),INDIRECT("'"&amp;$Z74&amp;"'!"&amp;AA$8&amp;"1:"&amp;AA$8&amp;"1000"))</f>
        <v>0</v>
      </c>
      <c r="AB74" s="38" cm="1">
        <f t="array" aca="1" ref="AB74" ca="1">_xlfn.XLOOKUP($Y74,INDIRECT("'"&amp;$Z74&amp;"'!C1:C1000"),INDIRECT("'"&amp;$Z74&amp;"'!"&amp;AB$8&amp;"1:"&amp;AB$8&amp;"1000"))</f>
        <v>0</v>
      </c>
      <c r="AC74" s="505" cm="1">
        <f t="array" aca="1" ref="AC74" ca="1">_xlfn.XLOOKUP($Y74,INDIRECT("'"&amp;$Z74&amp;"'!C1:C1000"),INDIRECT("'"&amp;$Z74&amp;"'!"&amp;AC$8&amp;"1:"&amp;AC$8&amp;"1000"))</f>
        <v>0</v>
      </c>
      <c r="AD74" s="38"/>
      <c r="AE74" s="38"/>
      <c r="AF74" s="38"/>
    </row>
    <row r="75" spans="1:32">
      <c r="A75" s="110">
        <v>702</v>
      </c>
      <c r="B75" s="111" t="str">
        <f>_xlfn.XLOOKUP(A75,Prices[Item '#],Prices[Description])</f>
        <v>HOT MIX ASPHALT SIDEWALK OR DRIVEWAY</v>
      </c>
      <c r="C75" s="111" t="str">
        <f>_xlfn.XLOOKUP($A75,Prices[Item '#],Prices[Units])</f>
        <v>TON</v>
      </c>
      <c r="D75" s="112">
        <f ca="1">_xlfn.IFNA(_xlfn.XLOOKUP(A75,PullFromCalcs[Item],PullFromCalcs[Quantity]),"-")</f>
        <v>0</v>
      </c>
      <c r="E75" s="114">
        <f t="shared" ca="1" si="5"/>
        <v>293</v>
      </c>
      <c r="F75" s="114">
        <f ca="1">_xlfn.IFNA(_xlfn.XLOOKUP(A75,PullFromCalcs[Item],PullFromCalcs[Price]),0)</f>
        <v>0</v>
      </c>
      <c r="G75" s="584" t="str">
        <f>_xlfn.XLOOKUP(A75,PullFromCalcs[Item],PullFromCalcs[Sheet],"MiscItems")</f>
        <v>CIVIL</v>
      </c>
      <c r="H75" s="113" t="e" cm="1">
        <f t="array" ref="H75">_xlfn.XLOOKUP($A75&amp;BasicProjectData!$G$18,Prices[Item '#]&amp;Prices[Location],Prices[Mean Price])</f>
        <v>#N/A</v>
      </c>
      <c r="I75" s="113" cm="1">
        <f t="array" ref="I75">_xlfn.XLOOKUP($A75&amp;"All Districts",Prices[Item '#]&amp;Prices[Location],Prices[Mean Price])</f>
        <v>292.27</v>
      </c>
      <c r="J75">
        <f t="shared" ca="1" si="4"/>
        <v>0</v>
      </c>
      <c r="K75" t="str">
        <f ca="1">IF(AND(_xlfn.IFNA(Output[[#This Row],[Mean Unit Price State]],0)=0,Output[[#This Row],[Price Override?]]=0),"CHECK","")</f>
        <v/>
      </c>
      <c r="Y75" s="157">
        <v>220.3</v>
      </c>
      <c r="Z75" s="38" t="s">
        <v>1549</v>
      </c>
      <c r="AA75" s="38" cm="1">
        <f t="array" aca="1" ref="AA75" ca="1">_xlfn.XLOOKUP($Y75,INDIRECT("'"&amp;$Z75&amp;"'!C1:C1000"),INDIRECT("'"&amp;$Z75&amp;"'!"&amp;AA$8&amp;"1:"&amp;AA$8&amp;"1000"))</f>
        <v>0</v>
      </c>
      <c r="AB75" s="38" cm="1">
        <f t="array" aca="1" ref="AB75" ca="1">_xlfn.XLOOKUP($Y75,INDIRECT("'"&amp;$Z75&amp;"'!C1:C1000"),INDIRECT("'"&amp;$Z75&amp;"'!"&amp;AB$8&amp;"1:"&amp;AB$8&amp;"1000"))</f>
        <v>0</v>
      </c>
      <c r="AC75" s="505" cm="1">
        <f t="array" aca="1" ref="AC75" ca="1">_xlfn.XLOOKUP($Y75,INDIRECT("'"&amp;$Z75&amp;"'!C1:C1000"),INDIRECT("'"&amp;$Z75&amp;"'!"&amp;AC$8&amp;"1:"&amp;AC$8&amp;"1000"))</f>
        <v>0</v>
      </c>
      <c r="AD75" s="38"/>
      <c r="AE75" s="38"/>
      <c r="AF75" s="38"/>
    </row>
    <row r="76" spans="1:32">
      <c r="A76" s="110">
        <v>704.01</v>
      </c>
      <c r="B76" s="686" t="s">
        <v>3914</v>
      </c>
      <c r="C76" s="111" t="s">
        <v>1</v>
      </c>
      <c r="D76" s="112">
        <f ca="1">_xlfn.IFNA(_xlfn.XLOOKUP(A76,PullFromCalcs[Item],PullFromCalcs[Quantity]),"-")</f>
        <v>0</v>
      </c>
      <c r="E76" s="114">
        <f t="shared" si="5"/>
        <v>55</v>
      </c>
      <c r="F76" s="114">
        <f ca="1">_xlfn.IFNA(_xlfn.XLOOKUP(A76,PullFromCalcs[Item],PullFromCalcs[Price]),0)</f>
        <v>0</v>
      </c>
      <c r="G76" s="584" t="str">
        <f>_xlfn.XLOOKUP(A76,PullFromCalcs[Item],PullFromCalcs[Sheet],"MiscItems")</f>
        <v>CIVIL</v>
      </c>
      <c r="H76" s="113" t="e" cm="1">
        <f t="array" ref="H76">_xlfn.XLOOKUP($A76&amp;BasicProjectData!$G$18,Prices[Item '#]&amp;Prices[Location],Prices[Mean Price])</f>
        <v>#N/A</v>
      </c>
      <c r="I76" s="1134" t="e" cm="1">
        <f t="array" ref="I76">_xlfn.XLOOKUP($A76&amp;"All Districts",Prices[Item '#]&amp;Prices[Location],Prices[Mean Price])</f>
        <v>#N/A</v>
      </c>
      <c r="J76" s="1135">
        <v>55</v>
      </c>
      <c r="K76" t="str">
        <f>IF(AND(_xlfn.IFNA(Output[[#This Row],[Mean Unit Price State]],0)=0,Output[[#This Row],[Price Override?]]=0),"CHECK","")</f>
        <v/>
      </c>
      <c r="Y76" s="157">
        <v>220.7</v>
      </c>
      <c r="Z76" s="38" t="s">
        <v>1549</v>
      </c>
      <c r="AA76" s="38" cm="1">
        <f t="array" aca="1" ref="AA76" ca="1">_xlfn.XLOOKUP($Y76,INDIRECT("'"&amp;$Z76&amp;"'!C1:C1000"),INDIRECT("'"&amp;$Z76&amp;"'!"&amp;AA$8&amp;"1:"&amp;AA$8&amp;"1000"))</f>
        <v>0</v>
      </c>
      <c r="AB76" s="38" cm="1">
        <f t="array" aca="1" ref="AB76" ca="1">_xlfn.XLOOKUP($Y76,INDIRECT("'"&amp;$Z76&amp;"'!C1:C1000"),INDIRECT("'"&amp;$Z76&amp;"'!"&amp;AB$8&amp;"1:"&amp;AB$8&amp;"1000"))</f>
        <v>0</v>
      </c>
      <c r="AC76" s="505" cm="1">
        <f t="array" aca="1" ref="AC76" ca="1">_xlfn.XLOOKUP($Y76,INDIRECT("'"&amp;$Z76&amp;"'!C1:C1000"),INDIRECT("'"&amp;$Z76&amp;"'!"&amp;AC$8&amp;"1:"&amp;AC$8&amp;"1000"))</f>
        <v>0</v>
      </c>
      <c r="AD76" s="38"/>
      <c r="AE76" s="38"/>
      <c r="AF76" s="38"/>
    </row>
    <row r="77" spans="1:32">
      <c r="A77" s="115">
        <v>706</v>
      </c>
      <c r="B77" s="111" t="str">
        <f>_xlfn.XLOOKUP(A77,Prices[Item '#],Prices[Description])</f>
        <v>BRICK WALK</v>
      </c>
      <c r="C77" s="111" t="str">
        <f>_xlfn.XLOOKUP($A77,Prices[Item '#],Prices[Units])</f>
        <v>SY</v>
      </c>
      <c r="D77" s="112">
        <f ca="1">_xlfn.IFNA(_xlfn.XLOOKUP(A77,PullFromCalcs[Item],PullFromCalcs[Quantity]),"-")</f>
        <v>0</v>
      </c>
      <c r="E77" s="114">
        <f t="shared" ca="1" si="5"/>
        <v>521</v>
      </c>
      <c r="F77" s="114">
        <f ca="1">_xlfn.IFNA(_xlfn.XLOOKUP(A77,PullFromCalcs[Item],PullFromCalcs[Price]),0)</f>
        <v>0</v>
      </c>
      <c r="G77" s="584" t="str">
        <f>_xlfn.XLOOKUP(A77,PullFromCalcs[Item],PullFromCalcs[Sheet],"MiscItems")</f>
        <v>CIVIL</v>
      </c>
      <c r="H77" s="113" t="e" cm="1">
        <f t="array" ref="H77">_xlfn.XLOOKUP($A77&amp;BasicProjectData!$G$18,Prices[Item '#]&amp;Prices[Location],Prices[Mean Price])</f>
        <v>#N/A</v>
      </c>
      <c r="I77" s="113" cm="1">
        <f t="array" ref="I77">_xlfn.XLOOKUP($A77&amp;"All Districts",Prices[Item '#]&amp;Prices[Location],Prices[Mean Price])</f>
        <v>521</v>
      </c>
      <c r="J77">
        <f t="shared" ref="J77:J89" ca="1" si="6">_xlfn.XLOOKUP(A77,$Y$10:$Y$165,$AB$10:$AB$165)</f>
        <v>0</v>
      </c>
      <c r="K77" t="str">
        <f ca="1">IF(AND(_xlfn.IFNA(Output[[#This Row],[Mean Unit Price State]],0)=0,Output[[#This Row],[Price Override?]]=0),"CHECK","")</f>
        <v/>
      </c>
      <c r="Y77" s="157">
        <v>227.3</v>
      </c>
      <c r="Z77" s="38" t="s">
        <v>1549</v>
      </c>
      <c r="AA77" s="38" cm="1">
        <f t="array" aca="1" ref="AA77" ca="1">_xlfn.XLOOKUP($Y77,INDIRECT("'"&amp;$Z77&amp;"'!C1:C1000"),INDIRECT("'"&amp;$Z77&amp;"'!"&amp;AA$8&amp;"1:"&amp;AA$8&amp;"1000"))</f>
        <v>0</v>
      </c>
      <c r="AB77" s="38" cm="1">
        <f t="array" aca="1" ref="AB77" ca="1">_xlfn.XLOOKUP($Y77,INDIRECT("'"&amp;$Z77&amp;"'!C1:C1000"),INDIRECT("'"&amp;$Z77&amp;"'!"&amp;AB$8&amp;"1:"&amp;AB$8&amp;"1000"))</f>
        <v>0</v>
      </c>
      <c r="AC77" s="505" cm="1">
        <f t="array" aca="1" ref="AC77" ca="1">_xlfn.XLOOKUP($Y77,INDIRECT("'"&amp;$Z77&amp;"'!C1:C1000"),INDIRECT("'"&amp;$Z77&amp;"'!"&amp;AC$8&amp;"1:"&amp;AC$8&amp;"1000"))</f>
        <v>0</v>
      </c>
      <c r="AD77" s="38"/>
      <c r="AE77" s="38"/>
      <c r="AF77" s="38"/>
    </row>
    <row r="78" spans="1:32">
      <c r="A78" s="115">
        <v>707.1</v>
      </c>
      <c r="B78" s="111" t="str">
        <f>_xlfn.XLOOKUP(A78,Prices[Item '#],Prices[Description])</f>
        <v>PARK BENCH</v>
      </c>
      <c r="C78" s="111" t="str">
        <f>_xlfn.XLOOKUP($A78,Prices[Item '#],Prices[Units])</f>
        <v>EA</v>
      </c>
      <c r="D78" s="112">
        <f ca="1">_xlfn.IFNA(_xlfn.XLOOKUP(A78,PullFromCalcs[Item],PullFromCalcs[Quantity]),"-")</f>
        <v>0</v>
      </c>
      <c r="E78" s="114">
        <f t="shared" ca="1" si="5"/>
        <v>4637</v>
      </c>
      <c r="F78" s="114">
        <f ca="1">_xlfn.IFNA(_xlfn.XLOOKUP(A78,PullFromCalcs[Item],PullFromCalcs[Price]),0)</f>
        <v>0</v>
      </c>
      <c r="G78" s="584" t="str">
        <f>_xlfn.XLOOKUP(A78,PullFromCalcs[Item],PullFromCalcs[Sheet],"MiscItems")</f>
        <v>AMENITIES</v>
      </c>
      <c r="H78" s="113" t="e" cm="1">
        <f t="array" ref="H78">_xlfn.XLOOKUP($A78&amp;BasicProjectData!$G$18,Prices[Item '#]&amp;Prices[Location],Prices[Mean Price])</f>
        <v>#N/A</v>
      </c>
      <c r="I78" s="113" cm="1">
        <f t="array" ref="I78">_xlfn.XLOOKUP($A78&amp;"All Districts",Prices[Item '#]&amp;Prices[Location],Prices[Mean Price])</f>
        <v>4636.1400000000003</v>
      </c>
      <c r="J78">
        <f t="shared" ca="1" si="6"/>
        <v>0</v>
      </c>
      <c r="K78" t="str">
        <f ca="1">IF(AND(_xlfn.IFNA(Output[[#This Row],[Mean Unit Price State]],0)=0,Output[[#This Row],[Price Override?]]=0),"CHECK","")</f>
        <v/>
      </c>
      <c r="Y78" s="157">
        <v>227.31</v>
      </c>
      <c r="Z78" s="38" t="s">
        <v>1549</v>
      </c>
      <c r="AA78" s="38" cm="1">
        <f t="array" aca="1" ref="AA78" ca="1">_xlfn.XLOOKUP($Y78,INDIRECT("'"&amp;$Z78&amp;"'!C1:C1000"),INDIRECT("'"&amp;$Z78&amp;"'!"&amp;AA$8&amp;"1:"&amp;AA$8&amp;"1000"))</f>
        <v>0</v>
      </c>
      <c r="AB78" s="38" cm="1">
        <f t="array" aca="1" ref="AB78" ca="1">_xlfn.XLOOKUP($Y78,INDIRECT("'"&amp;$Z78&amp;"'!C1:C1000"),INDIRECT("'"&amp;$Z78&amp;"'!"&amp;AB$8&amp;"1:"&amp;AB$8&amp;"1000"))</f>
        <v>0</v>
      </c>
      <c r="AC78" s="505" cm="1">
        <f t="array" aca="1" ref="AC78" ca="1">_xlfn.XLOOKUP($Y78,INDIRECT("'"&amp;$Z78&amp;"'!C1:C1000"),INDIRECT("'"&amp;$Z78&amp;"'!"&amp;AC$8&amp;"1:"&amp;AC$8&amp;"1000"))</f>
        <v>0</v>
      </c>
      <c r="AD78" s="38"/>
      <c r="AE78" s="38"/>
      <c r="AF78" s="38"/>
    </row>
    <row r="79" spans="1:32">
      <c r="A79" s="115">
        <v>707.9</v>
      </c>
      <c r="B79" s="111" t="str">
        <f>_xlfn.XLOOKUP(A79,Prices[Item '#],Prices[Description])</f>
        <v>BICYCLE RACK</v>
      </c>
      <c r="C79" s="111" t="str">
        <f>_xlfn.XLOOKUP($A79,Prices[Item '#],Prices[Units])</f>
        <v>EA</v>
      </c>
      <c r="D79" s="112">
        <f ca="1">_xlfn.IFNA(_xlfn.XLOOKUP(A79,PullFromCalcs[Item],PullFromCalcs[Quantity]),"-")</f>
        <v>0</v>
      </c>
      <c r="E79" s="114">
        <f t="shared" ca="1" si="5"/>
        <v>1942</v>
      </c>
      <c r="F79" s="114">
        <f ca="1">_xlfn.IFNA(_xlfn.XLOOKUP(A79,PullFromCalcs[Item],PullFromCalcs[Price]),0)</f>
        <v>0</v>
      </c>
      <c r="G79" s="584" t="str">
        <f>_xlfn.XLOOKUP(A79,PullFromCalcs[Item],PullFromCalcs[Sheet],"MiscItems")</f>
        <v>AMENITIES</v>
      </c>
      <c r="H79" s="113" t="e" cm="1">
        <f t="array" ref="H79">_xlfn.XLOOKUP($A79&amp;BasicProjectData!$G$18,Prices[Item '#]&amp;Prices[Location],Prices[Mean Price])</f>
        <v>#N/A</v>
      </c>
      <c r="I79" s="113" cm="1">
        <f t="array" ref="I79">_xlfn.XLOOKUP($A79&amp;"All Districts",Prices[Item '#]&amp;Prices[Location],Prices[Mean Price])</f>
        <v>1941.18</v>
      </c>
      <c r="J79">
        <f t="shared" ca="1" si="6"/>
        <v>0</v>
      </c>
      <c r="K79" t="str">
        <f ca="1">IF(AND(_xlfn.IFNA(Output[[#This Row],[Mean Unit Price State]],0)=0,Output[[#This Row],[Price Override?]]=0),"CHECK","")</f>
        <v/>
      </c>
      <c r="Y79" s="157">
        <v>707.1</v>
      </c>
      <c r="Z79" s="38" t="s">
        <v>3715</v>
      </c>
      <c r="AA79" s="38" cm="1">
        <f t="array" aca="1" ref="AA79" ca="1">_xlfn.XLOOKUP($Y79,INDIRECT("'"&amp;$Z79&amp;"'!C1:C1000"),INDIRECT("'"&amp;$Z79&amp;"'!"&amp;AA$8&amp;"1:"&amp;AA$8&amp;"1000"))</f>
        <v>0</v>
      </c>
      <c r="AB79" s="38" cm="1">
        <f t="array" aca="1" ref="AB79" ca="1">_xlfn.XLOOKUP($Y79,INDIRECT("'"&amp;$Z79&amp;"'!C1:C1000"),INDIRECT("'"&amp;$Z79&amp;"'!"&amp;AB$8&amp;"1:"&amp;AB$8&amp;"1000"))</f>
        <v>0</v>
      </c>
      <c r="AC79" s="506" cm="1">
        <f t="array" aca="1" ref="AC79" ca="1">_xlfn.XLOOKUP($Y79,INDIRECT("'"&amp;$Z79&amp;"'!C1:C1000"),INDIRECT("'"&amp;$Z79&amp;"'!"&amp;AC$8&amp;"1:"&amp;AC$8&amp;"1000"))</f>
        <v>0</v>
      </c>
      <c r="AD79" s="38"/>
      <c r="AE79" s="38"/>
      <c r="AF79" s="38"/>
    </row>
    <row r="80" spans="1:32">
      <c r="A80" s="115">
        <v>745</v>
      </c>
      <c r="B80" s="111" t="str">
        <f>_xlfn.XLOOKUP(A80,Prices[Item '#],Prices[Description])</f>
        <v>PEDESTRIAN BUS SHELTER</v>
      </c>
      <c r="C80" s="111" t="str">
        <f>_xlfn.XLOOKUP($A80,Prices[Item '#],Prices[Units])</f>
        <v>EA</v>
      </c>
      <c r="D80" s="112">
        <f ca="1">_xlfn.IFNA(_xlfn.XLOOKUP(A80,PullFromCalcs[Item],PullFromCalcs[Quantity]),"-")</f>
        <v>0</v>
      </c>
      <c r="E80" s="114">
        <f t="shared" ca="1" si="5"/>
        <v>51667</v>
      </c>
      <c r="F80" s="114">
        <f ca="1">_xlfn.IFNA(_xlfn.XLOOKUP(A80,PullFromCalcs[Item],PullFromCalcs[Price]),0)</f>
        <v>0</v>
      </c>
      <c r="G80" s="584" t="str">
        <f>_xlfn.XLOOKUP(A80,PullFromCalcs[Item],PullFromCalcs[Sheet],"MiscItems")</f>
        <v>AMENITIES</v>
      </c>
      <c r="H80" s="113" t="e" cm="1">
        <f t="array" ref="H80">_xlfn.XLOOKUP($A80&amp;BasicProjectData!$G$18,Prices[Item '#]&amp;Prices[Location],Prices[Mean Price])</f>
        <v>#N/A</v>
      </c>
      <c r="I80" s="113" cm="1">
        <f t="array" ref="I80">_xlfn.XLOOKUP($A80&amp;"All Districts",Prices[Item '#]&amp;Prices[Location],Prices[Mean Price])</f>
        <v>51666.67</v>
      </c>
      <c r="J80">
        <f t="shared" ca="1" si="6"/>
        <v>0</v>
      </c>
      <c r="K80" t="str">
        <f ca="1">IF(AND(_xlfn.IFNA(Output[[#This Row],[Mean Unit Price State]],0)=0,Output[[#This Row],[Price Override?]]=0),"CHECK","")</f>
        <v/>
      </c>
      <c r="Y80" s="157">
        <v>707.9</v>
      </c>
      <c r="Z80" s="38" t="s">
        <v>3715</v>
      </c>
      <c r="AA80" s="38" cm="1">
        <f t="array" aca="1" ref="AA80" ca="1">_xlfn.XLOOKUP($Y80,INDIRECT("'"&amp;$Z80&amp;"'!C1:C1000"),INDIRECT("'"&amp;$Z80&amp;"'!"&amp;AA$8&amp;"1:"&amp;AA$8&amp;"1000"))</f>
        <v>0</v>
      </c>
      <c r="AB80" s="38" cm="1">
        <f t="array" aca="1" ref="AB80" ca="1">_xlfn.XLOOKUP($Y80,INDIRECT("'"&amp;$Z80&amp;"'!C1:C1000"),INDIRECT("'"&amp;$Z80&amp;"'!"&amp;AB$8&amp;"1:"&amp;AB$8&amp;"1000"))</f>
        <v>0</v>
      </c>
      <c r="AC80" s="506" cm="1">
        <f t="array" aca="1" ref="AC80" ca="1">_xlfn.XLOOKUP($Y80,INDIRECT("'"&amp;$Z80&amp;"'!C1:C1000"),INDIRECT("'"&amp;$Z80&amp;"'!"&amp;AC$8&amp;"1:"&amp;AC$8&amp;"1000"))</f>
        <v>0</v>
      </c>
      <c r="AD80" s="38"/>
      <c r="AE80" s="38"/>
      <c r="AF80" s="38"/>
    </row>
    <row r="81" spans="1:32">
      <c r="A81" s="115">
        <v>751</v>
      </c>
      <c r="B81" s="111" t="str">
        <f>_xlfn.XLOOKUP(A81,Prices[Item '#],Prices[Description])</f>
        <v>LOAM FOR ROADSIDES</v>
      </c>
      <c r="C81" s="111" t="str">
        <f>_xlfn.XLOOKUP($A81,Prices[Item '#],Prices[Units])</f>
        <v>CY</v>
      </c>
      <c r="D81" s="112">
        <f ca="1">_xlfn.IFNA(_xlfn.XLOOKUP(A81,PullFromCalcs[Item],PullFromCalcs[Quantity]),"-")</f>
        <v>0</v>
      </c>
      <c r="E81" s="114">
        <f t="shared" ca="1" si="5"/>
        <v>89</v>
      </c>
      <c r="F81" s="114">
        <f ca="1">_xlfn.IFNA(_xlfn.XLOOKUP(A81,PullFromCalcs[Item],PullFromCalcs[Price]),0)</f>
        <v>0</v>
      </c>
      <c r="G81" s="584" t="str">
        <f>_xlfn.XLOOKUP(A81,PullFromCalcs[Item],PullFromCalcs[Sheet],"MiscItems")</f>
        <v>CIVIL</v>
      </c>
      <c r="H81" s="113" t="e" cm="1">
        <f t="array" ref="H81">_xlfn.XLOOKUP($A81&amp;BasicProjectData!$G$18,Prices[Item '#]&amp;Prices[Location],Prices[Mean Price])</f>
        <v>#N/A</v>
      </c>
      <c r="I81" s="113" cm="1">
        <f t="array" ref="I81">_xlfn.XLOOKUP($A81&amp;"All Districts",Prices[Item '#]&amp;Prices[Location],Prices[Mean Price])</f>
        <v>88.37</v>
      </c>
      <c r="J81">
        <f t="shared" ca="1" si="6"/>
        <v>0</v>
      </c>
      <c r="K81" t="str">
        <f ca="1">IF(AND(_xlfn.IFNA(Output[[#This Row],[Mean Unit Price State]],0)=0,Output[[#This Row],[Price Override?]]=0),"CHECK","")</f>
        <v/>
      </c>
      <c r="Y81" s="157">
        <v>745</v>
      </c>
      <c r="Z81" s="38" t="s">
        <v>3715</v>
      </c>
      <c r="AA81" s="38" cm="1">
        <f t="array" aca="1" ref="AA81" ca="1">_xlfn.XLOOKUP($Y81,INDIRECT("'"&amp;$Z81&amp;"'!C1:C1000"),INDIRECT("'"&amp;$Z81&amp;"'!"&amp;AA$8&amp;"1:"&amp;AA$8&amp;"1000"))</f>
        <v>0</v>
      </c>
      <c r="AB81" s="38" cm="1">
        <f t="array" aca="1" ref="AB81" ca="1">_xlfn.XLOOKUP($Y81,INDIRECT("'"&amp;$Z81&amp;"'!C1:C1000"),INDIRECT("'"&amp;$Z81&amp;"'!"&amp;AB$8&amp;"1:"&amp;AB$8&amp;"1000"))</f>
        <v>0</v>
      </c>
      <c r="AC81" s="506" cm="1">
        <f t="array" aca="1" ref="AC81" ca="1">_xlfn.XLOOKUP($Y81,INDIRECT("'"&amp;$Z81&amp;"'!C1:C1000"),INDIRECT("'"&amp;$Z81&amp;"'!"&amp;AC$8&amp;"1:"&amp;AC$8&amp;"1000"))</f>
        <v>0</v>
      </c>
      <c r="AD81" s="38"/>
      <c r="AE81" s="38"/>
      <c r="AF81" s="38"/>
    </row>
    <row r="82" spans="1:32">
      <c r="A82" s="115">
        <v>765</v>
      </c>
      <c r="B82" s="111" t="str">
        <f>_xlfn.XLOOKUP(A82,Prices[Item '#],Prices[Description])</f>
        <v>SEEDING</v>
      </c>
      <c r="C82" s="111" t="str">
        <f>_xlfn.XLOOKUP($A82,Prices[Item '#],Prices[Units])</f>
        <v>SY</v>
      </c>
      <c r="D82" s="112">
        <f ca="1">_xlfn.IFNA(_xlfn.XLOOKUP(A82,PullFromCalcs[Item],PullFromCalcs[Quantity]),"-")</f>
        <v>0</v>
      </c>
      <c r="E82" s="114">
        <f t="shared" ca="1" si="5"/>
        <v>4</v>
      </c>
      <c r="F82" s="114">
        <f ca="1">_xlfn.IFNA(_xlfn.XLOOKUP(A82,PullFromCalcs[Item],PullFromCalcs[Price]),0)</f>
        <v>0</v>
      </c>
      <c r="G82" s="584" t="str">
        <f>_xlfn.XLOOKUP(A82,PullFromCalcs[Item],PullFromCalcs[Sheet],"MiscItems")</f>
        <v>CIVIL</v>
      </c>
      <c r="H82" s="113" t="e" cm="1">
        <f t="array" ref="H82">_xlfn.XLOOKUP($A82&amp;BasicProjectData!$G$18,Prices[Item '#]&amp;Prices[Location],Prices[Mean Price])</f>
        <v>#N/A</v>
      </c>
      <c r="I82" s="113" cm="1">
        <f t="array" ref="I82">_xlfn.XLOOKUP($A82&amp;"All Districts",Prices[Item '#]&amp;Prices[Location],Prices[Mean Price])</f>
        <v>3.27</v>
      </c>
      <c r="J82">
        <f t="shared" ca="1" si="6"/>
        <v>0</v>
      </c>
      <c r="K82" t="str">
        <f ca="1">IF(AND(_xlfn.IFNA(Output[[#This Row],[Mean Unit Price State]],0)=0,Output[[#This Row],[Price Override?]]=0),"CHECK","")</f>
        <v/>
      </c>
      <c r="Y82" s="157">
        <v>151.19999999999999</v>
      </c>
      <c r="Z82" s="38" t="s">
        <v>1549</v>
      </c>
      <c r="AA82" s="38" cm="1">
        <f t="array" aca="1" ref="AA82" ca="1">_xlfn.XLOOKUP($Y82,INDIRECT("'"&amp;$Z82&amp;"'!C1:C1000"),INDIRECT("'"&amp;$Z82&amp;"'!"&amp;AA$8&amp;"1:"&amp;AA$8&amp;"1000"))</f>
        <v>0</v>
      </c>
      <c r="AB82" s="38" cm="1">
        <f t="array" aca="1" ref="AB82" ca="1">_xlfn.XLOOKUP($Y82,INDIRECT("'"&amp;$Z82&amp;"'!C1:C1000"),INDIRECT("'"&amp;$Z82&amp;"'!"&amp;AB$8&amp;"1:"&amp;AB$8&amp;"1000"))</f>
        <v>0</v>
      </c>
      <c r="AC82" s="506" cm="1">
        <f t="array" aca="1" ref="AC82" ca="1">_xlfn.XLOOKUP($Y82,INDIRECT("'"&amp;$Z82&amp;"'!C1:C1000"),INDIRECT("'"&amp;$Z82&amp;"'!"&amp;AC$8&amp;"1:"&amp;AC$8&amp;"1000"))</f>
        <v>0</v>
      </c>
      <c r="AD82" s="38"/>
      <c r="AE82" s="38"/>
      <c r="AF82" s="38"/>
    </row>
    <row r="83" spans="1:32">
      <c r="A83" s="35">
        <v>769</v>
      </c>
      <c r="B83" s="111" t="str">
        <f>_xlfn.XLOOKUP(A83,Prices[Item '#],Prices[Description])</f>
        <v>PAVEMENT MILLING MULCH UNDER GUARD RAIL</v>
      </c>
      <c r="C83" s="111" t="str">
        <f>_xlfn.XLOOKUP($A83,Prices[Item '#],Prices[Units])</f>
        <v>FT</v>
      </c>
      <c r="D83" s="112">
        <f ca="1">_xlfn.IFNA(_xlfn.XLOOKUP(A83,PullFromCalcs[Item],PullFromCalcs[Quantity]),"-")</f>
        <v>0</v>
      </c>
      <c r="E83" s="114">
        <f t="shared" ca="1" si="5"/>
        <v>12</v>
      </c>
      <c r="F83" s="114">
        <f ca="1">_xlfn.IFNA(_xlfn.XLOOKUP(A83,PullFromCalcs[Item],PullFromCalcs[Price]),0)</f>
        <v>0</v>
      </c>
      <c r="G83" s="584" t="str">
        <f>_xlfn.XLOOKUP(A83,PullFromCalcs[Item],PullFromCalcs[Sheet],"MiscItems")</f>
        <v>EDGING</v>
      </c>
      <c r="H83" s="113" t="e" cm="1">
        <f t="array" ref="H83">_xlfn.XLOOKUP($A83&amp;BasicProjectData!$G$18,Prices[Item '#]&amp;Prices[Location],Prices[Mean Price])</f>
        <v>#N/A</v>
      </c>
      <c r="I83" s="113" cm="1">
        <f t="array" ref="I83">_xlfn.XLOOKUP($A83&amp;"All Districts",Prices[Item '#]&amp;Prices[Location],Prices[Mean Price])</f>
        <v>11.03</v>
      </c>
      <c r="J83">
        <f t="shared" ca="1" si="6"/>
        <v>0</v>
      </c>
      <c r="K83" t="str">
        <f ca="1">IF(AND(_xlfn.IFNA(Output[[#This Row],[Mean Unit Price State]],0)=0,Output[[#This Row],[Price Override?]]=0),"CHECK","")</f>
        <v/>
      </c>
      <c r="Y83" s="157">
        <v>510</v>
      </c>
      <c r="Z83" s="38" t="s">
        <v>1548</v>
      </c>
      <c r="AA83" s="38" cm="1">
        <f t="array" aca="1" ref="AA83" ca="1">_xlfn.XLOOKUP($Y83,INDIRECT("'"&amp;$Z83&amp;"'!C1:C1000"),INDIRECT("'"&amp;$Z83&amp;"'!"&amp;AA$8&amp;"1:"&amp;AA$8&amp;"1000"))</f>
        <v>0</v>
      </c>
      <c r="AB83" s="38" cm="1">
        <f t="array" aca="1" ref="AB83" ca="1">_xlfn.XLOOKUP($Y83,INDIRECT("'"&amp;$Z83&amp;"'!C1:C1000"),INDIRECT("'"&amp;$Z83&amp;"'!"&amp;AB$8&amp;"1:"&amp;AB$8&amp;"1000"))</f>
        <v>0</v>
      </c>
      <c r="AC83" s="506" cm="1">
        <f t="array" aca="1" ref="AC83" ca="1">_xlfn.XLOOKUP($Y83,INDIRECT("'"&amp;$Z83&amp;"'!C1:C1000"),INDIRECT("'"&amp;$Z83&amp;"'!"&amp;AC$8&amp;"1:"&amp;AC$8&amp;"1000"))</f>
        <v>0</v>
      </c>
      <c r="AD83" s="38"/>
      <c r="AE83" s="38"/>
      <c r="AF83" s="38"/>
    </row>
    <row r="84" spans="1:32">
      <c r="A84" s="35">
        <v>804.2</v>
      </c>
      <c r="B84" s="111" t="str">
        <f>_xlfn.XLOOKUP(A84,Prices[Item '#],Prices[Description])</f>
        <v>2 INCH ELECTRICAL CONDUIT TYPE NM - PLASTIC (UL)</v>
      </c>
      <c r="C84" s="111" t="str">
        <f>_xlfn.XLOOKUP($A84,Prices[Item '#],Prices[Units])</f>
        <v>FT</v>
      </c>
      <c r="D84" s="112">
        <f ca="1">_xlfn.IFNA(_xlfn.XLOOKUP(A84,PullFromCalcs[Item],PullFromCalcs[Quantity]),"-")</f>
        <v>0</v>
      </c>
      <c r="E84" s="114">
        <f t="shared" ca="1" si="5"/>
        <v>48</v>
      </c>
      <c r="F84" s="114">
        <f ca="1">_xlfn.IFNA(_xlfn.XLOOKUP(A84,PullFromCalcs[Item],PullFromCalcs[Price]),0)</f>
        <v>0</v>
      </c>
      <c r="G84" s="584" t="str">
        <f>_xlfn.XLOOKUP(A84,PullFromCalcs[Item],PullFromCalcs[Sheet],"MiscItems")</f>
        <v>LIGHTING</v>
      </c>
      <c r="H84" s="113" t="e" cm="1">
        <f t="array" ref="H84">_xlfn.XLOOKUP($A84&amp;BasicProjectData!$G$18,Prices[Item '#]&amp;Prices[Location],Prices[Mean Price])</f>
        <v>#N/A</v>
      </c>
      <c r="I84" s="113" cm="1">
        <f t="array" ref="I84">_xlfn.XLOOKUP($A84&amp;"All Districts",Prices[Item '#]&amp;Prices[Location],Prices[Mean Price])</f>
        <v>47.56</v>
      </c>
      <c r="J84">
        <f t="shared" ca="1" si="6"/>
        <v>0</v>
      </c>
      <c r="K84" t="str">
        <f ca="1">IF(AND(_xlfn.IFNA(Output[[#This Row],[Mean Unit Price State]],0)=0,Output[[#This Row],[Price Override?]]=0),"CHECK","")</f>
        <v/>
      </c>
      <c r="Y84" s="157">
        <v>470</v>
      </c>
      <c r="Z84" s="38" t="s">
        <v>1548</v>
      </c>
      <c r="AA84" s="38" cm="1">
        <f t="array" aca="1" ref="AA84" ca="1">_xlfn.XLOOKUP($Y84,INDIRECT("'"&amp;$Z84&amp;"'!C1:C1000"),INDIRECT("'"&amp;$Z84&amp;"'!"&amp;AA$8&amp;"1:"&amp;AA$8&amp;"1000"))</f>
        <v>0</v>
      </c>
      <c r="AB84" s="38" cm="1">
        <f t="array" aca="1" ref="AB84" ca="1">_xlfn.XLOOKUP($Y84,INDIRECT("'"&amp;$Z84&amp;"'!C1:C1000"),INDIRECT("'"&amp;$Z84&amp;"'!"&amp;AB$8&amp;"1:"&amp;AB$8&amp;"1000"))</f>
        <v>0</v>
      </c>
      <c r="AC84" s="506" cm="1">
        <f t="array" aca="1" ref="AC84" ca="1">_xlfn.XLOOKUP($Y84,INDIRECT("'"&amp;$Z84&amp;"'!C1:C1000"),INDIRECT("'"&amp;$Z84&amp;"'!"&amp;AC$8&amp;"1:"&amp;AC$8&amp;"1000"))</f>
        <v>0</v>
      </c>
      <c r="AD84" s="38"/>
      <c r="AE84" s="38"/>
      <c r="AF84" s="38"/>
    </row>
    <row r="85" spans="1:32">
      <c r="A85" s="115">
        <v>804.3</v>
      </c>
      <c r="B85" s="111" t="str">
        <f>_xlfn.XLOOKUP(A85,Prices[Item '#],Prices[Description])</f>
        <v>3 INCH ELECTRICAL CONDUIT TYPE NM - PLASTIC -(UL)</v>
      </c>
      <c r="C85" s="111" t="str">
        <f>_xlfn.XLOOKUP($A85,Prices[Item '#],Prices[Units])</f>
        <v>FT</v>
      </c>
      <c r="D85" s="112">
        <f ca="1">_xlfn.IFNA(_xlfn.XLOOKUP(A85,PullFromCalcs[Item],PullFromCalcs[Quantity]),"-")</f>
        <v>0</v>
      </c>
      <c r="E85" s="114">
        <f t="shared" ca="1" si="5"/>
        <v>75</v>
      </c>
      <c r="F85" s="114">
        <f ca="1">_xlfn.IFNA(_xlfn.XLOOKUP(A85,PullFromCalcs[Item],PullFromCalcs[Price]),0)</f>
        <v>0</v>
      </c>
      <c r="G85" s="584">
        <f>_xlfn.XLOOKUP(A85,PullFromCalcs[Item],PullFromCalcs[Sheet],"MiscItems")</f>
        <v>0</v>
      </c>
      <c r="H85" s="113" t="e" cm="1">
        <f t="array" ref="H85">_xlfn.XLOOKUP($A85&amp;BasicProjectData!$G$18,Prices[Item '#]&amp;Prices[Location],Prices[Mean Price])</f>
        <v>#N/A</v>
      </c>
      <c r="I85" s="113" cm="1">
        <f t="array" ref="I85">_xlfn.XLOOKUP($A85&amp;"All Districts",Prices[Item '#]&amp;Prices[Location],Prices[Mean Price])</f>
        <v>74.930000000000007</v>
      </c>
      <c r="J85">
        <f t="shared" ca="1" si="6"/>
        <v>0</v>
      </c>
      <c r="K85" t="str">
        <f ca="1">IF(AND(_xlfn.IFNA(Output[[#This Row],[Mean Unit Price State]],0)=0,Output[[#This Row],[Price Override?]]=0),"CHECK","")</f>
        <v/>
      </c>
      <c r="Y85" s="157">
        <v>222.4</v>
      </c>
      <c r="Z85" s="38" t="s">
        <v>3715</v>
      </c>
      <c r="AA85" s="38" cm="1">
        <f t="array" aca="1" ref="AA85" ca="1">_xlfn.XLOOKUP($Y85,INDIRECT("'"&amp;$Z85&amp;"'!C1:C1000"),INDIRECT("'"&amp;$Z85&amp;"'!"&amp;AA$8&amp;"1:"&amp;AA$8&amp;"1000"))</f>
        <v>0</v>
      </c>
      <c r="AB85" s="38" cm="1">
        <f t="array" aca="1" ref="AB85" ca="1">_xlfn.XLOOKUP($Y85,INDIRECT("'"&amp;$Z85&amp;"'!C1:C1000"),INDIRECT("'"&amp;$Z85&amp;"'!"&amp;AB$8&amp;"1:"&amp;AB$8&amp;"1000"))</f>
        <v>0</v>
      </c>
      <c r="AC85" s="506" cm="1">
        <f t="array" aca="1" ref="AC85" ca="1">_xlfn.XLOOKUP($Y85,INDIRECT("'"&amp;$Z85&amp;"'!C1:C1000"),INDIRECT("'"&amp;$Z85&amp;"'!"&amp;AC$8&amp;"1:"&amp;AC$8&amp;"1000"))</f>
        <v>0</v>
      </c>
      <c r="AD85" s="38"/>
      <c r="AE85" s="38"/>
      <c r="AF85" s="38"/>
    </row>
    <row r="86" spans="1:32">
      <c r="A86" s="115">
        <v>811.22</v>
      </c>
      <c r="B86" s="111" t="str">
        <f>_xlfn.XLOOKUP(A86,Prices[Item '#],Prices[Description])</f>
        <v>ELECTRIC HANDHOLE - SD2.022</v>
      </c>
      <c r="C86" s="111" t="str">
        <f>_xlfn.XLOOKUP($A86,Prices[Item '#],Prices[Units])</f>
        <v>EA</v>
      </c>
      <c r="D86" s="112">
        <f ca="1">_xlfn.IFNA(_xlfn.XLOOKUP(A86,PullFromCalcs[Item],PullFromCalcs[Quantity]),"-")</f>
        <v>0</v>
      </c>
      <c r="E86" s="114">
        <f t="shared" ca="1" si="5"/>
        <v>1848</v>
      </c>
      <c r="F86" s="114">
        <f ca="1">_xlfn.IFNA(_xlfn.XLOOKUP(A86,PullFromCalcs[Item],PullFromCalcs[Price]),0)</f>
        <v>0</v>
      </c>
      <c r="G86" s="584">
        <f>_xlfn.XLOOKUP(A86,PullFromCalcs[Item],PullFromCalcs[Sheet],"MiscItems")</f>
        <v>0</v>
      </c>
      <c r="H86" s="113" t="e" cm="1">
        <f t="array" ref="H86">_xlfn.XLOOKUP($A86&amp;BasicProjectData!$G$18,Prices[Item '#]&amp;Prices[Location],Prices[Mean Price])</f>
        <v>#N/A</v>
      </c>
      <c r="I86" s="113" cm="1">
        <f t="array" ref="I86">_xlfn.XLOOKUP($A86&amp;"All Districts",Prices[Item '#]&amp;Prices[Location],Prices[Mean Price])</f>
        <v>1847.18</v>
      </c>
      <c r="J86">
        <f t="shared" ca="1" si="6"/>
        <v>0</v>
      </c>
      <c r="K86" t="str">
        <f ca="1">IF(AND(_xlfn.IFNA(Output[[#This Row],[Mean Unit Price State]],0)=0,Output[[#This Row],[Price Override?]]=0),"CHECK","")</f>
        <v/>
      </c>
      <c r="Y86" s="157">
        <v>863.1</v>
      </c>
      <c r="Z86" s="38" t="s">
        <v>1586</v>
      </c>
      <c r="AA86" s="38" cm="1">
        <f t="array" aca="1" ref="AA86" ca="1">_xlfn.XLOOKUP($Y86,INDIRECT("'"&amp;$Z86&amp;"'!C1:C1000"),INDIRECT("'"&amp;$Z86&amp;"'!"&amp;AA$8&amp;"1:"&amp;AA$8&amp;"1000"))</f>
        <v>0</v>
      </c>
      <c r="AB86" s="38" cm="1">
        <f t="array" aca="1" ref="AB86" ca="1">_xlfn.XLOOKUP($Y86,INDIRECT("'"&amp;$Z86&amp;"'!C1:C1000"),INDIRECT("'"&amp;$Z86&amp;"'!"&amp;AB$8&amp;"1:"&amp;AB$8&amp;"1000"))</f>
        <v>0</v>
      </c>
      <c r="AC86" s="506" cm="1">
        <f t="array" aca="1" ref="AC86" ca="1">_xlfn.XLOOKUP($Y86,INDIRECT("'"&amp;$Z86&amp;"'!C1:C1000"),INDIRECT("'"&amp;$Z86&amp;"'!"&amp;AC$8&amp;"1:"&amp;AC$8&amp;"1000"))</f>
        <v>0</v>
      </c>
      <c r="AD86" s="38"/>
      <c r="AE86" s="38"/>
      <c r="AF86" s="38"/>
    </row>
    <row r="87" spans="1:32">
      <c r="A87" s="115">
        <v>811.31</v>
      </c>
      <c r="B87" s="111" t="str">
        <f>_xlfn.XLOOKUP(A87,Prices[Item '#],Prices[Description])</f>
        <v>PULL BOX 12 X 12 INCHES - SD2.031</v>
      </c>
      <c r="C87" s="111" t="str">
        <f>_xlfn.XLOOKUP($A87,Prices[Item '#],Prices[Units])</f>
        <v>EA</v>
      </c>
      <c r="D87" s="112">
        <f ca="1">_xlfn.IFNA(_xlfn.XLOOKUP(A87,PullFromCalcs[Item],PullFromCalcs[Quantity]),"-")</f>
        <v>0</v>
      </c>
      <c r="E87" s="114">
        <f t="shared" ca="1" si="5"/>
        <v>1373</v>
      </c>
      <c r="F87" s="114">
        <f ca="1">_xlfn.IFNA(_xlfn.XLOOKUP(A87,PullFromCalcs[Item],PullFromCalcs[Price]),0)</f>
        <v>0</v>
      </c>
      <c r="G87" s="584" t="str">
        <f>_xlfn.XLOOKUP(A87,PullFromCalcs[Item],PullFromCalcs[Sheet],"MiscItems")</f>
        <v>TRAFFIC</v>
      </c>
      <c r="H87" s="113" t="e" cm="1">
        <f t="array" ref="H87">_xlfn.XLOOKUP($A87&amp;BasicProjectData!$G$18,Prices[Item '#]&amp;Prices[Location],Prices[Mean Price])</f>
        <v>#N/A</v>
      </c>
      <c r="I87" s="113" cm="1">
        <f t="array" ref="I87">_xlfn.XLOOKUP($A87&amp;"All Districts",Prices[Item '#]&amp;Prices[Location],Prices[Mean Price])</f>
        <v>1372.56</v>
      </c>
      <c r="J87">
        <f t="shared" ca="1" si="6"/>
        <v>0</v>
      </c>
      <c r="K87" t="str">
        <f ca="1">IF(AND(_xlfn.IFNA(Output[[#This Row],[Mean Unit Price State]],0)=0,Output[[#This Row],[Price Override?]]=0),"CHECK","")</f>
        <v/>
      </c>
      <c r="Y87" s="157"/>
      <c r="Z87" s="38"/>
      <c r="AA87" s="38"/>
      <c r="AB87" s="38"/>
      <c r="AC87" s="506"/>
      <c r="AD87" s="38"/>
      <c r="AE87" s="38"/>
      <c r="AF87" s="38"/>
    </row>
    <row r="88" spans="1:32">
      <c r="A88" s="35">
        <v>812.09</v>
      </c>
      <c r="B88" s="111" t="str">
        <f>_xlfn.XLOOKUP(A88,Prices[Item '#],Prices[Description])</f>
        <v>LIGHT STANDARD FOUNDATION PRECAST</v>
      </c>
      <c r="C88" s="111" t="str">
        <f>_xlfn.XLOOKUP($A88,Prices[Item '#],Prices[Units])</f>
        <v>EA</v>
      </c>
      <c r="D88" s="112">
        <f ca="1">_xlfn.IFNA(_xlfn.XLOOKUP(A88,PullFromCalcs[Item],PullFromCalcs[Quantity]),"-")</f>
        <v>0</v>
      </c>
      <c r="E88" s="114">
        <f t="shared" ca="1" si="5"/>
        <v>2723</v>
      </c>
      <c r="F88" s="114">
        <f ca="1">_xlfn.IFNA(_xlfn.XLOOKUP(A88,PullFromCalcs[Item],PullFromCalcs[Price]),0)</f>
        <v>0</v>
      </c>
      <c r="G88" s="584" t="str">
        <f>_xlfn.XLOOKUP(A88,PullFromCalcs[Item],PullFromCalcs[Sheet],"MiscItems")</f>
        <v>LIGHTING</v>
      </c>
      <c r="H88" s="113" t="e" cm="1">
        <f t="array" ref="H88">_xlfn.XLOOKUP($A88&amp;BasicProjectData!$G$18,Prices[Item '#]&amp;Prices[Location],Prices[Mean Price])</f>
        <v>#N/A</v>
      </c>
      <c r="I88" s="113" cm="1">
        <f t="array" ref="I88">_xlfn.XLOOKUP($A88&amp;"All Districts",Prices[Item '#]&amp;Prices[Location],Prices[Mean Price])</f>
        <v>2722.26</v>
      </c>
      <c r="J88">
        <f t="shared" ca="1" si="6"/>
        <v>0</v>
      </c>
      <c r="K88" t="str">
        <f ca="1">IF(AND(_xlfn.IFNA(Output[[#This Row],[Mean Unit Price State]],0)=0,Output[[#This Row],[Price Override?]]=0),"CHECK","")</f>
        <v/>
      </c>
      <c r="Y88" s="157">
        <v>241.12</v>
      </c>
      <c r="Z88" s="38" t="s">
        <v>1549</v>
      </c>
      <c r="AA88" s="38" cm="1">
        <f t="array" aca="1" ref="AA88" ca="1">_xlfn.XLOOKUP($Y88,INDIRECT("'"&amp;$Z88&amp;"'!C1:C1000"),INDIRECT("'"&amp;$Z88&amp;"'!"&amp;AA$8&amp;"1:"&amp;AA$8&amp;"1000"))</f>
        <v>0</v>
      </c>
      <c r="AB88" s="38" cm="1">
        <f t="array" aca="1" ref="AB88" ca="1">_xlfn.XLOOKUP($Y88,INDIRECT("'"&amp;$Z88&amp;"'!C1:C1000"),INDIRECT("'"&amp;$Z88&amp;"'!"&amp;AB$8&amp;"1:"&amp;AB$8&amp;"1000"))</f>
        <v>0</v>
      </c>
      <c r="AC88" s="505" cm="1">
        <f t="array" aca="1" ref="AC88" ca="1">_xlfn.XLOOKUP($Y88,INDIRECT("'"&amp;$Z88&amp;"'!C1:C1000"),INDIRECT("'"&amp;$Z88&amp;"'!"&amp;AC$8&amp;"1:"&amp;AC$8&amp;"1000"))</f>
        <v>0</v>
      </c>
      <c r="AD88" s="38"/>
      <c r="AE88" s="38"/>
      <c r="AF88" s="38"/>
    </row>
    <row r="89" spans="1:32">
      <c r="A89" s="35">
        <v>813.4</v>
      </c>
      <c r="B89" s="111" t="str">
        <f>_xlfn.XLOOKUP(A89,Prices[Item '#],Prices[Description])</f>
        <v>WIRE TYPE 8 NO. 10 DIRECT BURIAL</v>
      </c>
      <c r="C89" s="111" t="str">
        <f>_xlfn.XLOOKUP($A89,Prices[Item '#],Prices[Units])</f>
        <v>FT</v>
      </c>
      <c r="D89" s="112">
        <f ca="1">_xlfn.IFNA(_xlfn.XLOOKUP(A89,PullFromCalcs[Item],PullFromCalcs[Quantity]),"-")</f>
        <v>0</v>
      </c>
      <c r="E89" s="114">
        <f t="shared" ca="1" si="5"/>
        <v>2</v>
      </c>
      <c r="F89" s="114">
        <f ca="1">_xlfn.IFNA(_xlfn.XLOOKUP(A89,PullFromCalcs[Item],PullFromCalcs[Price]),0)</f>
        <v>0</v>
      </c>
      <c r="G89" s="584" t="str">
        <f>_xlfn.XLOOKUP(A89,PullFromCalcs[Item],PullFromCalcs[Sheet],"MiscItems")</f>
        <v>LIGHTING</v>
      </c>
      <c r="H89" s="113" t="e" cm="1">
        <f t="array" ref="H89">_xlfn.XLOOKUP($A89&amp;BasicProjectData!$G$18,Prices[Item '#]&amp;Prices[Location],Prices[Mean Price])</f>
        <v>#N/A</v>
      </c>
      <c r="I89" s="113" cm="1">
        <f t="array" ref="I89">_xlfn.XLOOKUP($A89&amp;"All Districts",Prices[Item '#]&amp;Prices[Location],Prices[Mean Price])</f>
        <v>2</v>
      </c>
      <c r="J89">
        <f t="shared" ca="1" si="6"/>
        <v>0</v>
      </c>
      <c r="K89" t="str">
        <f ca="1">IF(AND(_xlfn.IFNA(Output[[#This Row],[Mean Unit Price State]],0)=0,Output[[#This Row],[Price Override?]]=0),"CHECK","")</f>
        <v/>
      </c>
      <c r="Y89" s="157">
        <v>697.1</v>
      </c>
      <c r="Z89" s="38" t="s">
        <v>1549</v>
      </c>
      <c r="AA89" s="38" cm="1">
        <f t="array" aca="1" ref="AA89" ca="1">_xlfn.XLOOKUP($Y89,INDIRECT("'"&amp;$Z89&amp;"'!C1:C1000"),INDIRECT("'"&amp;$Z89&amp;"'!"&amp;AA$8&amp;"1:"&amp;AA$8&amp;"1000"))</f>
        <v>0</v>
      </c>
      <c r="AB89" s="38" cm="1">
        <f t="array" aca="1" ref="AB89" ca="1">_xlfn.XLOOKUP($Y89,INDIRECT("'"&amp;$Z89&amp;"'!C1:C1000"),INDIRECT("'"&amp;$Z89&amp;"'!"&amp;AB$8&amp;"1:"&amp;AB$8&amp;"1000"))</f>
        <v>0</v>
      </c>
      <c r="AC89" s="505" cm="1">
        <f t="array" aca="1" ref="AC89" ca="1">_xlfn.XLOOKUP($Y89,INDIRECT("'"&amp;$Z89&amp;"'!C1:C1000"),INDIRECT("'"&amp;$Z89&amp;"'!"&amp;AC$8&amp;"1:"&amp;AC$8&amp;"1000"))</f>
        <v>0</v>
      </c>
      <c r="AD89" s="38"/>
      <c r="AE89" s="38"/>
      <c r="AF89" s="38"/>
    </row>
    <row r="90" spans="1:32">
      <c r="A90" s="35">
        <v>813.43</v>
      </c>
      <c r="B90" s="111" t="s">
        <v>3913</v>
      </c>
      <c r="C90" s="111" t="s">
        <v>17</v>
      </c>
      <c r="D90" s="112">
        <f ca="1">_xlfn.IFNA(_xlfn.XLOOKUP(A90,PullFromCalcs[Item],PullFromCalcs[Quantity]),"-")</f>
        <v>0</v>
      </c>
      <c r="E90" s="114">
        <f t="shared" si="5"/>
        <v>4</v>
      </c>
      <c r="F90" s="114">
        <f ca="1">_xlfn.IFNA(_xlfn.XLOOKUP(A90,PullFromCalcs[Item],PullFromCalcs[Price]),0)</f>
        <v>0</v>
      </c>
      <c r="G90" s="584" t="str">
        <f>_xlfn.XLOOKUP(A90,PullFromCalcs[Item],PullFromCalcs[Sheet],"MiscItems")</f>
        <v>LIGHTING</v>
      </c>
      <c r="H90" s="113" t="e" cm="1">
        <f t="array" ref="H90">_xlfn.XLOOKUP($A90&amp;BasicProjectData!$G$18,Prices[Item '#]&amp;Prices[Location],Prices[Mean Price])</f>
        <v>#N/A</v>
      </c>
      <c r="I90" s="113" cm="1">
        <f t="array" ref="I90">_xlfn.XLOOKUP($A90&amp;"All Districts",Prices[Item '#]&amp;Prices[Location],Prices[Mean Price])</f>
        <v>3.37</v>
      </c>
      <c r="J90">
        <v>0</v>
      </c>
      <c r="K90" t="str">
        <f>IF(AND(_xlfn.IFNA(Output[[#This Row],[Mean Unit Price State]],0)=0,Output[[#This Row],[Price Override?]]=0),"CHECK","")</f>
        <v/>
      </c>
      <c r="Y90" s="157">
        <v>804.3</v>
      </c>
      <c r="Z90" s="38" t="s">
        <v>1550</v>
      </c>
      <c r="AA90" s="38" cm="1">
        <f t="array" aca="1" ref="AA90" ca="1">_xlfn.XLOOKUP($Y90,INDIRECT("'"&amp;$Z90&amp;"'!C1:C1000"),INDIRECT("'"&amp;$Z90&amp;"'!"&amp;AA$8&amp;"1:"&amp;AA$8&amp;"1000"))</f>
        <v>0</v>
      </c>
      <c r="AB90" s="38" cm="1">
        <f t="array" aca="1" ref="AB90" ca="1">_xlfn.XLOOKUP($Y90,INDIRECT("'"&amp;$Z90&amp;"'!C1:C1000"),INDIRECT("'"&amp;$Z90&amp;"'!"&amp;AB$8&amp;"1:"&amp;AB$8&amp;"1000"))</f>
        <v>0</v>
      </c>
      <c r="AC90" s="505" cm="1">
        <f t="array" aca="1" ref="AC90" ca="1">_xlfn.XLOOKUP($Y90,INDIRECT("'"&amp;$Z90&amp;"'!C1:C1000"),INDIRECT("'"&amp;$Z90&amp;"'!"&amp;AC$8&amp;"1:"&amp;AC$8&amp;"1000"))</f>
        <v>0</v>
      </c>
      <c r="AD90" s="38"/>
      <c r="AE90" s="38"/>
      <c r="AF90" s="38"/>
    </row>
    <row r="91" spans="1:32">
      <c r="A91" s="35">
        <v>813.52</v>
      </c>
      <c r="B91" s="111" t="str">
        <f>_xlfn.XLOOKUP(A91,Prices[Item '#],Prices[Description])</f>
        <v>WIRE TYPE 10 - #8 GROUNDING AND BONDING</v>
      </c>
      <c r="C91" s="111" t="str">
        <f>_xlfn.XLOOKUP($A91,Prices[Item '#],Prices[Units])</f>
        <v>FT</v>
      </c>
      <c r="D91" s="112">
        <f ca="1">_xlfn.IFNA(_xlfn.XLOOKUP(A91,PullFromCalcs[Item],PullFromCalcs[Quantity]),"-")</f>
        <v>0</v>
      </c>
      <c r="E91" s="114">
        <f t="shared" si="5"/>
        <v>3</v>
      </c>
      <c r="F91" s="114">
        <f ca="1">_xlfn.IFNA(_xlfn.XLOOKUP(A91,PullFromCalcs[Item],PullFromCalcs[Price]),0)</f>
        <v>0</v>
      </c>
      <c r="G91" s="584" t="str">
        <f>_xlfn.XLOOKUP(A91,PullFromCalcs[Item],PullFromCalcs[Sheet],"MiscItems")</f>
        <v>LIGHTING</v>
      </c>
      <c r="H91" s="113" t="e" cm="1">
        <f t="array" ref="H91">_xlfn.XLOOKUP($A91&amp;BasicProjectData!$G$18,Prices[Item '#]&amp;Prices[Location],Prices[Mean Price])</f>
        <v>#N/A</v>
      </c>
      <c r="I91" s="113" cm="1">
        <f t="array" ref="I91">_xlfn.XLOOKUP($A91&amp;"All Districts",Prices[Item '#]&amp;Prices[Location],Prices[Mean Price])</f>
        <v>4.63</v>
      </c>
      <c r="J91">
        <v>3</v>
      </c>
      <c r="K91" t="str">
        <f>IF(AND(_xlfn.IFNA(Output[[#This Row],[Mean Unit Price State]],0)=0,Output[[#This Row],[Price Override?]]=0),"CHECK","")</f>
        <v/>
      </c>
      <c r="Y91" s="157">
        <v>811.22</v>
      </c>
      <c r="Z91" s="38" t="s">
        <v>1586</v>
      </c>
      <c r="AA91" s="38" cm="1">
        <f t="array" aca="1" ref="AA91" ca="1">_xlfn.XLOOKUP($Y91,INDIRECT("'"&amp;$Z91&amp;"'!C1:C1000"),INDIRECT("'"&amp;$Z91&amp;"'!"&amp;AA$8&amp;"1:"&amp;AA$8&amp;"1000"))</f>
        <v>0</v>
      </c>
      <c r="AB91" s="38" cm="1">
        <f t="array" aca="1" ref="AB91" ca="1">_xlfn.XLOOKUP($Y91,INDIRECT("'"&amp;$Z91&amp;"'!C1:C1000"),INDIRECT("'"&amp;$Z91&amp;"'!"&amp;AB$8&amp;"1:"&amp;AB$8&amp;"1000"))</f>
        <v>0</v>
      </c>
      <c r="AC91" s="505" cm="1">
        <f t="array" aca="1" ref="AC91" ca="1">_xlfn.XLOOKUP($Y91,INDIRECT("'"&amp;$Z91&amp;"'!C1:C1000"),INDIRECT("'"&amp;$Z91&amp;"'!"&amp;AC$8&amp;"1:"&amp;AC$8&amp;"1000"))</f>
        <v>0</v>
      </c>
      <c r="AD91" s="38"/>
      <c r="AE91" s="38"/>
      <c r="AF91" s="38"/>
    </row>
    <row r="92" spans="1:32" ht="15" customHeight="1">
      <c r="A92" s="35">
        <v>813.72</v>
      </c>
      <c r="B92" s="111" t="str">
        <f>_xlfn.XLOOKUP(A92,Prices[Item '#],Prices[Description])</f>
        <v>GROUND ROD 10 FEET LONG</v>
      </c>
      <c r="C92" s="111" t="str">
        <f>_xlfn.XLOOKUP($A92,Prices[Item '#],Prices[Units])</f>
        <v>EA</v>
      </c>
      <c r="D92" s="112">
        <f ca="1">_xlfn.IFNA(_xlfn.XLOOKUP(A92,PullFromCalcs[Item],PullFromCalcs[Quantity]),"-")</f>
        <v>0</v>
      </c>
      <c r="E92" s="114">
        <f t="shared" ca="1" si="5"/>
        <v>328</v>
      </c>
      <c r="F92" s="114">
        <f ca="1">_xlfn.IFNA(_xlfn.XLOOKUP(A92,PullFromCalcs[Item],PullFromCalcs[Price]),0)</f>
        <v>0</v>
      </c>
      <c r="G92" s="584" t="str">
        <f>_xlfn.XLOOKUP(A92,PullFromCalcs[Item],PullFromCalcs[Sheet],"MiscItems")</f>
        <v>LIGHTING</v>
      </c>
      <c r="H92" s="113" t="e" cm="1">
        <f t="array" ref="H92">_xlfn.XLOOKUP($A92&amp;BasicProjectData!$G$18,Prices[Item '#]&amp;Prices[Location],Prices[Mean Price])</f>
        <v>#N/A</v>
      </c>
      <c r="I92" s="113" cm="1">
        <f t="array" ref="I92">_xlfn.XLOOKUP($A92&amp;"All Districts",Prices[Item '#]&amp;Prices[Location],Prices[Mean Price])</f>
        <v>327.14</v>
      </c>
      <c r="J92">
        <f t="shared" ref="J92:J100" ca="1" si="7">_xlfn.XLOOKUP(A92,$Y$10:$Y$165,$AB$10:$AB$165)</f>
        <v>0</v>
      </c>
      <c r="K92" t="str">
        <f ca="1">IF(AND(_xlfn.IFNA(Output[[#This Row],[Mean Unit Price State]],0)=0,Output[[#This Row],[Price Override?]]=0),"CHECK","")</f>
        <v/>
      </c>
      <c r="Y92" s="157">
        <v>812.09</v>
      </c>
      <c r="Z92" s="38" t="s">
        <v>1550</v>
      </c>
      <c r="AA92" s="38" cm="1">
        <f t="array" aca="1" ref="AA92" ca="1">_xlfn.XLOOKUP($Y92,INDIRECT("'"&amp;$Z92&amp;"'!C1:C1000"),INDIRECT("'"&amp;$Z92&amp;"'!"&amp;AA$8&amp;"1:"&amp;AA$8&amp;"1000"))</f>
        <v>0</v>
      </c>
      <c r="AB92" s="38" cm="1">
        <f t="array" aca="1" ref="AB92" ca="1">_xlfn.XLOOKUP($Y92,INDIRECT("'"&amp;$Z92&amp;"'!C1:C1000"),INDIRECT("'"&amp;$Z92&amp;"'!"&amp;AB$8&amp;"1:"&amp;AB$8&amp;"1000"))</f>
        <v>0</v>
      </c>
      <c r="AC92" s="505" cm="1">
        <f t="array" aca="1" ref="AC92" ca="1">_xlfn.XLOOKUP($Y92,INDIRECT("'"&amp;$Z92&amp;"'!C1:C1000"),INDIRECT("'"&amp;$Z92&amp;"'!"&amp;AC$8&amp;"1:"&amp;AC$8&amp;"1000"))</f>
        <v>0</v>
      </c>
      <c r="AD92" s="38"/>
      <c r="AE92" s="38"/>
      <c r="AF92" s="38"/>
    </row>
    <row r="93" spans="1:32">
      <c r="A93" s="115">
        <v>815.01</v>
      </c>
      <c r="B93" s="686" t="s">
        <v>3721</v>
      </c>
      <c r="C93" s="111" t="s">
        <v>22</v>
      </c>
      <c r="D93" s="112" t="str">
        <f ca="1">_xlfn.IFNA(_xlfn.XLOOKUP(A93,PullFromCalcs[Item],PullFromCalcs[Quantity]),"-")</f>
        <v>-</v>
      </c>
      <c r="E93" s="114" t="e">
        <f t="shared" ca="1" si="5"/>
        <v>#N/A</v>
      </c>
      <c r="F93" s="114">
        <f ca="1">_xlfn.IFNA(_xlfn.XLOOKUP(A93,PullFromCalcs[Item],PullFromCalcs[Price]),0)</f>
        <v>0</v>
      </c>
      <c r="G93" s="584" t="str">
        <f>_xlfn.XLOOKUP(A93,PullFromCalcs[Item],PullFromCalcs[Sheet],"MiscItems")</f>
        <v>SIGNAL</v>
      </c>
      <c r="H93" s="113" t="e" cm="1">
        <f t="array" ref="H93">_xlfn.XLOOKUP($A93&amp;BasicProjectData!$G$18,Prices[Item '#]&amp;Prices[Location],Prices[Mean Price])</f>
        <v>#N/A</v>
      </c>
      <c r="I93" s="1134" t="e" cm="1">
        <f t="array" ref="I93">_xlfn.XLOOKUP($A93&amp;"All Districts",Prices[Item '#]&amp;Prices[Location],Prices[Mean Price])</f>
        <v>#N/A</v>
      </c>
      <c r="J93" s="1135" t="e">
        <f t="shared" ca="1" si="7"/>
        <v>#N/A</v>
      </c>
      <c r="K93" s="1135" t="e">
        <f ca="1">IF(AND(_xlfn.IFNA(Output[[#This Row],[Mean Unit Price State]],0)=0,Output[[#This Row],[Price Override?]]=0),"CHECK","")</f>
        <v>#N/A</v>
      </c>
      <c r="Y93" s="157">
        <v>813.4</v>
      </c>
      <c r="Z93" s="38" t="s">
        <v>1550</v>
      </c>
      <c r="AA93" s="38" cm="1">
        <f t="array" aca="1" ref="AA93" ca="1">_xlfn.XLOOKUP($Y93,INDIRECT("'"&amp;$Z93&amp;"'!C1:C1000"),INDIRECT("'"&amp;$Z93&amp;"'!"&amp;AA$8&amp;"1:"&amp;AA$8&amp;"1000"))</f>
        <v>0</v>
      </c>
      <c r="AB93" s="38" cm="1">
        <f t="array" aca="1" ref="AB93" ca="1">_xlfn.XLOOKUP($Y93,INDIRECT("'"&amp;$Z93&amp;"'!C1:C1000"),INDIRECT("'"&amp;$Z93&amp;"'!"&amp;AB$8&amp;"1:"&amp;AB$8&amp;"1000"))</f>
        <v>0</v>
      </c>
      <c r="AC93" s="506" cm="1">
        <f t="array" aca="1" ref="AC93" ca="1">_xlfn.XLOOKUP($Y93,INDIRECT("'"&amp;$Z93&amp;"'!C1:C1000"),INDIRECT("'"&amp;$Z93&amp;"'!"&amp;AC$8&amp;"1:"&amp;AC$8&amp;"1000"))</f>
        <v>0</v>
      </c>
      <c r="AD93" s="38"/>
      <c r="AE93" s="38"/>
      <c r="AF93" s="38"/>
    </row>
    <row r="94" spans="1:32" ht="12.75" customHeight="1">
      <c r="A94" s="115">
        <v>815.02</v>
      </c>
      <c r="B94" s="686" t="s">
        <v>3722</v>
      </c>
      <c r="C94" s="111" t="s">
        <v>22</v>
      </c>
      <c r="D94" s="112" t="str">
        <f ca="1">_xlfn.IFNA(_xlfn.XLOOKUP(A94,PullFromCalcs[Item],PullFromCalcs[Quantity]),"-")</f>
        <v>-</v>
      </c>
      <c r="E94" s="114" t="e">
        <f t="shared" ca="1" si="5"/>
        <v>#N/A</v>
      </c>
      <c r="F94" s="114">
        <f ca="1">_xlfn.IFNA(_xlfn.XLOOKUP(A94,PullFromCalcs[Item],PullFromCalcs[Price]),0)</f>
        <v>0</v>
      </c>
      <c r="G94" s="584" t="str">
        <f>_xlfn.XLOOKUP(A94,PullFromCalcs[Item],PullFromCalcs[Sheet],"MiscItems")</f>
        <v>SIGNAL</v>
      </c>
      <c r="H94" s="113" t="e" cm="1">
        <f t="array" ref="H94">_xlfn.XLOOKUP($A94&amp;BasicProjectData!$G$18,Prices[Item '#]&amp;Prices[Location],Prices[Mean Price])</f>
        <v>#N/A</v>
      </c>
      <c r="I94" s="1134" t="e" cm="1">
        <f t="array" ref="I94">_xlfn.XLOOKUP($A94&amp;"All Districts",Prices[Item '#]&amp;Prices[Location],Prices[Mean Price])</f>
        <v>#N/A</v>
      </c>
      <c r="J94" s="1135" t="e">
        <f t="shared" ca="1" si="7"/>
        <v>#N/A</v>
      </c>
      <c r="K94" s="1135" t="e">
        <f ca="1">IF(AND(_xlfn.IFNA(Output[[#This Row],[Mean Unit Price State]],0)=0,Output[[#This Row],[Price Override?]]=0),"CHECK","")</f>
        <v>#N/A</v>
      </c>
      <c r="Y94" s="157">
        <v>813.43</v>
      </c>
      <c r="Z94" s="38" t="s">
        <v>1550</v>
      </c>
      <c r="AA94" s="38" cm="1">
        <f t="array" aca="1" ref="AA94" ca="1">_xlfn.XLOOKUP($Y94,INDIRECT("'"&amp;$Z94&amp;"'!C1:C1000"),INDIRECT("'"&amp;$Z94&amp;"'!"&amp;AA$8&amp;"1:"&amp;AA$8&amp;"1000"))</f>
        <v>0</v>
      </c>
      <c r="AB94" s="38" cm="1">
        <f t="array" aca="1" ref="AB94" ca="1">_xlfn.XLOOKUP($Y94,INDIRECT("'"&amp;$Z94&amp;"'!C1:C1000"),INDIRECT("'"&amp;$Z94&amp;"'!"&amp;AB$8&amp;"1:"&amp;AB$8&amp;"1000"))</f>
        <v>0</v>
      </c>
      <c r="AC94" s="505" cm="1">
        <f t="array" aca="1" ref="AC94" ca="1">_xlfn.XLOOKUP($Y94,INDIRECT("'"&amp;$Z94&amp;"'!C1:C1000"),INDIRECT("'"&amp;$Z94&amp;"'!"&amp;AC$8&amp;"1:"&amp;AC$8&amp;"1000"))</f>
        <v>0</v>
      </c>
      <c r="AD94" s="38"/>
      <c r="AE94" s="38"/>
      <c r="AF94" s="38"/>
    </row>
    <row r="95" spans="1:32" ht="12.75" customHeight="1">
      <c r="A95" s="115">
        <v>815.03</v>
      </c>
      <c r="B95" s="686" t="s">
        <v>3723</v>
      </c>
      <c r="C95" s="111" t="s">
        <v>22</v>
      </c>
      <c r="D95" s="112" t="str">
        <f ca="1">_xlfn.IFNA(_xlfn.XLOOKUP(A95,PullFromCalcs[Item],PullFromCalcs[Quantity]),"-")</f>
        <v>-</v>
      </c>
      <c r="E95" s="114" t="e">
        <f t="shared" ca="1" si="5"/>
        <v>#N/A</v>
      </c>
      <c r="F95" s="114">
        <f ca="1">_xlfn.IFNA(_xlfn.XLOOKUP(A95,PullFromCalcs[Item],PullFromCalcs[Price]),0)</f>
        <v>0</v>
      </c>
      <c r="G95" s="584" t="str">
        <f>_xlfn.XLOOKUP(A95,PullFromCalcs[Item],PullFromCalcs[Sheet],"MiscItems")</f>
        <v>SIGNAL</v>
      </c>
      <c r="H95" s="113" t="e" cm="1">
        <f t="array" ref="H95">_xlfn.XLOOKUP($A95&amp;BasicProjectData!$G$18,Prices[Item '#]&amp;Prices[Location],Prices[Mean Price])</f>
        <v>#N/A</v>
      </c>
      <c r="I95" s="1134" t="e" cm="1">
        <f t="array" ref="I95">_xlfn.XLOOKUP($A95&amp;"All Districts",Prices[Item '#]&amp;Prices[Location],Prices[Mean Price])</f>
        <v>#N/A</v>
      </c>
      <c r="J95" s="1135" t="e">
        <f t="shared" ca="1" si="7"/>
        <v>#N/A</v>
      </c>
      <c r="K95" s="1135" t="e">
        <f ca="1">IF(AND(_xlfn.IFNA(Output[[#This Row],[Mean Unit Price State]],0)=0,Output[[#This Row],[Price Override?]]=0),"CHECK","")</f>
        <v>#N/A</v>
      </c>
      <c r="Y95" s="157">
        <v>813.52</v>
      </c>
      <c r="Z95" s="38" t="s">
        <v>1550</v>
      </c>
      <c r="AA95" s="38" cm="1">
        <f t="array" aca="1" ref="AA95" ca="1">_xlfn.XLOOKUP($Y95,INDIRECT("'"&amp;$Z95&amp;"'!C1:C1000"),INDIRECT("'"&amp;$Z95&amp;"'!"&amp;AA$8&amp;"1:"&amp;AA$8&amp;"1000"))</f>
        <v>0</v>
      </c>
      <c r="AB95" s="38" cm="1">
        <f t="array" aca="1" ref="AB95" ca="1">_xlfn.XLOOKUP($Y95,INDIRECT("'"&amp;$Z95&amp;"'!C1:C1000"),INDIRECT("'"&amp;$Z95&amp;"'!"&amp;AB$8&amp;"1:"&amp;AB$8&amp;"1000"))</f>
        <v>0</v>
      </c>
      <c r="AC95" s="505" cm="1">
        <f t="array" aca="1" ref="AC95" ca="1">_xlfn.XLOOKUP($Y95,INDIRECT("'"&amp;$Z95&amp;"'!C1:C1000"),INDIRECT("'"&amp;$Z95&amp;"'!"&amp;AC$8&amp;"1:"&amp;AC$8&amp;"1000"))</f>
        <v>0</v>
      </c>
      <c r="AD95" s="38"/>
      <c r="AE95" s="38"/>
      <c r="AF95" s="38"/>
    </row>
    <row r="96" spans="1:32" ht="15.75" customHeight="1">
      <c r="A96" s="115">
        <v>815.04</v>
      </c>
      <c r="B96" s="686" t="s">
        <v>3724</v>
      </c>
      <c r="C96" s="67" t="s">
        <v>22</v>
      </c>
      <c r="D96" s="112" t="str">
        <f ca="1">_xlfn.IFNA(_xlfn.XLOOKUP(A96,PullFromCalcs[Item],PullFromCalcs[Quantity]),"-")</f>
        <v>-</v>
      </c>
      <c r="E96" s="114" t="e">
        <f t="shared" ca="1" si="5"/>
        <v>#N/A</v>
      </c>
      <c r="F96" s="114">
        <f ca="1">_xlfn.IFNA(_xlfn.XLOOKUP(A96,PullFromCalcs[Item],PullFromCalcs[Price]),0)</f>
        <v>0</v>
      </c>
      <c r="G96" s="584" t="str">
        <f>_xlfn.XLOOKUP(A96,PullFromCalcs[Item],PullFromCalcs[Sheet],"MiscItems")</f>
        <v>SIGNAL</v>
      </c>
      <c r="H96" s="113" t="e" cm="1">
        <f t="array" ref="H96">_xlfn.XLOOKUP($A96&amp;BasicProjectData!$G$18,Prices[Item '#]&amp;Prices[Location],Prices[Mean Price])</f>
        <v>#N/A</v>
      </c>
      <c r="I96" s="1134" t="e" cm="1">
        <f t="array" ref="I96">_xlfn.XLOOKUP($A96&amp;"All Districts",Prices[Item '#]&amp;Prices[Location],Prices[Mean Price])</f>
        <v>#N/A</v>
      </c>
      <c r="J96" s="1135" t="e">
        <f t="shared" ca="1" si="7"/>
        <v>#N/A</v>
      </c>
      <c r="K96" s="1135" t="e">
        <f ca="1">IF(AND(_xlfn.IFNA(Output[[#This Row],[Mean Unit Price State]],0)=0,Output[[#This Row],[Price Override?]]=0),"CHECK","")</f>
        <v>#N/A</v>
      </c>
      <c r="Y96" s="157">
        <v>813.72</v>
      </c>
      <c r="Z96" s="38" t="s">
        <v>1550</v>
      </c>
      <c r="AA96" s="38" cm="1">
        <f t="array" aca="1" ref="AA96" ca="1">_xlfn.XLOOKUP($Y96,INDIRECT("'"&amp;$Z96&amp;"'!C1:C1000"),INDIRECT("'"&amp;$Z96&amp;"'!"&amp;AA$8&amp;"1:"&amp;AA$8&amp;"1000"))</f>
        <v>0</v>
      </c>
      <c r="AB96" s="38" cm="1">
        <f t="array" aca="1" ref="AB96" ca="1">_xlfn.XLOOKUP($Y96,INDIRECT("'"&amp;$Z96&amp;"'!C1:C1000"),INDIRECT("'"&amp;$Z96&amp;"'!"&amp;AB$8&amp;"1:"&amp;AB$8&amp;"1000"))</f>
        <v>0</v>
      </c>
      <c r="AC96" s="505" cm="1">
        <f t="array" aca="1" ref="AC96" ca="1">_xlfn.XLOOKUP($Y96,INDIRECT("'"&amp;$Z96&amp;"'!C1:C1000"),INDIRECT("'"&amp;$Z96&amp;"'!"&amp;AC$8&amp;"1:"&amp;AC$8&amp;"1000"))</f>
        <v>0</v>
      </c>
      <c r="AD96" s="38"/>
      <c r="AE96" s="38"/>
      <c r="AF96" s="38"/>
    </row>
    <row r="97" spans="1:32">
      <c r="A97" s="115">
        <v>816.01</v>
      </c>
      <c r="B97" s="111" t="str">
        <f>_xlfn.XLOOKUP(A97,Prices[Item '#],Prices[Description])</f>
        <v>TRAFFIC SIGNAL RECONSTRUCTION LOCATION NO. 1</v>
      </c>
      <c r="C97" s="111" t="str">
        <f>_xlfn.XLOOKUP($A97,Prices[Item '#],Prices[Units])</f>
        <v>LS</v>
      </c>
      <c r="D97" s="112">
        <f ca="1">_xlfn.IFNA(_xlfn.XLOOKUP(A97,PullFromCalcs[Item],PullFromCalcs[Quantity]),"-")</f>
        <v>1</v>
      </c>
      <c r="E97" s="114">
        <f t="shared" ca="1" si="5"/>
        <v>314525</v>
      </c>
      <c r="F97" s="114">
        <f ca="1">_xlfn.IFNA(_xlfn.XLOOKUP(A97,PullFromCalcs[Item],PullFromCalcs[Price]),0)</f>
        <v>0</v>
      </c>
      <c r="G97" s="584" t="str">
        <f>_xlfn.XLOOKUP(A97,PullFromCalcs[Item],PullFromCalcs[Sheet],"MiscItems")</f>
        <v>SIGNAL</v>
      </c>
      <c r="H97" s="113" t="e" cm="1">
        <f t="array" ref="H97">_xlfn.XLOOKUP($A97&amp;BasicProjectData!$G$18,Prices[Item '#]&amp;Prices[Location],Prices[Mean Price])</f>
        <v>#N/A</v>
      </c>
      <c r="I97" s="113" cm="1">
        <f t="array" ref="I97">_xlfn.XLOOKUP($A97&amp;"All Districts",Prices[Item '#]&amp;Prices[Location],Prices[Mean Price])</f>
        <v>314524.13</v>
      </c>
      <c r="J97">
        <f t="shared" ca="1" si="7"/>
        <v>0</v>
      </c>
      <c r="K97" t="str">
        <f ca="1">IF(AND(_xlfn.IFNA(Output[[#This Row],[Mean Unit Price State]],0)=0,Output[[#This Row],[Price Override?]]=0),"CHECK","")</f>
        <v/>
      </c>
      <c r="Y97" s="157">
        <v>820.11099999999999</v>
      </c>
      <c r="Z97" s="38" t="s">
        <v>1550</v>
      </c>
      <c r="AA97" s="38" cm="1">
        <f t="array" aca="1" ref="AA97" ca="1">_xlfn.XLOOKUP($Y97,INDIRECT("'"&amp;$Z97&amp;"'!C1:C1000"),INDIRECT("'"&amp;$Z97&amp;"'!"&amp;AA$8&amp;"1:"&amp;AA$8&amp;"1000"))</f>
        <v>0</v>
      </c>
      <c r="AB97" s="38" cm="1">
        <f t="array" aca="1" ref="AB97" ca="1">_xlfn.XLOOKUP($Y97,INDIRECT("'"&amp;$Z97&amp;"'!C1:C1000"),INDIRECT("'"&amp;$Z97&amp;"'!"&amp;AB$8&amp;"1:"&amp;AB$8&amp;"1000"))</f>
        <v>0</v>
      </c>
      <c r="AC97" s="505" cm="1">
        <f t="array" aca="1" ref="AC97" ca="1">_xlfn.XLOOKUP($Y97,INDIRECT("'"&amp;$Z97&amp;"'!C1:C1000"),INDIRECT("'"&amp;$Z97&amp;"'!"&amp;AC$8&amp;"1:"&amp;AC$8&amp;"1000"))</f>
        <v>0</v>
      </c>
      <c r="AD97" s="38"/>
      <c r="AE97" s="38"/>
      <c r="AF97" s="38"/>
    </row>
    <row r="98" spans="1:32">
      <c r="A98" s="115">
        <v>816.02</v>
      </c>
      <c r="B98" s="111" t="str">
        <f>_xlfn.XLOOKUP(A98,Prices[Item '#],Prices[Description])</f>
        <v>TRAFFIC SIGNAL RECONSTRUCTION LOCATION NO. 2</v>
      </c>
      <c r="C98" s="111" t="str">
        <f>_xlfn.XLOOKUP($A98,Prices[Item '#],Prices[Units])</f>
        <v>LS</v>
      </c>
      <c r="D98" s="112">
        <f ca="1">_xlfn.IFNA(_xlfn.XLOOKUP(A98,PullFromCalcs[Item],PullFromCalcs[Quantity]),"-")</f>
        <v>1</v>
      </c>
      <c r="E98" s="114">
        <f t="shared" ca="1" si="5"/>
        <v>332900</v>
      </c>
      <c r="F98" s="114">
        <f ca="1">_xlfn.IFNA(_xlfn.XLOOKUP(A98,PullFromCalcs[Item],PullFromCalcs[Price]),0)</f>
        <v>0</v>
      </c>
      <c r="G98" s="584" t="str">
        <f>_xlfn.XLOOKUP(A98,PullFromCalcs[Item],PullFromCalcs[Sheet],"MiscItems")</f>
        <v>SIGNAL</v>
      </c>
      <c r="H98" s="113" t="e" cm="1">
        <f t="array" ref="H98">_xlfn.XLOOKUP($A98&amp;BasicProjectData!$G$18,Prices[Item '#]&amp;Prices[Location],Prices[Mean Price])</f>
        <v>#N/A</v>
      </c>
      <c r="I98" s="113" cm="1">
        <f t="array" ref="I98">_xlfn.XLOOKUP($A98&amp;"All Districts",Prices[Item '#]&amp;Prices[Location],Prices[Mean Price])</f>
        <v>332899.59999999998</v>
      </c>
      <c r="J98">
        <f t="shared" ca="1" si="7"/>
        <v>0</v>
      </c>
      <c r="K98" t="str">
        <f ca="1">IF(AND(_xlfn.IFNA(Output[[#This Row],[Mean Unit Price State]],0)=0,Output[[#This Row],[Price Override?]]=0),"CHECK","")</f>
        <v/>
      </c>
      <c r="Y98" s="157">
        <v>823.61</v>
      </c>
      <c r="Z98" s="38" t="s">
        <v>1550</v>
      </c>
      <c r="AA98" s="38" cm="1">
        <f t="array" aca="1" ref="AA98" ca="1">_xlfn.XLOOKUP($Y98,INDIRECT("'"&amp;$Z98&amp;"'!C1:C1000"),INDIRECT("'"&amp;$Z98&amp;"'!"&amp;AA$8&amp;"1:"&amp;AA$8&amp;"1000"))</f>
        <v>0</v>
      </c>
      <c r="AB98" s="38" cm="1">
        <f t="array" aca="1" ref="AB98" ca="1">_xlfn.XLOOKUP($Y98,INDIRECT("'"&amp;$Z98&amp;"'!C1:C1000"),INDIRECT("'"&amp;$Z98&amp;"'!"&amp;AB$8&amp;"1:"&amp;AB$8&amp;"1000"))</f>
        <v>0</v>
      </c>
      <c r="AC98" s="505" cm="1">
        <f t="array" aca="1" ref="AC98" ca="1">_xlfn.XLOOKUP($Y98,INDIRECT("'"&amp;$Z98&amp;"'!C1:C1000"),INDIRECT("'"&amp;$Z98&amp;"'!"&amp;AC$8&amp;"1:"&amp;AC$8&amp;"1000"))</f>
        <v>0</v>
      </c>
      <c r="AD98" s="38"/>
      <c r="AE98" s="38"/>
      <c r="AF98" s="38"/>
    </row>
    <row r="99" spans="1:32">
      <c r="A99" s="115">
        <v>816.03</v>
      </c>
      <c r="B99" s="111" t="str">
        <f>_xlfn.XLOOKUP(A99,Prices[Item '#],Prices[Description])</f>
        <v>TRAFFIC SIGNAL RECONSTRUCTION LOCATION NO. 3</v>
      </c>
      <c r="C99" s="111" t="str">
        <f>_xlfn.XLOOKUP($A99,Prices[Item '#],Prices[Units])</f>
        <v>LS</v>
      </c>
      <c r="D99" s="112">
        <f ca="1">_xlfn.IFNA(_xlfn.XLOOKUP(A99,PullFromCalcs[Item],PullFromCalcs[Quantity]),"-")</f>
        <v>1</v>
      </c>
      <c r="E99" s="114">
        <f t="shared" ca="1" si="5"/>
        <v>308725</v>
      </c>
      <c r="F99" s="114">
        <f ca="1">_xlfn.IFNA(_xlfn.XLOOKUP(A99,PullFromCalcs[Item],PullFromCalcs[Price]),0)</f>
        <v>0</v>
      </c>
      <c r="G99" s="584" t="str">
        <f>_xlfn.XLOOKUP(A99,PullFromCalcs[Item],PullFromCalcs[Sheet],"MiscItems")</f>
        <v>SIGNAL</v>
      </c>
      <c r="H99" s="113" t="e" cm="1">
        <f t="array" ref="H99">_xlfn.XLOOKUP($A99&amp;BasicProjectData!$G$18,Prices[Item '#]&amp;Prices[Location],Prices[Mean Price])</f>
        <v>#N/A</v>
      </c>
      <c r="I99" s="113" cm="1">
        <f t="array" ref="I99">_xlfn.XLOOKUP($A99&amp;"All Districts",Prices[Item '#]&amp;Prices[Location],Prices[Mean Price])</f>
        <v>308724.65000000002</v>
      </c>
      <c r="J99">
        <f t="shared" ca="1" si="7"/>
        <v>0</v>
      </c>
      <c r="K99" t="str">
        <f ca="1">IF(AND(_xlfn.IFNA(Output[[#This Row],[Mean Unit Price State]],0)=0,Output[[#This Row],[Price Override?]]=0),"CHECK","")</f>
        <v/>
      </c>
      <c r="Y99" s="157">
        <v>804.2</v>
      </c>
      <c r="Z99" s="38" t="s">
        <v>1550</v>
      </c>
      <c r="AA99" s="38" cm="1">
        <f t="array" aca="1" ref="AA99" ca="1">_xlfn.XLOOKUP($Y99,INDIRECT("'"&amp;$Z99&amp;"'!C1:C1000"),INDIRECT("'"&amp;$Z99&amp;"'!"&amp;AA$8&amp;"1:"&amp;AA$8&amp;"1000"))</f>
        <v>0</v>
      </c>
      <c r="AB99" s="38" cm="1">
        <f t="array" aca="1" ref="AB99" ca="1">_xlfn.XLOOKUP($Y99,INDIRECT("'"&amp;$Z99&amp;"'!C1:C1000"),INDIRECT("'"&amp;$Z99&amp;"'!"&amp;AB$8&amp;"1:"&amp;AB$8&amp;"1000"))</f>
        <v>0</v>
      </c>
      <c r="AC99" s="505" cm="1">
        <f t="array" aca="1" ref="AC99" ca="1">_xlfn.XLOOKUP($Y99,INDIRECT("'"&amp;$Z99&amp;"'!C1:C1000"),INDIRECT("'"&amp;$Z99&amp;"'!"&amp;AC$8&amp;"1:"&amp;AC$8&amp;"1000"))</f>
        <v>0</v>
      </c>
      <c r="AD99" s="38"/>
      <c r="AE99" s="38"/>
      <c r="AF99" s="38"/>
    </row>
    <row r="100" spans="1:32">
      <c r="A100" s="115">
        <v>816.04</v>
      </c>
      <c r="B100" s="686" t="s">
        <v>1825</v>
      </c>
      <c r="C100" s="121" t="s">
        <v>22</v>
      </c>
      <c r="D100" s="112">
        <f ca="1">_xlfn.IFNA(_xlfn.XLOOKUP(A100,PullFromCalcs[Item],PullFromCalcs[Quantity]),"-")</f>
        <v>1</v>
      </c>
      <c r="E100" s="1138">
        <f ca="1">E99</f>
        <v>308725</v>
      </c>
      <c r="F100" s="114">
        <f ca="1">_xlfn.IFNA(_xlfn.XLOOKUP(A100,PullFromCalcs[Item],PullFromCalcs[Price]),0)</f>
        <v>0</v>
      </c>
      <c r="G100" s="584" t="str">
        <f>_xlfn.XLOOKUP(A100,PullFromCalcs[Item],PullFromCalcs[Sheet],"MiscItems")</f>
        <v>SIGNAL</v>
      </c>
      <c r="H100" s="113" t="e" cm="1">
        <f t="array" ref="H100">_xlfn.XLOOKUP($A100&amp;BasicProjectData!$G$18,Prices[Item '#]&amp;Prices[Location],Prices[Mean Price])</f>
        <v>#N/A</v>
      </c>
      <c r="I100" s="1134">
        <f ca="1">Output[[#This Row],[Unit Price (Max or Override)]]</f>
        <v>308725</v>
      </c>
      <c r="J100" s="1135">
        <f t="shared" ca="1" si="7"/>
        <v>0</v>
      </c>
      <c r="K100" t="str">
        <f ca="1">IF(AND(_xlfn.IFNA(Output[[#This Row],[Mean Unit Price State]],0)=0,Output[[#This Row],[Price Override?]]=0),"CHECK","")</f>
        <v/>
      </c>
      <c r="Y100" s="157">
        <v>804.3</v>
      </c>
      <c r="Z100" s="38" t="s">
        <v>1550</v>
      </c>
      <c r="AA100" s="38" cm="1">
        <f t="array" aca="1" ref="AA100" ca="1">_xlfn.XLOOKUP($Y100,INDIRECT("'"&amp;$Z100&amp;"'!C1:C1000"),INDIRECT("'"&amp;$Z100&amp;"'!"&amp;AA$8&amp;"1:"&amp;AA$8&amp;"1000"))</f>
        <v>0</v>
      </c>
      <c r="AB100" s="38" cm="1">
        <f t="array" aca="1" ref="AB100" ca="1">_xlfn.XLOOKUP($Y100,INDIRECT("'"&amp;$Z100&amp;"'!C1:C1000"),INDIRECT("'"&amp;$Z100&amp;"'!"&amp;AB$8&amp;"1:"&amp;AB$8&amp;"1000"))</f>
        <v>0</v>
      </c>
      <c r="AC100" s="505" cm="1">
        <f t="array" aca="1" ref="AC100" ca="1">_xlfn.XLOOKUP($Y100,INDIRECT("'"&amp;$Z100&amp;"'!C1:C1000"),INDIRECT("'"&amp;$Z100&amp;"'!"&amp;AC$8&amp;"1:"&amp;AC$8&amp;"1000"))</f>
        <v>0</v>
      </c>
      <c r="AD100" s="38"/>
      <c r="AE100" s="38"/>
      <c r="AF100" s="38"/>
    </row>
    <row r="101" spans="1:32">
      <c r="A101" s="115">
        <v>816.99</v>
      </c>
      <c r="B101" s="686" t="s">
        <v>3791</v>
      </c>
      <c r="C101" s="121" t="s">
        <v>2</v>
      </c>
      <c r="D101" s="112">
        <f ca="1">_xlfn.IFNA(_xlfn.XLOOKUP(A101,PullFromCalcs[Item],PullFromCalcs[Quantity]),"-")</f>
        <v>0</v>
      </c>
      <c r="E101" s="114">
        <f>ROUNDUP(IF(J101&gt;0,J101,_xlfn.IFNA(MAX(H101:I101),I101)),0)</f>
        <v>1500</v>
      </c>
      <c r="F101" s="114">
        <f ca="1">_xlfn.IFNA(_xlfn.XLOOKUP(A101,PullFromCalcs[Item],PullFromCalcs[Price]),0)</f>
        <v>0</v>
      </c>
      <c r="G101" s="584" t="str">
        <f>_xlfn.XLOOKUP(A101,PullFromCalcs[Item],PullFromCalcs[Sheet],"MiscItems")</f>
        <v>SIGNAL</v>
      </c>
      <c r="H101" s="113" t="e" cm="1">
        <f t="array" ref="H101">_xlfn.XLOOKUP($A101&amp;BasicProjectData!$G$18,Prices[Item '#]&amp;Prices[Location],Prices[Mean Price])</f>
        <v>#N/A</v>
      </c>
      <c r="I101" s="1134" t="e" cm="1">
        <f t="array" ref="I101">_xlfn.XLOOKUP($A101&amp;"All Districts",Prices[Item '#]&amp;Prices[Location],Prices[Mean Price])</f>
        <v>#N/A</v>
      </c>
      <c r="J101" s="1135">
        <v>1500</v>
      </c>
      <c r="K101" t="str">
        <f>IF(AND(_xlfn.IFNA(Output[[#This Row],[Mean Unit Price State]],0)=0,Output[[#This Row],[Price Override?]]=0),"CHECK","")</f>
        <v/>
      </c>
      <c r="Y101" s="157">
        <v>811.22</v>
      </c>
      <c r="Z101" s="38" t="s">
        <v>1550</v>
      </c>
      <c r="AA101" s="38" cm="1">
        <f t="array" aca="1" ref="AA101" ca="1">_xlfn.XLOOKUP($Y101,INDIRECT("'"&amp;$Z101&amp;"'!C1:C1000"),INDIRECT("'"&amp;$Z101&amp;"'!"&amp;AA$8&amp;"1:"&amp;AA$8&amp;"1000"))</f>
        <v>0</v>
      </c>
      <c r="AB101" s="38" cm="1">
        <f t="array" aca="1" ref="AB101" ca="1">_xlfn.XLOOKUP($Y101,INDIRECT("'"&amp;$Z101&amp;"'!C1:C1000"),INDIRECT("'"&amp;$Z101&amp;"'!"&amp;AB$8&amp;"1:"&amp;AB$8&amp;"1000"))</f>
        <v>0</v>
      </c>
      <c r="AC101" s="505" cm="1">
        <f t="array" aca="1" ref="AC101" ca="1">_xlfn.XLOOKUP($Y101,INDIRECT("'"&amp;$Z101&amp;"'!C1:C1000"),INDIRECT("'"&amp;$Z101&amp;"'!"&amp;AC$8&amp;"1:"&amp;AC$8&amp;"1000"))</f>
        <v>0</v>
      </c>
      <c r="AD101" s="38"/>
      <c r="AE101" s="38"/>
      <c r="AF101" s="38"/>
    </row>
    <row r="102" spans="1:32">
      <c r="A102" s="35">
        <v>820.11099999999999</v>
      </c>
      <c r="B102" s="686" t="s">
        <v>3770</v>
      </c>
      <c r="C102" s="111" t="s">
        <v>2</v>
      </c>
      <c r="D102" s="112">
        <f ca="1">_xlfn.IFNA(_xlfn.XLOOKUP(A102,PullFromCalcs[Item],PullFromCalcs[Quantity]),"-")</f>
        <v>0</v>
      </c>
      <c r="E102" s="114">
        <f t="shared" ref="E102:E123" si="8">ROUNDUP(IF(J102&gt;0,J102,_xlfn.IFNA(MAX(H102:I102),I102)),0)</f>
        <v>7500</v>
      </c>
      <c r="F102" s="114">
        <f ca="1">_xlfn.IFNA(_xlfn.XLOOKUP(A102,PullFromCalcs[Item],PullFromCalcs[Price]),0)</f>
        <v>0</v>
      </c>
      <c r="G102" s="584" t="str">
        <f>_xlfn.XLOOKUP(A102,PullFromCalcs[Item],PullFromCalcs[Sheet],"MiscItems")</f>
        <v>LIGHTING</v>
      </c>
      <c r="H102" s="113" t="e" cm="1">
        <f t="array" ref="H102">_xlfn.XLOOKUP($A102&amp;BasicProjectData!$G$18,Prices[Item '#]&amp;Prices[Location],Prices[Mean Price])</f>
        <v>#N/A</v>
      </c>
      <c r="I102" s="1134" t="e" cm="1">
        <f t="array" ref="I102">_xlfn.XLOOKUP($A102&amp;"All Districts",Prices[Item '#]&amp;Prices[Location],Prices[Mean Price])</f>
        <v>#N/A</v>
      </c>
      <c r="J102" s="1135">
        <v>7500</v>
      </c>
      <c r="K102" t="str">
        <f>IF(AND(_xlfn.IFNA(Output[[#This Row],[Mean Unit Price State]],0)=0,Output[[#This Row],[Price Override?]]=0),"CHECK","")</f>
        <v/>
      </c>
      <c r="Y102" s="157">
        <v>812.09</v>
      </c>
      <c r="Z102" s="38" t="s">
        <v>1550</v>
      </c>
      <c r="AA102" s="38" cm="1">
        <f t="array" aca="1" ref="AA102" ca="1">_xlfn.XLOOKUP($Y102,INDIRECT("'"&amp;$Z102&amp;"'!C1:C1000"),INDIRECT("'"&amp;$Z102&amp;"'!"&amp;AA$8&amp;"1:"&amp;AA$8&amp;"1000"))</f>
        <v>0</v>
      </c>
      <c r="AB102" s="38" cm="1">
        <f t="array" aca="1" ref="AB102" ca="1">_xlfn.XLOOKUP($Y102,INDIRECT("'"&amp;$Z102&amp;"'!C1:C1000"),INDIRECT("'"&amp;$Z102&amp;"'!"&amp;AB$8&amp;"1:"&amp;AB$8&amp;"1000"))</f>
        <v>0</v>
      </c>
      <c r="AC102" s="505" cm="1">
        <f t="array" aca="1" ref="AC102" ca="1">_xlfn.XLOOKUP($Y102,INDIRECT("'"&amp;$Z102&amp;"'!C1:C1000"),INDIRECT("'"&amp;$Z102&amp;"'!"&amp;AC$8&amp;"1:"&amp;AC$8&amp;"1000"))</f>
        <v>0</v>
      </c>
      <c r="AD102" s="38"/>
      <c r="AE102" s="38"/>
      <c r="AF102" s="38"/>
    </row>
    <row r="103" spans="1:32">
      <c r="A103" s="35">
        <v>823.61</v>
      </c>
      <c r="B103" s="111" t="str">
        <f>_xlfn.XLOOKUP(A103,Prices[Item '#],Prices[Description])</f>
        <v>HIGHWAY LIGHTING LOAD CENTER NO.1</v>
      </c>
      <c r="C103" s="111" t="str">
        <f>_xlfn.XLOOKUP($A103,Prices[Item '#],Prices[Units])</f>
        <v>LS</v>
      </c>
      <c r="D103" s="112">
        <f ca="1">_xlfn.IFNA(_xlfn.XLOOKUP(A103,PullFromCalcs[Item],PullFromCalcs[Quantity]),"-")</f>
        <v>0</v>
      </c>
      <c r="E103" s="114">
        <f t="shared" ca="1" si="8"/>
        <v>27916</v>
      </c>
      <c r="F103" s="114">
        <f ca="1">_xlfn.IFNA(_xlfn.XLOOKUP(A103,PullFromCalcs[Item],PullFromCalcs[Price]),0)</f>
        <v>0</v>
      </c>
      <c r="G103" s="584" t="str">
        <f>_xlfn.XLOOKUP(A103,PullFromCalcs[Item],PullFromCalcs[Sheet],"MiscItems")</f>
        <v>LIGHTING</v>
      </c>
      <c r="H103" s="113" t="e" cm="1">
        <f t="array" ref="H103">_xlfn.XLOOKUP($A103&amp;BasicProjectData!$G$18,Prices[Item '#]&amp;Prices[Location],Prices[Mean Price])</f>
        <v>#N/A</v>
      </c>
      <c r="I103" s="113" cm="1">
        <f t="array" ref="I103">_xlfn.XLOOKUP($A103&amp;"All Districts",Prices[Item '#]&amp;Prices[Location],Prices[Mean Price])</f>
        <v>27915.07</v>
      </c>
      <c r="J103">
        <f ca="1">_xlfn.XLOOKUP(A103,$Y$10:$Y$165,$AB$10:$AB$165)</f>
        <v>0</v>
      </c>
      <c r="K103" t="str">
        <f ca="1">IF(AND(_xlfn.IFNA(Output[[#This Row],[Mean Unit Price State]],0)=0,Output[[#This Row],[Price Override?]]=0),"CHECK","")</f>
        <v/>
      </c>
      <c r="Y103" s="157">
        <v>813.4</v>
      </c>
      <c r="Z103" s="38" t="s">
        <v>1550</v>
      </c>
      <c r="AA103" s="38" cm="1">
        <f t="array" aca="1" ref="AA103" ca="1">_xlfn.XLOOKUP($Y103,INDIRECT("'"&amp;$Z103&amp;"'!C1:C1000"),INDIRECT("'"&amp;$Z103&amp;"'!"&amp;AA$8&amp;"1:"&amp;AA$8&amp;"1000"))</f>
        <v>0</v>
      </c>
      <c r="AB103" s="38" cm="1">
        <f t="array" aca="1" ref="AB103" ca="1">_xlfn.XLOOKUP($Y103,INDIRECT("'"&amp;$Z103&amp;"'!C1:C1000"),INDIRECT("'"&amp;$Z103&amp;"'!"&amp;AB$8&amp;"1:"&amp;AB$8&amp;"1000"))</f>
        <v>0</v>
      </c>
      <c r="AC103" s="505" cm="1">
        <f t="array" aca="1" ref="AC103" ca="1">_xlfn.XLOOKUP($Y103,INDIRECT("'"&amp;$Z103&amp;"'!C1:C1000"),INDIRECT("'"&amp;$Z103&amp;"'!"&amp;AC$8&amp;"1:"&amp;AC$8&amp;"1000"))</f>
        <v>0</v>
      </c>
      <c r="AD103" s="38"/>
      <c r="AE103" s="38"/>
      <c r="AF103" s="38"/>
    </row>
    <row r="104" spans="1:32">
      <c r="A104" s="561">
        <v>823.7</v>
      </c>
      <c r="B104" s="111" t="s">
        <v>3858</v>
      </c>
      <c r="C104" s="111" t="s">
        <v>2</v>
      </c>
      <c r="D104" s="112">
        <f ca="1">_xlfn.IFNA(_xlfn.XLOOKUP(A104,PullFromCalcs[Item],PullFromCalcs[Quantity]),"-")</f>
        <v>0</v>
      </c>
      <c r="E104" s="114">
        <f t="shared" si="8"/>
        <v>3545</v>
      </c>
      <c r="F104" s="114">
        <f ca="1">_xlfn.IFNA(_xlfn.XLOOKUP(A104,PullFromCalcs[Item],PullFromCalcs[Price]),0)</f>
        <v>0</v>
      </c>
      <c r="G104" s="584" t="str">
        <f>_xlfn.XLOOKUP(A104,PullFromCalcs[Item],PullFromCalcs[Sheet],"MiscItems")</f>
        <v>LIGHTING</v>
      </c>
      <c r="H104" s="113" t="e" cm="1">
        <f t="array" ref="H104">_xlfn.XLOOKUP($A104&amp;BasicProjectData!$G$18,Prices[Item '#]&amp;Prices[Location],Prices[Mean Price])</f>
        <v>#N/A</v>
      </c>
      <c r="I104" s="113" cm="1">
        <f t="array" ref="I104">_xlfn.XLOOKUP($A104&amp;"All Districts",Prices[Item '#]&amp;Prices[Location],Prices[Mean Price])</f>
        <v>3544.18</v>
      </c>
      <c r="K104" t="str">
        <f>IF(AND(_xlfn.IFNA(Output[[#This Row],[Mean Unit Price State]],0)=0,Output[[#This Row],[Price Override?]]=0),"CHECK","")</f>
        <v/>
      </c>
      <c r="Y104" s="157">
        <v>813.43</v>
      </c>
      <c r="Z104" s="38" t="s">
        <v>1550</v>
      </c>
      <c r="AA104" s="38" cm="1">
        <f t="array" aca="1" ref="AA104" ca="1">_xlfn.XLOOKUP($Y104,INDIRECT("'"&amp;$Z104&amp;"'!C1:C1000"),INDIRECT("'"&amp;$Z104&amp;"'!"&amp;AA$8&amp;"1:"&amp;AA$8&amp;"1000"))</f>
        <v>0</v>
      </c>
      <c r="AB104" s="38" cm="1">
        <f t="array" aca="1" ref="AB104" ca="1">_xlfn.XLOOKUP($Y104,INDIRECT("'"&amp;$Z104&amp;"'!C1:C1000"),INDIRECT("'"&amp;$Z104&amp;"'!"&amp;AB$8&amp;"1:"&amp;AB$8&amp;"1000"))</f>
        <v>0</v>
      </c>
      <c r="AC104" s="505" cm="1">
        <f t="array" aca="1" ref="AC104" ca="1">_xlfn.XLOOKUP($Y104,INDIRECT("'"&amp;$Z104&amp;"'!C1:C1000"),INDIRECT("'"&amp;$Z104&amp;"'!"&amp;AC$8&amp;"1:"&amp;AC$8&amp;"1000"))</f>
        <v>0</v>
      </c>
      <c r="AD104" s="38"/>
      <c r="AE104" s="38"/>
      <c r="AF104" s="38"/>
    </row>
    <row r="105" spans="1:32">
      <c r="A105" s="561">
        <v>823.72</v>
      </c>
      <c r="B105" s="686" t="s">
        <v>3859</v>
      </c>
      <c r="C105" s="111" t="s">
        <v>2</v>
      </c>
      <c r="D105" s="112">
        <f ca="1">_xlfn.IFNA(_xlfn.XLOOKUP(A105,PullFromCalcs[Item],PullFromCalcs[Quantity]),"-")</f>
        <v>0</v>
      </c>
      <c r="E105" s="114">
        <f t="shared" si="8"/>
        <v>2500</v>
      </c>
      <c r="F105" s="114">
        <f ca="1">_xlfn.IFNA(_xlfn.XLOOKUP(A105,PullFromCalcs[Item],PullFromCalcs[Price]),0)</f>
        <v>0</v>
      </c>
      <c r="G105" s="584" t="str">
        <f>_xlfn.XLOOKUP(A105,PullFromCalcs[Item],PullFromCalcs[Sheet],"MiscItems")</f>
        <v>LIGHTING</v>
      </c>
      <c r="H105" s="113" t="e" cm="1">
        <f t="array" ref="H105">_xlfn.XLOOKUP($A105&amp;BasicProjectData!$G$18,Prices[Item '#]&amp;Prices[Location],Prices[Mean Price])</f>
        <v>#N/A</v>
      </c>
      <c r="I105" s="1134" t="e" cm="1">
        <f t="array" ref="I105">_xlfn.XLOOKUP($A105&amp;"All Districts",Prices[Item '#]&amp;Prices[Location],Prices[Mean Price])</f>
        <v>#N/A</v>
      </c>
      <c r="J105" s="1135">
        <v>2500</v>
      </c>
      <c r="K105" t="str">
        <f>IF(AND(_xlfn.IFNA(Output[[#This Row],[Mean Unit Price State]],0)=0,Output[[#This Row],[Price Override?]]=0),"CHECK","")</f>
        <v/>
      </c>
      <c r="Y105" s="157">
        <v>813.52</v>
      </c>
      <c r="Z105" s="38" t="s">
        <v>1550</v>
      </c>
      <c r="AA105" s="38" cm="1">
        <f t="array" aca="1" ref="AA105" ca="1">_xlfn.XLOOKUP($Y105,INDIRECT("'"&amp;$Z105&amp;"'!C1:C1000"),INDIRECT("'"&amp;$Z105&amp;"'!"&amp;AA$8&amp;"1:"&amp;AA$8&amp;"1000"))</f>
        <v>0</v>
      </c>
      <c r="AB105" s="38" cm="1">
        <f t="array" aca="1" ref="AB105" ca="1">_xlfn.XLOOKUP($Y105,INDIRECT("'"&amp;$Z105&amp;"'!C1:C1000"),INDIRECT("'"&amp;$Z105&amp;"'!"&amp;AB$8&amp;"1:"&amp;AB$8&amp;"1000"))</f>
        <v>0</v>
      </c>
      <c r="AC105" s="505" cm="1">
        <f t="array" aca="1" ref="AC105" ca="1">_xlfn.XLOOKUP($Y105,INDIRECT("'"&amp;$Z105&amp;"'!C1:C1000"),INDIRECT("'"&amp;$Z105&amp;"'!"&amp;AC$8&amp;"1:"&amp;AC$8&amp;"1000"))</f>
        <v>0</v>
      </c>
      <c r="AD105" s="38"/>
      <c r="AE105" s="38"/>
      <c r="AF105" s="38"/>
    </row>
    <row r="106" spans="1:32">
      <c r="A106" s="115">
        <v>824.1</v>
      </c>
      <c r="B106" s="686" t="s">
        <v>3861</v>
      </c>
      <c r="C106" s="111" t="s">
        <v>2</v>
      </c>
      <c r="D106" s="112">
        <f ca="1">_xlfn.IFNA(_xlfn.XLOOKUP(A106,PullFromCalcs[Item],PullFromCalcs[Quantity]),"-")</f>
        <v>0</v>
      </c>
      <c r="E106" s="114">
        <f t="shared" si="8"/>
        <v>22250</v>
      </c>
      <c r="F106" s="114">
        <f ca="1">_xlfn.IFNA(_xlfn.XLOOKUP(A106,PullFromCalcs[Item],PullFromCalcs[Price]),0)</f>
        <v>0</v>
      </c>
      <c r="G106" s="584" t="str">
        <f>_xlfn.XLOOKUP(A106,PullFromCalcs[Item],PullFromCalcs[Sheet],"MiscItems")</f>
        <v>SIGNAL</v>
      </c>
      <c r="H106" s="113" t="e" cm="1">
        <f t="array" ref="H106">_xlfn.XLOOKUP($A106&amp;BasicProjectData!$G$18,Prices[Item '#]&amp;Prices[Location],Prices[Mean Price])</f>
        <v>#N/A</v>
      </c>
      <c r="I106" s="1134" t="e" cm="1">
        <f t="array" ref="I106">_xlfn.XLOOKUP($A106&amp;"All Districts",Prices[Item '#]&amp;Prices[Location],Prices[Mean Price])</f>
        <v>#N/A</v>
      </c>
      <c r="J106" s="1135">
        <v>22250</v>
      </c>
      <c r="K106" t="str">
        <f>IF(AND(_xlfn.IFNA(Output[[#This Row],[Mean Unit Price State]],0)=0,Output[[#This Row],[Price Override?]]=0),"CHECK","")</f>
        <v/>
      </c>
      <c r="Y106" s="157">
        <v>813.72</v>
      </c>
      <c r="Z106" s="38" t="s">
        <v>1550</v>
      </c>
      <c r="AA106" s="38" cm="1">
        <f t="array" aca="1" ref="AA106" ca="1">_xlfn.XLOOKUP($Y106,INDIRECT("'"&amp;$Z106&amp;"'!C1:C1000"),INDIRECT("'"&amp;$Z106&amp;"'!"&amp;AA$8&amp;"1:"&amp;AA$8&amp;"1000"))</f>
        <v>0</v>
      </c>
      <c r="AB106" s="38" cm="1">
        <f t="array" aca="1" ref="AB106" ca="1">_xlfn.XLOOKUP($Y106,INDIRECT("'"&amp;$Z106&amp;"'!C1:C1000"),INDIRECT("'"&amp;$Z106&amp;"'!"&amp;AB$8&amp;"1:"&amp;AB$8&amp;"1000"))</f>
        <v>0</v>
      </c>
      <c r="AC106" s="505" cm="1">
        <f t="array" aca="1" ref="AC106" ca="1">_xlfn.XLOOKUP($Y106,INDIRECT("'"&amp;$Z106&amp;"'!C1:C1000"),INDIRECT("'"&amp;$Z106&amp;"'!"&amp;AC$8&amp;"1:"&amp;AC$8&amp;"1000"))</f>
        <v>0</v>
      </c>
      <c r="AD106" s="38"/>
      <c r="AE106" s="38"/>
      <c r="AF106" s="38"/>
    </row>
    <row r="107" spans="1:32">
      <c r="A107" s="115">
        <v>826</v>
      </c>
      <c r="B107" s="686" t="s">
        <v>3801</v>
      </c>
      <c r="C107" s="111" t="s">
        <v>2</v>
      </c>
      <c r="D107" s="112">
        <f ca="1">_xlfn.IFNA(_xlfn.XLOOKUP(A107,PullFromCalcs[Item],PullFromCalcs[Quantity]),"-")</f>
        <v>0</v>
      </c>
      <c r="E107" s="114">
        <f t="shared" si="8"/>
        <v>60000</v>
      </c>
      <c r="F107" s="114">
        <f ca="1">_xlfn.IFNA(_xlfn.XLOOKUP(A107,PullFromCalcs[Item],PullFromCalcs[Price]),0)</f>
        <v>0</v>
      </c>
      <c r="G107" s="584" t="str">
        <f>_xlfn.XLOOKUP(A107,PullFromCalcs[Item],PullFromCalcs[Sheet],"MiscItems")</f>
        <v>SIGNAL</v>
      </c>
      <c r="H107" s="113" t="e" cm="1">
        <f t="array" ref="H107">_xlfn.XLOOKUP($A107&amp;BasicProjectData!$G$18,Prices[Item '#]&amp;Prices[Location],Prices[Mean Price])</f>
        <v>#N/A</v>
      </c>
      <c r="I107" s="1134" t="e" cm="1">
        <f t="array" ref="I107">_xlfn.XLOOKUP($A107&amp;"All Districts",Prices[Item '#]&amp;Prices[Location],Prices[Mean Price])</f>
        <v>#N/A</v>
      </c>
      <c r="J107" s="1135">
        <v>60000</v>
      </c>
      <c r="K107" t="str">
        <f>IF(AND(_xlfn.IFNA(Output[[#This Row],[Mean Unit Price State]],0)=0,Output[[#This Row],[Price Override?]]=0),"CHECK","")</f>
        <v/>
      </c>
      <c r="Y107" s="157">
        <v>820.11099999999999</v>
      </c>
      <c r="Z107" s="38" t="s">
        <v>1550</v>
      </c>
      <c r="AA107" s="38" cm="1">
        <f t="array" aca="1" ref="AA107" ca="1">_xlfn.XLOOKUP($Y107,INDIRECT("'"&amp;$Z107&amp;"'!C1:C1000"),INDIRECT("'"&amp;$Z107&amp;"'!"&amp;AA$8&amp;"1:"&amp;AA$8&amp;"1000"))</f>
        <v>0</v>
      </c>
      <c r="AB107" s="38" cm="1">
        <f t="array" aca="1" ref="AB107" ca="1">_xlfn.XLOOKUP($Y107,INDIRECT("'"&amp;$Z107&amp;"'!C1:C1000"),INDIRECT("'"&amp;$Z107&amp;"'!"&amp;AB$8&amp;"1:"&amp;AB$8&amp;"1000"))</f>
        <v>0</v>
      </c>
      <c r="AC107" s="505" cm="1">
        <f t="array" aca="1" ref="AC107" ca="1">_xlfn.XLOOKUP($Y107,INDIRECT("'"&amp;$Z107&amp;"'!C1:C1000"),INDIRECT("'"&amp;$Z107&amp;"'!"&amp;AC$8&amp;"1:"&amp;AC$8&amp;"1000"))</f>
        <v>0</v>
      </c>
      <c r="AD107" s="38"/>
      <c r="AE107" s="38"/>
      <c r="AF107" s="38"/>
    </row>
    <row r="108" spans="1:32" ht="25.5">
      <c r="A108" s="115">
        <v>832</v>
      </c>
      <c r="B108" s="111" t="str">
        <f>_xlfn.XLOOKUP(A108,Prices[Item '#],Prices[Description])</f>
        <v>WARNING-REGULATORY AND ROUTE MARKER - ALUMINUM PANEL (TYPE A)</v>
      </c>
      <c r="C108" s="111" t="str">
        <f>_xlfn.XLOOKUP($A108,Prices[Item '#],Prices[Units])</f>
        <v>SF</v>
      </c>
      <c r="D108" s="112">
        <f ca="1">_xlfn.IFNA(_xlfn.XLOOKUP(A108,PullFromCalcs[Item],PullFromCalcs[Quantity]),"-")</f>
        <v>0</v>
      </c>
      <c r="E108" s="114">
        <f t="shared" ca="1" si="8"/>
        <v>17</v>
      </c>
      <c r="F108" s="114">
        <f ca="1">_xlfn.IFNA(_xlfn.XLOOKUP(A108,PullFromCalcs[Item],PullFromCalcs[Price]),0)</f>
        <v>0</v>
      </c>
      <c r="G108" s="584" t="str">
        <f>_xlfn.XLOOKUP(A108,PullFromCalcs[Item],PullFromCalcs[Sheet],"MiscItems")</f>
        <v>TRAFFIC</v>
      </c>
      <c r="H108" s="113" t="e" cm="1">
        <f t="array" ref="H108">_xlfn.XLOOKUP($A108&amp;BasicProjectData!$G$18,Prices[Item '#]&amp;Prices[Location],Prices[Mean Price])</f>
        <v>#N/A</v>
      </c>
      <c r="I108" s="113" cm="1">
        <f t="array" ref="I108">_xlfn.XLOOKUP($A108&amp;"All Districts",Prices[Item '#]&amp;Prices[Location],Prices[Mean Price])</f>
        <v>16.11</v>
      </c>
      <c r="J108">
        <f ca="1">_xlfn.XLOOKUP(A108,$Y$10:$Y$165,$AB$10:$AB$165)</f>
        <v>0</v>
      </c>
      <c r="K108" t="str">
        <f ca="1">IF(AND(_xlfn.IFNA(Output[[#This Row],[Mean Unit Price State]],0)=0,Output[[#This Row],[Price Override?]]=0),"CHECK","")</f>
        <v/>
      </c>
      <c r="Y108" s="157">
        <v>811.31</v>
      </c>
      <c r="Z108" s="38" t="s">
        <v>1586</v>
      </c>
      <c r="AA108" s="38" cm="1">
        <f t="array" aca="1" ref="AA108" ca="1">_xlfn.XLOOKUP($Y108,INDIRECT("'"&amp;$Z108&amp;"'!C1:C1000"),INDIRECT("'"&amp;$Z108&amp;"'!"&amp;AA$8&amp;"1:"&amp;AA$8&amp;"1000"))</f>
        <v>0</v>
      </c>
      <c r="AB108" s="38" cm="1">
        <f t="array" aca="1" ref="AB108" ca="1">_xlfn.XLOOKUP($Y108,INDIRECT("'"&amp;$Z108&amp;"'!C1:C1000"),INDIRECT("'"&amp;$Z108&amp;"'!"&amp;AB$8&amp;"1:"&amp;AB$8&amp;"1000"))</f>
        <v>0</v>
      </c>
      <c r="AC108" s="505" cm="1">
        <f t="array" aca="1" ref="AC108" ca="1">_xlfn.XLOOKUP($Y108,INDIRECT("'"&amp;$Z108&amp;"'!C1:C1000"),INDIRECT("'"&amp;$Z108&amp;"'!"&amp;AC$8&amp;"1:"&amp;AC$8&amp;"1000"))</f>
        <v>0</v>
      </c>
      <c r="AD108" s="38"/>
      <c r="AE108" s="38"/>
      <c r="AF108" s="38"/>
    </row>
    <row r="109" spans="1:32">
      <c r="A109" s="31">
        <v>834.18</v>
      </c>
      <c r="B109" s="111" t="str">
        <f>_xlfn.XLOOKUP(A109,Prices[Item '#],Prices[Description])</f>
        <v>REFLECTORIZED FLEXIBLE DELINEATOR POST (WHITE)</v>
      </c>
      <c r="C109" s="111" t="str">
        <f>_xlfn.XLOOKUP($A109,Prices[Item '#],Prices[Units])</f>
        <v>EA</v>
      </c>
      <c r="D109" s="112">
        <f ca="1">_xlfn.IFNA(_xlfn.XLOOKUP(A109,PullFromCalcs[Item],PullFromCalcs[Quantity]),"-")</f>
        <v>0</v>
      </c>
      <c r="E109" s="114">
        <f t="shared" ca="1" si="8"/>
        <v>67</v>
      </c>
      <c r="F109" s="114">
        <f ca="1">_xlfn.IFNA(_xlfn.XLOOKUP(A109,PullFromCalcs[Item],PullFromCalcs[Price]),0)</f>
        <v>0</v>
      </c>
      <c r="G109" s="584" t="str">
        <f>_xlfn.XLOOKUP(A109,PullFromCalcs[Item],PullFromCalcs[Sheet],"MiscItems")</f>
        <v>TRAFFIC</v>
      </c>
      <c r="H109" s="113" t="e" cm="1">
        <f t="array" ref="H109">_xlfn.XLOOKUP($A109&amp;BasicProjectData!$G$18,Prices[Item '#]&amp;Prices[Location],Prices[Mean Price])</f>
        <v>#N/A</v>
      </c>
      <c r="I109" s="113" cm="1">
        <f t="array" ref="I109">_xlfn.XLOOKUP($A109&amp;"All Districts",Prices[Item '#]&amp;Prices[Location],Prices[Mean Price])</f>
        <v>66.06</v>
      </c>
      <c r="J109">
        <f ca="1">_xlfn.XLOOKUP(A109,$Y$10:$Y$165,$AB$10:$AB$165)</f>
        <v>0</v>
      </c>
      <c r="K109" t="str">
        <f ca="1">IF(AND(_xlfn.IFNA(Output[[#This Row],[Mean Unit Price State]],0)=0,Output[[#This Row],[Price Override?]]=0),"CHECK","")</f>
        <v/>
      </c>
      <c r="Y109" s="157">
        <v>824.1</v>
      </c>
      <c r="Z109" s="38" t="s">
        <v>1547</v>
      </c>
      <c r="AA109" s="38" cm="1">
        <f t="array" aca="1" ref="AA109" ca="1">_xlfn.XLOOKUP($Y109,INDIRECT("'"&amp;$Z109&amp;"'!C1:C1000"),INDIRECT("'"&amp;$Z109&amp;"'!"&amp;AA$8&amp;"1:"&amp;AA$8&amp;"1000"))</f>
        <v>0</v>
      </c>
      <c r="AB109" s="38" cm="1">
        <f t="array" aca="1" ref="AB109" ca="1">_xlfn.XLOOKUP($Y109,INDIRECT("'"&amp;$Z109&amp;"'!C1:C1000"),INDIRECT("'"&amp;$Z109&amp;"'!"&amp;AB$8&amp;"1:"&amp;AB$8&amp;"1000"))</f>
        <v>0</v>
      </c>
      <c r="AC109" s="505" cm="1">
        <f t="array" aca="1" ref="AC109" ca="1">_xlfn.XLOOKUP($Y109,INDIRECT("'"&amp;$Z109&amp;"'!C1:C1000"),INDIRECT("'"&amp;$Z109&amp;"'!"&amp;AC$8&amp;"1:"&amp;AC$8&amp;"1000"))</f>
        <v>0</v>
      </c>
      <c r="AD109" s="38"/>
      <c r="AE109" s="38"/>
      <c r="AF109" s="38"/>
    </row>
    <row r="110" spans="1:32">
      <c r="A110" s="116">
        <v>834.18700000000001</v>
      </c>
      <c r="B110" s="111" t="s">
        <v>1710</v>
      </c>
      <c r="C110" s="111" t="s">
        <v>2</v>
      </c>
      <c r="D110" s="112">
        <f ca="1">_xlfn.IFNA(_xlfn.XLOOKUP(A110,PullFromCalcs[Item],PullFromCalcs[Quantity]),"-")</f>
        <v>0</v>
      </c>
      <c r="E110" s="114">
        <f t="shared" si="8"/>
        <v>300</v>
      </c>
      <c r="F110" s="114">
        <f ca="1">_xlfn.IFNA(_xlfn.XLOOKUP(A110,PullFromCalcs[Item],PullFromCalcs[Price]),0)</f>
        <v>0</v>
      </c>
      <c r="G110" s="584" t="str">
        <f>_xlfn.XLOOKUP(A110,PullFromCalcs[Item],PullFromCalcs[Sheet],"MiscItems")</f>
        <v>TRAFFIC</v>
      </c>
      <c r="H110" s="113" t="e" cm="1">
        <f t="array" ref="H110">_xlfn.XLOOKUP($A110&amp;BasicProjectData!$G$18,Prices[Item '#]&amp;Prices[Location],Prices[Mean Price])</f>
        <v>#N/A</v>
      </c>
      <c r="I110" s="1134" t="e" cm="1">
        <f t="array" ref="I110">_xlfn.XLOOKUP($A110&amp;"All Districts",Prices[Item '#]&amp;Prices[Location],Prices[Mean Price])</f>
        <v>#N/A</v>
      </c>
      <c r="J110" s="1135">
        <v>300</v>
      </c>
      <c r="K110" t="str">
        <f>IF(AND(_xlfn.IFNA(Output[[#This Row],[Mean Unit Price State]],0)=0,Output[[#This Row],[Price Override?]]=0),"CHECK","")</f>
        <v/>
      </c>
      <c r="Y110" s="157" t="s">
        <v>3749</v>
      </c>
      <c r="Z110" s="38" t="s">
        <v>3686</v>
      </c>
      <c r="AA110" s="38" cm="1">
        <f t="array" aca="1" ref="AA110" ca="1">_xlfn.XLOOKUP($Y110,INDIRECT("'"&amp;$Z110&amp;"'!C1:C1000"),INDIRECT("'"&amp;$Z110&amp;"'!"&amp;AA$8&amp;"1:"&amp;AA$8&amp;"1000"))</f>
        <v>0</v>
      </c>
      <c r="AB110" s="38" cm="1">
        <f t="array" aca="1" ref="AB110" ca="1">_xlfn.XLOOKUP($Y110,INDIRECT("'"&amp;$Z110&amp;"'!C1:C1000"),INDIRECT("'"&amp;$Z110&amp;"'!"&amp;AB$8&amp;"1:"&amp;AB$8&amp;"1000"))</f>
        <v>0</v>
      </c>
      <c r="AC110" s="505" cm="1">
        <f t="array" aca="1" ref="AC110" ca="1">_xlfn.XLOOKUP($Y110,INDIRECT("'"&amp;$Z110&amp;"'!C1:C1000"),INDIRECT("'"&amp;$Z110&amp;"'!"&amp;AC$8&amp;"1:"&amp;AC$8&amp;"1000"))</f>
        <v>0</v>
      </c>
      <c r="AD110" s="38"/>
      <c r="AE110" s="38"/>
      <c r="AF110" s="38"/>
    </row>
    <row r="111" spans="1:32" ht="25.5">
      <c r="A111" s="115">
        <v>847.1</v>
      </c>
      <c r="B111" s="111" t="str">
        <f>_xlfn.XLOOKUP(A111,Prices[Item '#],Prices[Description])</f>
        <v>SIGN SUP (N/GUIDE)+RTE MKR W/1 BRKWAY POST ASSEMBLY - STEEL</v>
      </c>
      <c r="C111" s="111" t="str">
        <f>_xlfn.XLOOKUP($A111,Prices[Item '#],Prices[Units])</f>
        <v>EA</v>
      </c>
      <c r="D111" s="112">
        <f ca="1">_xlfn.IFNA(_xlfn.XLOOKUP(A111,PullFromCalcs[Item],PullFromCalcs[Quantity]),"-")</f>
        <v>0</v>
      </c>
      <c r="E111" s="114">
        <f t="shared" ca="1" si="8"/>
        <v>259</v>
      </c>
      <c r="F111" s="114">
        <f ca="1">_xlfn.IFNA(_xlfn.XLOOKUP(A111,PullFromCalcs[Item],PullFromCalcs[Price]),0)</f>
        <v>0</v>
      </c>
      <c r="G111" s="584" t="str">
        <f>_xlfn.XLOOKUP(A111,PullFromCalcs[Item],PullFromCalcs[Sheet],"MiscItems")</f>
        <v>TRAFFIC</v>
      </c>
      <c r="H111" s="113" t="e" cm="1">
        <f t="array" ref="H111">_xlfn.XLOOKUP($A111&amp;BasicProjectData!$G$18,Prices[Item '#]&amp;Prices[Location],Prices[Mean Price])</f>
        <v>#N/A</v>
      </c>
      <c r="I111" s="113" cm="1">
        <f t="array" ref="I111">_xlfn.XLOOKUP($A111&amp;"All Districts",Prices[Item '#]&amp;Prices[Location],Prices[Mean Price])</f>
        <v>258.64</v>
      </c>
      <c r="J111">
        <f ca="1">_xlfn.XLOOKUP(A111,$Y$10:$Y$165,$AB$10:$AB$165)</f>
        <v>0</v>
      </c>
      <c r="K111" t="str">
        <f ca="1">IF(AND(_xlfn.IFNA(Output[[#This Row],[Mean Unit Price State]],0)=0,Output[[#This Row],[Price Override?]]=0),"CHECK","")</f>
        <v/>
      </c>
      <c r="Y111" s="157">
        <v>874.1</v>
      </c>
      <c r="Z111" s="38" t="s">
        <v>1586</v>
      </c>
      <c r="AA111" s="38" cm="1">
        <f t="array" aca="1" ref="AA111" ca="1">_xlfn.XLOOKUP($Y111,INDIRECT("'"&amp;$Z111&amp;"'!C1:C1000"),INDIRECT("'"&amp;$Z111&amp;"'!"&amp;AA$8&amp;"1:"&amp;AA$8&amp;"1000"))</f>
        <v>0</v>
      </c>
      <c r="AB111" s="38" cm="1">
        <f t="array" aca="1" ref="AB111" ca="1">_xlfn.XLOOKUP($Y111,INDIRECT("'"&amp;$Z111&amp;"'!C1:C1000"),INDIRECT("'"&amp;$Z111&amp;"'!"&amp;AB$8&amp;"1:"&amp;AB$8&amp;"1000"))</f>
        <v>0</v>
      </c>
      <c r="AC111" s="505" cm="1">
        <f t="array" aca="1" ref="AC111" ca="1">_xlfn.XLOOKUP($Y111,INDIRECT("'"&amp;$Z111&amp;"'!C1:C1000"),INDIRECT("'"&amp;$Z111&amp;"'!"&amp;AC$8&amp;"1:"&amp;AC$8&amp;"1000"))</f>
        <v>0</v>
      </c>
      <c r="AD111" s="38"/>
      <c r="AE111" s="38"/>
      <c r="AF111" s="38"/>
    </row>
    <row r="112" spans="1:32">
      <c r="A112" s="115">
        <v>863.1</v>
      </c>
      <c r="B112" s="686" t="s">
        <v>3757</v>
      </c>
      <c r="C112" s="111" t="s">
        <v>3</v>
      </c>
      <c r="D112" s="112">
        <f ca="1">_xlfn.IFNA(_xlfn.XLOOKUP(A112,PullFromCalcs[Item],PullFromCalcs[Quantity]),"-")</f>
        <v>0</v>
      </c>
      <c r="E112" s="114">
        <f t="shared" si="8"/>
        <v>11</v>
      </c>
      <c r="F112" s="114">
        <f ca="1">_xlfn.IFNA(_xlfn.XLOOKUP(A112,PullFromCalcs[Item],PullFromCalcs[Price]),0)</f>
        <v>0</v>
      </c>
      <c r="G112" s="584" t="str">
        <f>_xlfn.XLOOKUP(A112,PullFromCalcs[Item],PullFromCalcs[Sheet],"MiscItems")</f>
        <v>TRAFFIC</v>
      </c>
      <c r="H112" s="113" t="e" cm="1">
        <f t="array" ref="H112">_xlfn.XLOOKUP($A112&amp;BasicProjectData!$G$18,Prices[Item '#]&amp;Prices[Location],Prices[Mean Price])</f>
        <v>#N/A</v>
      </c>
      <c r="I112" s="1134" t="e" cm="1">
        <f t="array" ref="I112">_xlfn.XLOOKUP($A112&amp;"All Districts",Prices[Item '#]&amp;Prices[Location],Prices[Mean Price])</f>
        <v>#N/A</v>
      </c>
      <c r="J112" s="1135">
        <v>11</v>
      </c>
      <c r="K112" t="str">
        <f>IF(AND(_xlfn.IFNA(Output[[#This Row],[Mean Unit Price State]],0)=0,Output[[#This Row],[Price Override?]]=0),"CHECK","")</f>
        <v/>
      </c>
      <c r="Y112" s="157">
        <v>874.2</v>
      </c>
      <c r="Z112" s="38" t="s">
        <v>1586</v>
      </c>
      <c r="AA112" s="38" cm="1">
        <f t="array" aca="1" ref="AA112" ca="1">_xlfn.XLOOKUP($Y112,INDIRECT("'"&amp;$Z112&amp;"'!C1:C1000"),INDIRECT("'"&amp;$Z112&amp;"'!"&amp;AA$8&amp;"1:"&amp;AA$8&amp;"1000"))</f>
        <v>0</v>
      </c>
      <c r="AB112" s="38" cm="1">
        <f t="array" aca="1" ref="AB112" ca="1">_xlfn.XLOOKUP($Y112,INDIRECT("'"&amp;$Z112&amp;"'!C1:C1000"),INDIRECT("'"&amp;$Z112&amp;"'!"&amp;AB$8&amp;"1:"&amp;AB$8&amp;"1000"))</f>
        <v>0</v>
      </c>
      <c r="AC112" s="505" cm="1">
        <f t="array" aca="1" ref="AC112" ca="1">_xlfn.XLOOKUP($Y112,INDIRECT("'"&amp;$Z112&amp;"'!C1:C1000"),INDIRECT("'"&amp;$Z112&amp;"'!"&amp;AC$8&amp;"1:"&amp;AC$8&amp;"1000"))</f>
        <v>0</v>
      </c>
      <c r="AD112" s="38"/>
      <c r="AE112" s="38"/>
      <c r="AF112" s="38"/>
    </row>
    <row r="113" spans="1:32" ht="25.5">
      <c r="A113" s="115">
        <v>864.04</v>
      </c>
      <c r="B113" s="111" t="str">
        <f>_xlfn.XLOOKUP(A113,Prices[Item '#],Prices[Description])</f>
        <v>PAVEMENT ARROWS AND LEGENDS REFLECTORIZED WHITE (THERMOPLASTIC)</v>
      </c>
      <c r="C113" s="111" t="str">
        <f>_xlfn.XLOOKUP($A113,Prices[Item '#],Prices[Units])</f>
        <v>SF</v>
      </c>
      <c r="D113" s="112">
        <f ca="1">_xlfn.IFNA(_xlfn.XLOOKUP(A113,PullFromCalcs[Item],PullFromCalcs[Quantity]),"-")</f>
        <v>0</v>
      </c>
      <c r="E113" s="114">
        <f t="shared" ca="1" si="8"/>
        <v>11</v>
      </c>
      <c r="F113" s="114">
        <f ca="1">_xlfn.IFNA(_xlfn.XLOOKUP(A113,PullFromCalcs[Item],PullFromCalcs[Price]),0)</f>
        <v>0</v>
      </c>
      <c r="G113" s="584" t="str">
        <f>_xlfn.XLOOKUP(A113,PullFromCalcs[Item],PullFromCalcs[Sheet],"MiscItems")</f>
        <v>TRAFFIC</v>
      </c>
      <c r="H113" s="113" t="e" cm="1">
        <f t="array" ref="H113">_xlfn.XLOOKUP($A113&amp;BasicProjectData!$G$18,Prices[Item '#]&amp;Prices[Location],Prices[Mean Price])</f>
        <v>#N/A</v>
      </c>
      <c r="I113" s="113" cm="1">
        <f t="array" ref="I113">_xlfn.XLOOKUP($A113&amp;"All Districts",Prices[Item '#]&amp;Prices[Location],Prices[Mean Price])</f>
        <v>10.83</v>
      </c>
      <c r="J113">
        <f t="shared" ref="J113:J122" ca="1" si="9">_xlfn.XLOOKUP(A113,$Y$10:$Y$165,$AB$10:$AB$165)</f>
        <v>0</v>
      </c>
      <c r="K113" t="str">
        <f ca="1">IF(AND(_xlfn.IFNA(Output[[#This Row],[Mean Unit Price State]],0)=0,Output[[#This Row],[Price Override?]]=0),"CHECK","")</f>
        <v/>
      </c>
      <c r="Y113" s="157">
        <v>834.18</v>
      </c>
      <c r="Z113" s="38" t="s">
        <v>1586</v>
      </c>
      <c r="AA113" s="38" cm="1">
        <f t="array" aca="1" ref="AA113" ca="1">_xlfn.XLOOKUP($Y113,INDIRECT("'"&amp;$Z113&amp;"'!C1:C1000"),INDIRECT("'"&amp;$Z113&amp;"'!"&amp;AA$8&amp;"1:"&amp;AA$8&amp;"1000"))</f>
        <v>0</v>
      </c>
      <c r="AB113" s="38" cm="1">
        <f t="array" aca="1" ref="AB113" ca="1">_xlfn.XLOOKUP($Y113,INDIRECT("'"&amp;$Z113&amp;"'!C1:C1000"),INDIRECT("'"&amp;$Z113&amp;"'!"&amp;AB$8&amp;"1:"&amp;AB$8&amp;"1000"))</f>
        <v>0</v>
      </c>
      <c r="AC113" s="505" cm="1">
        <f t="array" aca="1" ref="AC113" ca="1">_xlfn.XLOOKUP($Y113,INDIRECT("'"&amp;$Z113&amp;"'!C1:C1000"),INDIRECT("'"&amp;$Z113&amp;"'!"&amp;AC$8&amp;"1:"&amp;AC$8&amp;"1000"))</f>
        <v>0</v>
      </c>
      <c r="AD113" s="38"/>
      <c r="AE113" s="38"/>
      <c r="AF113" s="38"/>
    </row>
    <row r="114" spans="1:32">
      <c r="A114" s="115">
        <v>866.10599999999999</v>
      </c>
      <c r="B114" s="111" t="str">
        <f>_xlfn.XLOOKUP(A114,Prices[Item '#],Prices[Description])</f>
        <v>6 INCH REFLECTORIZED WHITE LINE (THERMOPLASTIC)</v>
      </c>
      <c r="C114" s="111" t="str">
        <f>_xlfn.XLOOKUP($A114,Prices[Item '#],Prices[Units])</f>
        <v>FT</v>
      </c>
      <c r="D114" s="112">
        <f ca="1">_xlfn.IFNA(_xlfn.XLOOKUP(A114,PullFromCalcs[Item],PullFromCalcs[Quantity]),"-")</f>
        <v>0</v>
      </c>
      <c r="E114" s="114">
        <f t="shared" ca="1" si="8"/>
        <v>2</v>
      </c>
      <c r="F114" s="114">
        <f ca="1">_xlfn.IFNA(_xlfn.XLOOKUP(A114,PullFromCalcs[Item],PullFromCalcs[Price]),0)</f>
        <v>0</v>
      </c>
      <c r="G114" s="584" t="str">
        <f>_xlfn.XLOOKUP(A114,PullFromCalcs[Item],PullFromCalcs[Sheet],"MiscItems")</f>
        <v>TRAFFIC</v>
      </c>
      <c r="H114" s="113" t="e" cm="1">
        <f t="array" ref="H114">_xlfn.XLOOKUP($A114&amp;BasicProjectData!$G$18,Prices[Item '#]&amp;Prices[Location],Prices[Mean Price])</f>
        <v>#N/A</v>
      </c>
      <c r="I114" s="113" cm="1">
        <f t="array" ref="I114">_xlfn.XLOOKUP($A114&amp;"All Districts",Prices[Item '#]&amp;Prices[Location],Prices[Mean Price])</f>
        <v>1.85</v>
      </c>
      <c r="J114">
        <f t="shared" ca="1" si="9"/>
        <v>0</v>
      </c>
      <c r="K114" t="str">
        <f ca="1">IF(AND(_xlfn.IFNA(Output[[#This Row],[Mean Unit Price State]],0)=0,Output[[#This Row],[Price Override?]]=0),"CHECK","")</f>
        <v/>
      </c>
      <c r="Y114" s="447" t="s">
        <v>1768</v>
      </c>
      <c r="Z114" s="38" t="s">
        <v>3951</v>
      </c>
      <c r="AA114" s="38" cm="1">
        <f t="array" aca="1" ref="AA114" ca="1">_xlfn.XLOOKUP($Y114,INDIRECT("'"&amp;$Z114&amp;"'!C1:C1000"),INDIRECT("'"&amp;$Z114&amp;"'!"&amp;AA$8&amp;"1:"&amp;AA$8&amp;"1000"))</f>
        <v>0</v>
      </c>
      <c r="AB114" s="38" t="str" cm="1">
        <f t="array" aca="1" ref="AB114" ca="1">_xlfn.XLOOKUP($Y114,INDIRECT("'"&amp;$Z114&amp;"'!C1:C1000"),INDIRECT("'"&amp;$Z114&amp;"'!"&amp;AB$8&amp;"1:"&amp;AB$8&amp;"1000"))</f>
        <v>N/A</v>
      </c>
      <c r="AC114" s="505" cm="1">
        <f t="array" aca="1" ref="AC114" ca="1">_xlfn.XLOOKUP($Y114,INDIRECT("'"&amp;$Z114&amp;"'!C1:C1000"),INDIRECT("'"&amp;$Z114&amp;"'!"&amp;AC$8&amp;"1:"&amp;AC$8&amp;"1000"))</f>
        <v>0</v>
      </c>
      <c r="AD114" s="38"/>
      <c r="AE114" s="38"/>
      <c r="AF114" s="38"/>
    </row>
    <row r="115" spans="1:32">
      <c r="A115" s="115">
        <v>866.11199999999997</v>
      </c>
      <c r="B115" s="111" t="str">
        <f>_xlfn.XLOOKUP(A115,Prices[Item '#],Prices[Description])</f>
        <v>12 INCH REFLECTORIZED WHITE LINE (THERMOPLASTIC)</v>
      </c>
      <c r="C115" s="111" t="str">
        <f>_xlfn.XLOOKUP($A115,Prices[Item '#],Prices[Units])</f>
        <v>FT</v>
      </c>
      <c r="D115" s="112">
        <f ca="1">_xlfn.IFNA(_xlfn.XLOOKUP(A115,PullFromCalcs[Item],PullFromCalcs[Quantity]),"-")</f>
        <v>0</v>
      </c>
      <c r="E115" s="114">
        <f t="shared" ca="1" si="8"/>
        <v>7</v>
      </c>
      <c r="F115" s="114">
        <f ca="1">_xlfn.IFNA(_xlfn.XLOOKUP(A115,PullFromCalcs[Item],PullFromCalcs[Price]),0)</f>
        <v>0</v>
      </c>
      <c r="G115" s="584" t="str">
        <f>_xlfn.XLOOKUP(A115,PullFromCalcs[Item],PullFromCalcs[Sheet],"MiscItems")</f>
        <v>TRAFFIC</v>
      </c>
      <c r="H115" s="113" t="e" cm="1">
        <f t="array" ref="H115">_xlfn.XLOOKUP($A115&amp;BasicProjectData!$G$18,Prices[Item '#]&amp;Prices[Location],Prices[Mean Price])</f>
        <v>#N/A</v>
      </c>
      <c r="I115" s="113" cm="1">
        <f t="array" ref="I115">_xlfn.XLOOKUP($A115&amp;"All Districts",Prices[Item '#]&amp;Prices[Location],Prices[Mean Price])</f>
        <v>6.45</v>
      </c>
      <c r="J115">
        <f t="shared" ca="1" si="9"/>
        <v>0</v>
      </c>
      <c r="K115" t="str">
        <f ca="1">IF(AND(_xlfn.IFNA(Output[[#This Row],[Mean Unit Price State]],0)=0,Output[[#This Row],[Price Override?]]=0),"CHECK","")</f>
        <v/>
      </c>
      <c r="Y115" s="447" t="s">
        <v>1769</v>
      </c>
      <c r="Z115" s="38" t="s">
        <v>3951</v>
      </c>
      <c r="AA115" s="38" cm="1">
        <f t="array" aca="1" ref="AA115" ca="1">_xlfn.XLOOKUP($Y115,INDIRECT("'"&amp;$Z115&amp;"'!C1:C1000"),INDIRECT("'"&amp;$Z115&amp;"'!"&amp;AA$8&amp;"1:"&amp;AA$8&amp;"1000"))</f>
        <v>0</v>
      </c>
      <c r="AB115" s="38" t="str" cm="1">
        <f t="array" aca="1" ref="AB115" ca="1">_xlfn.XLOOKUP($Y115,INDIRECT("'"&amp;$Z115&amp;"'!C1:C1000"),INDIRECT("'"&amp;$Z115&amp;"'!"&amp;AB$8&amp;"1:"&amp;AB$8&amp;"1000"))</f>
        <v>N/A</v>
      </c>
      <c r="AC115" s="505" cm="1">
        <f t="array" aca="1" ref="AC115" ca="1">_xlfn.XLOOKUP($Y115,INDIRECT("'"&amp;$Z115&amp;"'!C1:C1000"),INDIRECT("'"&amp;$Z115&amp;"'!"&amp;AC$8&amp;"1:"&amp;AC$8&amp;"1000"))</f>
        <v>0</v>
      </c>
      <c r="AD115" s="38"/>
      <c r="AE115" s="38"/>
      <c r="AF115" s="38"/>
    </row>
    <row r="116" spans="1:32">
      <c r="A116" s="31">
        <v>867.10599999999999</v>
      </c>
      <c r="B116" s="111" t="str">
        <f>_xlfn.XLOOKUP(A116,Prices[Item '#],Prices[Description])</f>
        <v>6 INCH REFLECTORIZED YELLOW LINE (THERMOPLASTIC)</v>
      </c>
      <c r="C116" s="111" t="str">
        <f>_xlfn.XLOOKUP($A116,Prices[Item '#],Prices[Units])</f>
        <v>FT</v>
      </c>
      <c r="D116" s="112">
        <f ca="1">_xlfn.IFNA(_xlfn.XLOOKUP(A116,PullFromCalcs[Item],PullFromCalcs[Quantity]),"-")</f>
        <v>0</v>
      </c>
      <c r="E116" s="114">
        <f t="shared" ca="1" si="8"/>
        <v>2</v>
      </c>
      <c r="F116" s="114">
        <f ca="1">_xlfn.IFNA(_xlfn.XLOOKUP(A116,PullFromCalcs[Item],PullFromCalcs[Price]),0)</f>
        <v>0</v>
      </c>
      <c r="G116" s="584" t="str">
        <f>_xlfn.XLOOKUP(A116,PullFromCalcs[Item],PullFromCalcs[Sheet],"MiscItems")</f>
        <v>TRAFFIC</v>
      </c>
      <c r="H116" s="113" t="e" cm="1">
        <f t="array" ref="H116">_xlfn.XLOOKUP($A116&amp;BasicProjectData!$G$18,Prices[Item '#]&amp;Prices[Location],Prices[Mean Price])</f>
        <v>#N/A</v>
      </c>
      <c r="I116" s="113" cm="1">
        <f t="array" ref="I116">_xlfn.XLOOKUP($A116&amp;"All Districts",Prices[Item '#]&amp;Prices[Location],Prices[Mean Price])</f>
        <v>1.82</v>
      </c>
      <c r="J116">
        <f t="shared" ca="1" si="9"/>
        <v>0</v>
      </c>
      <c r="K116" t="str">
        <f ca="1">IF(AND(_xlfn.IFNA(Output[[#This Row],[Mean Unit Price State]],0)=0,Output[[#This Row],[Price Override?]]=0),"CHECK","")</f>
        <v/>
      </c>
      <c r="Y116" s="447" t="s">
        <v>1771</v>
      </c>
      <c r="Z116" s="38" t="s">
        <v>3951</v>
      </c>
      <c r="AA116" s="38" cm="1">
        <f t="array" aca="1" ref="AA116" ca="1">_xlfn.XLOOKUP($Y116,INDIRECT("'"&amp;$Z116&amp;"'!C1:C1000"),INDIRECT("'"&amp;$Z116&amp;"'!"&amp;AA$8&amp;"1:"&amp;AA$8&amp;"1000"))</f>
        <v>0</v>
      </c>
      <c r="AB116" s="38" t="str" cm="1">
        <f t="array" aca="1" ref="AB116" ca="1">_xlfn.XLOOKUP($Y116,INDIRECT("'"&amp;$Z116&amp;"'!C1:C1000"),INDIRECT("'"&amp;$Z116&amp;"'!"&amp;AB$8&amp;"1:"&amp;AB$8&amp;"1000"))</f>
        <v>N/A</v>
      </c>
      <c r="AC116" s="505" cm="1">
        <f t="array" aca="1" ref="AC116" ca="1">_xlfn.XLOOKUP($Y116,INDIRECT("'"&amp;$Z116&amp;"'!C1:C1000"),INDIRECT("'"&amp;$Z116&amp;"'!"&amp;AC$8&amp;"1:"&amp;AC$8&amp;"1000"))</f>
        <v>0</v>
      </c>
      <c r="AD116" s="38"/>
      <c r="AE116" s="38"/>
      <c r="AF116" s="38"/>
    </row>
    <row r="117" spans="1:32">
      <c r="A117" s="31">
        <v>874.1</v>
      </c>
      <c r="B117" s="111" t="str">
        <f>_xlfn.XLOOKUP(A117,Prices[Item '#],Prices[Description])</f>
        <v>STREET SIGN REMOVED AND RESET</v>
      </c>
      <c r="C117" s="111" t="str">
        <f>_xlfn.XLOOKUP($A117,Prices[Item '#],Prices[Units])</f>
        <v>EA</v>
      </c>
      <c r="D117" s="112">
        <f ca="1">_xlfn.IFNA(_xlfn.XLOOKUP(A117,PullFromCalcs[Item],PullFromCalcs[Quantity]),"-")</f>
        <v>0</v>
      </c>
      <c r="E117" s="114">
        <f t="shared" ca="1" si="8"/>
        <v>189</v>
      </c>
      <c r="F117" s="114">
        <f ca="1">_xlfn.IFNA(_xlfn.XLOOKUP(A117,PullFromCalcs[Item],PullFromCalcs[Price]),0)</f>
        <v>0</v>
      </c>
      <c r="G117" s="584" t="str">
        <f>_xlfn.XLOOKUP(A117,PullFromCalcs[Item],PullFromCalcs[Sheet],"MiscItems")</f>
        <v>TRAFFIC</v>
      </c>
      <c r="H117" s="113" t="e" cm="1">
        <f t="array" ref="H117">_xlfn.XLOOKUP($A117&amp;BasicProjectData!$G$18,Prices[Item '#]&amp;Prices[Location],Prices[Mean Price])</f>
        <v>#N/A</v>
      </c>
      <c r="I117" s="113" cm="1">
        <f t="array" ref="I117">_xlfn.XLOOKUP($A117&amp;"All Districts",Prices[Item '#]&amp;Prices[Location],Prices[Mean Price])</f>
        <v>188.85</v>
      </c>
      <c r="J117">
        <f t="shared" ca="1" si="9"/>
        <v>0</v>
      </c>
      <c r="K117" t="str">
        <f ca="1">IF(AND(_xlfn.IFNA(Output[[#This Row],[Mean Unit Price State]],0)=0,Output[[#This Row],[Price Override?]]=0),"CHECK","")</f>
        <v/>
      </c>
      <c r="Y117" s="447" t="s">
        <v>1772</v>
      </c>
      <c r="Z117" s="38" t="s">
        <v>3951</v>
      </c>
      <c r="AA117" s="38" cm="1">
        <f t="array" aca="1" ref="AA117" ca="1">_xlfn.XLOOKUP($Y117,INDIRECT("'"&amp;$Z117&amp;"'!C1:C1000"),INDIRECT("'"&amp;$Z117&amp;"'!"&amp;AA$8&amp;"1:"&amp;AA$8&amp;"1000"))</f>
        <v>0</v>
      </c>
      <c r="AB117" s="38" t="str" cm="1">
        <f t="array" aca="1" ref="AB117" ca="1">_xlfn.XLOOKUP($Y117,INDIRECT("'"&amp;$Z117&amp;"'!C1:C1000"),INDIRECT("'"&amp;$Z117&amp;"'!"&amp;AB$8&amp;"1:"&amp;AB$8&amp;"1000"))</f>
        <v>N/A</v>
      </c>
      <c r="AC117" s="505" cm="1">
        <f t="array" aca="1" ref="AC117" ca="1">_xlfn.XLOOKUP($Y117,INDIRECT("'"&amp;$Z117&amp;"'!C1:C1000"),INDIRECT("'"&amp;$Z117&amp;"'!"&amp;AC$8&amp;"1:"&amp;AC$8&amp;"1000"))</f>
        <v>0</v>
      </c>
      <c r="AD117" s="38"/>
      <c r="AE117" s="38"/>
      <c r="AF117" s="38"/>
    </row>
    <row r="118" spans="1:32">
      <c r="A118" s="31">
        <v>874.2</v>
      </c>
      <c r="B118" s="111" t="str">
        <f>_xlfn.XLOOKUP(A118,Prices[Item '#],Prices[Description])</f>
        <v>TRAFFIC SIGN REMOVED AND RESET</v>
      </c>
      <c r="C118" s="111" t="str">
        <f>_xlfn.XLOOKUP($A118,Prices[Item '#],Prices[Units])</f>
        <v>EA</v>
      </c>
      <c r="D118" s="112">
        <f ca="1">_xlfn.IFNA(_xlfn.XLOOKUP(A118,PullFromCalcs[Item],PullFromCalcs[Quantity]),"-")</f>
        <v>0</v>
      </c>
      <c r="E118" s="114">
        <f t="shared" ca="1" si="8"/>
        <v>188</v>
      </c>
      <c r="F118" s="114">
        <f ca="1">_xlfn.IFNA(_xlfn.XLOOKUP(A118,PullFromCalcs[Item],PullFromCalcs[Price]),0)</f>
        <v>0</v>
      </c>
      <c r="G118" s="584" t="str">
        <f>_xlfn.XLOOKUP(A118,PullFromCalcs[Item],PullFromCalcs[Sheet],"MiscItems")</f>
        <v>TRAFFIC</v>
      </c>
      <c r="H118" s="113" t="e" cm="1">
        <f t="array" ref="H118">_xlfn.XLOOKUP($A118&amp;BasicProjectData!$G$18,Prices[Item '#]&amp;Prices[Location],Prices[Mean Price])</f>
        <v>#N/A</v>
      </c>
      <c r="I118" s="113" cm="1">
        <f t="array" ref="I118">_xlfn.XLOOKUP($A118&amp;"All Districts",Prices[Item '#]&amp;Prices[Location],Prices[Mean Price])</f>
        <v>187.24</v>
      </c>
      <c r="J118">
        <f t="shared" ca="1" si="9"/>
        <v>0</v>
      </c>
      <c r="K118" t="str">
        <f ca="1">IF(AND(_xlfn.IFNA(Output[[#This Row],[Mean Unit Price State]],0)=0,Output[[#This Row],[Price Override?]]=0),"CHECK","")</f>
        <v/>
      </c>
      <c r="Y118" s="447" t="s">
        <v>1773</v>
      </c>
      <c r="Z118" s="38" t="s">
        <v>3951</v>
      </c>
      <c r="AA118" s="38" cm="1">
        <f t="array" aca="1" ref="AA118" ca="1">_xlfn.XLOOKUP($Y118,INDIRECT("'"&amp;$Z118&amp;"'!C1:C1000"),INDIRECT("'"&amp;$Z118&amp;"'!"&amp;AA$8&amp;"1:"&amp;AA$8&amp;"1000"))</f>
        <v>0</v>
      </c>
      <c r="AB118" s="38" t="str" cm="1">
        <f t="array" aca="1" ref="AB118" ca="1">_xlfn.XLOOKUP($Y118,INDIRECT("'"&amp;$Z118&amp;"'!C1:C1000"),INDIRECT("'"&amp;$Z118&amp;"'!"&amp;AB$8&amp;"1:"&amp;AB$8&amp;"1000"))</f>
        <v>N/A</v>
      </c>
      <c r="AC118" s="505" cm="1">
        <f t="array" aca="1" ref="AC118" ca="1">_xlfn.XLOOKUP($Y118,INDIRECT("'"&amp;$Z118&amp;"'!C1:C1000"),INDIRECT("'"&amp;$Z118&amp;"'!"&amp;AC$8&amp;"1:"&amp;AC$8&amp;"1000"))</f>
        <v>0</v>
      </c>
      <c r="AD118" s="38"/>
      <c r="AE118" s="38"/>
      <c r="AF118" s="38"/>
    </row>
    <row r="119" spans="1:32">
      <c r="A119" s="116">
        <v>901</v>
      </c>
      <c r="B119" s="111" t="str">
        <f>_xlfn.XLOOKUP(A119,Prices[Item '#],Prices[Description])</f>
        <v>4000 PSI, 1.5 INCH, 565 CEMENT CONCRETE</v>
      </c>
      <c r="C119" s="111" t="str">
        <f>_xlfn.XLOOKUP($A119,Prices[Item '#],Prices[Units])</f>
        <v>CY</v>
      </c>
      <c r="D119" s="112">
        <f ca="1">_xlfn.IFNA(_xlfn.XLOOKUP(A119,PullFromCalcs[Item],PullFromCalcs[Quantity]),"-")</f>
        <v>0</v>
      </c>
      <c r="E119" s="114">
        <f t="shared" ca="1" si="8"/>
        <v>1922</v>
      </c>
      <c r="F119" s="114">
        <f ca="1">_xlfn.IFNA(_xlfn.XLOOKUP(A119,PullFromCalcs[Item],PullFromCalcs[Price]),0)</f>
        <v>0</v>
      </c>
      <c r="G119" s="584" t="str">
        <f>_xlfn.XLOOKUP(A119,PullFromCalcs[Item],PullFromCalcs[Sheet],"MiscItems")</f>
        <v>EDGING</v>
      </c>
      <c r="H119" s="113" t="e" cm="1">
        <f t="array" ref="H119">_xlfn.XLOOKUP($A119&amp;BasicProjectData!$G$18,Prices[Item '#]&amp;Prices[Location],Prices[Mean Price])</f>
        <v>#N/A</v>
      </c>
      <c r="I119" s="113" cm="1">
        <f t="array" ref="I119">_xlfn.XLOOKUP($A119&amp;"All Districts",Prices[Item '#]&amp;Prices[Location],Prices[Mean Price])</f>
        <v>1921.02</v>
      </c>
      <c r="J119">
        <f t="shared" ca="1" si="9"/>
        <v>0</v>
      </c>
      <c r="K119" t="str">
        <f ca="1">IF(AND(_xlfn.IFNA(Output[[#This Row],[Mean Unit Price State]],0)=0,Output[[#This Row],[Price Override?]]=0),"CHECK","")</f>
        <v/>
      </c>
      <c r="Y119" s="447" t="s">
        <v>1770</v>
      </c>
      <c r="Z119" s="38" t="s">
        <v>3951</v>
      </c>
      <c r="AA119" s="38" cm="1">
        <f t="array" aca="1" ref="AA119" ca="1">_xlfn.XLOOKUP($Y119,INDIRECT("'"&amp;$Z119&amp;"'!C1:C1000"),INDIRECT("'"&amp;$Z119&amp;"'!"&amp;AA$8&amp;"1:"&amp;AA$8&amp;"1000"))</f>
        <v>0</v>
      </c>
      <c r="AB119" s="38" t="str" cm="1">
        <f t="array" aca="1" ref="AB119" ca="1">_xlfn.XLOOKUP($Y119,INDIRECT("'"&amp;$Z119&amp;"'!C1:C1000"),INDIRECT("'"&amp;$Z119&amp;"'!"&amp;AB$8&amp;"1:"&amp;AB$8&amp;"1000"))</f>
        <v>N/A</v>
      </c>
      <c r="AC119" s="505" cm="1">
        <f t="array" aca="1" ref="AC119" ca="1">_xlfn.XLOOKUP($Y119,INDIRECT("'"&amp;$Z119&amp;"'!C1:C1000"),INDIRECT("'"&amp;$Z119&amp;"'!"&amp;AC$8&amp;"1:"&amp;AC$8&amp;"1000"))</f>
        <v>0</v>
      </c>
      <c r="AD119" s="38"/>
      <c r="AE119" s="38"/>
      <c r="AF119" s="38"/>
    </row>
    <row r="120" spans="1:32">
      <c r="A120" s="116">
        <v>904.4</v>
      </c>
      <c r="B120" s="111" t="str">
        <f>_xlfn.XLOOKUP(A120,Prices[Item '#],Prices[Description])</f>
        <v>4000 PSI, 3/4 INCH, 585 HP CEMENT CONCRETE</v>
      </c>
      <c r="C120" s="111" t="str">
        <f>_xlfn.XLOOKUP($A120,Prices[Item '#],Prices[Units])</f>
        <v>CY</v>
      </c>
      <c r="D120" s="112">
        <f ca="1">_xlfn.IFNA(_xlfn.XLOOKUP(A120,PullFromCalcs[Item],PullFromCalcs[Quantity]),"-")</f>
        <v>0</v>
      </c>
      <c r="E120" s="114">
        <f t="shared" ca="1" si="8"/>
        <v>3070</v>
      </c>
      <c r="F120" s="114">
        <f ca="1">_xlfn.IFNA(_xlfn.XLOOKUP(A120,PullFromCalcs[Item],PullFromCalcs[Price]),0)</f>
        <v>0</v>
      </c>
      <c r="G120" s="584" t="str">
        <f>_xlfn.XLOOKUP(A120,PullFromCalcs[Item],PullFromCalcs[Sheet],"MiscItems")</f>
        <v>DRAINAGE</v>
      </c>
      <c r="H120" s="113" t="e" cm="1">
        <f t="array" ref="H120">_xlfn.XLOOKUP($A120&amp;BasicProjectData!$G$18,Prices[Item '#]&amp;Prices[Location],Prices[Mean Price])</f>
        <v>#N/A</v>
      </c>
      <c r="I120" s="113" cm="1">
        <f t="array" ref="I120">_xlfn.XLOOKUP($A120&amp;"All Districts",Prices[Item '#]&amp;Prices[Location],Prices[Mean Price])</f>
        <v>3069.71</v>
      </c>
      <c r="J120">
        <f t="shared" ca="1" si="9"/>
        <v>0</v>
      </c>
      <c r="K120" t="str">
        <f ca="1">IF(AND(_xlfn.IFNA(Output[[#This Row],[Mean Unit Price State]],0)=0,Output[[#This Row],[Price Override?]]=0),"CHECK","")</f>
        <v/>
      </c>
      <c r="Y120" s="447" t="s">
        <v>1774</v>
      </c>
      <c r="Z120" s="38" t="s">
        <v>3951</v>
      </c>
      <c r="AA120" s="38" cm="1">
        <f t="array" aca="1" ref="AA120" ca="1">_xlfn.XLOOKUP($Y120,INDIRECT("'"&amp;$Z120&amp;"'!C1:C1000"),INDIRECT("'"&amp;$Z120&amp;"'!"&amp;AA$8&amp;"1:"&amp;AA$8&amp;"1000"))</f>
        <v>0</v>
      </c>
      <c r="AB120" s="38" t="str" cm="1">
        <f t="array" aca="1" ref="AB120" ca="1">_xlfn.XLOOKUP($Y120,INDIRECT("'"&amp;$Z120&amp;"'!C1:C1000"),INDIRECT("'"&amp;$Z120&amp;"'!"&amp;AB$8&amp;"1:"&amp;AB$8&amp;"1000"))</f>
        <v>N/A</v>
      </c>
      <c r="AC120" s="505" cm="1">
        <f t="array" aca="1" ref="AC120" ca="1">_xlfn.XLOOKUP($Y120,INDIRECT("'"&amp;$Z120&amp;"'!C1:C1000"),INDIRECT("'"&amp;$Z120&amp;"'!"&amp;AC$8&amp;"1:"&amp;AC$8&amp;"1000"))</f>
        <v>0</v>
      </c>
      <c r="AD120" s="38"/>
      <c r="AE120" s="38"/>
      <c r="AF120" s="38"/>
    </row>
    <row r="121" spans="1:32">
      <c r="A121" s="116">
        <v>910.1</v>
      </c>
      <c r="B121" s="111" t="str">
        <f>_xlfn.XLOOKUP(A121,Prices[Item '#],Prices[Description])</f>
        <v>STEEL REINFORCEMENT FOR STRUCTURES - EPOXY COATED</v>
      </c>
      <c r="C121" s="111" t="str">
        <f>_xlfn.XLOOKUP($A121,Prices[Item '#],Prices[Units])</f>
        <v>LB</v>
      </c>
      <c r="D121" s="112">
        <f ca="1">_xlfn.IFNA(_xlfn.XLOOKUP(A121,PullFromCalcs[Item],PullFromCalcs[Quantity]),"-")</f>
        <v>0</v>
      </c>
      <c r="E121" s="114">
        <f t="shared" ca="1" si="8"/>
        <v>4</v>
      </c>
      <c r="F121" s="114">
        <f ca="1">_xlfn.IFNA(_xlfn.XLOOKUP(A121,PullFromCalcs[Item],PullFromCalcs[Price]),0)</f>
        <v>0</v>
      </c>
      <c r="G121" s="584" t="str">
        <f>_xlfn.XLOOKUP(A121,PullFromCalcs[Item],PullFromCalcs[Sheet],"MiscItems")</f>
        <v>DRAINAGE</v>
      </c>
      <c r="H121" s="113" t="e" cm="1">
        <f t="array" ref="H121">_xlfn.XLOOKUP($A121&amp;BasicProjectData!$G$18,Prices[Item '#]&amp;Prices[Location],Prices[Mean Price])</f>
        <v>#N/A</v>
      </c>
      <c r="I121" s="113" cm="1">
        <f t="array" ref="I121">_xlfn.XLOOKUP($A121&amp;"All Districts",Prices[Item '#]&amp;Prices[Location],Prices[Mean Price])</f>
        <v>3.94</v>
      </c>
      <c r="J121">
        <f t="shared" ca="1" si="9"/>
        <v>0</v>
      </c>
      <c r="K121" t="str">
        <f ca="1">IF(AND(_xlfn.IFNA(Output[[#This Row],[Mean Unit Price State]],0)=0,Output[[#This Row],[Price Override?]]=0),"CHECK","")</f>
        <v/>
      </c>
      <c r="Y121" s="447" t="s">
        <v>1775</v>
      </c>
      <c r="Z121" s="38" t="s">
        <v>3951</v>
      </c>
      <c r="AA121" s="38" cm="1">
        <f t="array" aca="1" ref="AA121" ca="1">_xlfn.XLOOKUP($Y121,INDIRECT("'"&amp;$Z121&amp;"'!C1:C1000"),INDIRECT("'"&amp;$Z121&amp;"'!"&amp;AA$8&amp;"1:"&amp;AA$8&amp;"1000"))</f>
        <v>0</v>
      </c>
      <c r="AB121" s="38" cm="1">
        <f t="array" aca="1" ref="AB121" ca="1">_xlfn.XLOOKUP($Y121,INDIRECT("'"&amp;$Z121&amp;"'!C1:C1000"),INDIRECT("'"&amp;$Z121&amp;"'!"&amp;AB$8&amp;"1:"&amp;AB$8&amp;"1000"))</f>
        <v>5.6250000000000001E-2</v>
      </c>
      <c r="AC121" s="505" cm="1">
        <f t="array" aca="1" ref="AC121" ca="1">_xlfn.XLOOKUP($Y121,INDIRECT("'"&amp;$Z121&amp;"'!C1:C1000"),INDIRECT("'"&amp;$Z121&amp;"'!"&amp;AC$8&amp;"1:"&amp;AC$8&amp;"1000"))</f>
        <v>0</v>
      </c>
      <c r="AD121" s="38"/>
      <c r="AE121" s="38"/>
      <c r="AF121" s="38"/>
    </row>
    <row r="122" spans="1:32">
      <c r="A122" s="116">
        <v>970</v>
      </c>
      <c r="B122" s="111" t="str">
        <f>_xlfn.XLOOKUP(A122,Prices[Item '#],Prices[Description])</f>
        <v>DAMP-PROOFING</v>
      </c>
      <c r="C122" s="111" t="str">
        <f>_xlfn.XLOOKUP($A122,Prices[Item '#],Prices[Units])</f>
        <v>SF</v>
      </c>
      <c r="D122" s="112">
        <f ca="1">_xlfn.IFNA(_xlfn.XLOOKUP(A122,PullFromCalcs[Item],PullFromCalcs[Quantity]),"-")</f>
        <v>0</v>
      </c>
      <c r="E122" s="114">
        <f t="shared" ca="1" si="8"/>
        <v>11</v>
      </c>
      <c r="F122" s="114">
        <f ca="1">_xlfn.IFNA(_xlfn.XLOOKUP(A122,PullFromCalcs[Item],PullFromCalcs[Price]),0)</f>
        <v>0</v>
      </c>
      <c r="G122" s="584" t="str">
        <f>_xlfn.XLOOKUP(A122,PullFromCalcs[Item],PullFromCalcs[Sheet],"MiscItems")</f>
        <v>EDGING</v>
      </c>
      <c r="H122" s="113" t="e" cm="1">
        <f t="array" ref="H122">_xlfn.XLOOKUP($A122&amp;BasicProjectData!$G$18,Prices[Item '#]&amp;Prices[Location],Prices[Mean Price])</f>
        <v>#N/A</v>
      </c>
      <c r="I122" s="113" cm="1">
        <f t="array" ref="I122">_xlfn.XLOOKUP($A122&amp;"All Districts",Prices[Item '#]&amp;Prices[Location],Prices[Mean Price])</f>
        <v>10.07</v>
      </c>
      <c r="J122">
        <f t="shared" ca="1" si="9"/>
        <v>0</v>
      </c>
      <c r="K122" t="str">
        <f ca="1">IF(AND(_xlfn.IFNA(Output[[#This Row],[Mean Unit Price State]],0)=0,Output[[#This Row],[Price Override?]]=0),"CHECK","")</f>
        <v/>
      </c>
      <c r="Y122" s="447" t="s">
        <v>1776</v>
      </c>
      <c r="Z122" s="38" t="s">
        <v>3951</v>
      </c>
      <c r="AA122" s="38" cm="1">
        <f t="array" aca="1" ref="AA122" ca="1">_xlfn.XLOOKUP($Y122,INDIRECT("'"&amp;$Z122&amp;"'!C1:C1000"),INDIRECT("'"&amp;$Z122&amp;"'!"&amp;AA$8&amp;"1:"&amp;AA$8&amp;"1000"))</f>
        <v>0</v>
      </c>
      <c r="AB122" s="38" t="str" cm="1">
        <f t="array" aca="1" ref="AB122" ca="1">_xlfn.XLOOKUP($Y122,INDIRECT("'"&amp;$Z122&amp;"'!C1:C1000"),INDIRECT("'"&amp;$Z122&amp;"'!"&amp;AB$8&amp;"1:"&amp;AB$8&amp;"1000"))</f>
        <v>N/A</v>
      </c>
      <c r="AC122" s="505" cm="1">
        <f t="array" aca="1" ref="AC122" ca="1">_xlfn.XLOOKUP($Y122,INDIRECT("'"&amp;$Z122&amp;"'!C1:C1000"),INDIRECT("'"&amp;$Z122&amp;"'!"&amp;AC$8&amp;"1:"&amp;AC$8&amp;"1000"))</f>
        <v>0</v>
      </c>
      <c r="AD122" s="38"/>
      <c r="AE122" s="38"/>
      <c r="AF122" s="38"/>
    </row>
    <row r="123" spans="1:32">
      <c r="A123" s="116">
        <v>996.51</v>
      </c>
      <c r="B123" s="686" t="s">
        <v>1672</v>
      </c>
      <c r="C123" s="117" t="s">
        <v>3</v>
      </c>
      <c r="D123" s="112">
        <f ca="1">_xlfn.IFNA(_xlfn.XLOOKUP(A123,PullFromCalcs[Item],PullFromCalcs[Quantity]),"-")</f>
        <v>0</v>
      </c>
      <c r="E123" s="114">
        <f t="shared" si="8"/>
        <v>75</v>
      </c>
      <c r="F123" s="114">
        <f ca="1">_xlfn.IFNA(_xlfn.XLOOKUP(A123,PullFromCalcs[Item],PullFromCalcs[Price]),0)</f>
        <v>0</v>
      </c>
      <c r="G123" s="584" t="str">
        <f>_xlfn.XLOOKUP(A123,PullFromCalcs[Item],PullFromCalcs[Sheet],"MiscItems")</f>
        <v>EDGING</v>
      </c>
      <c r="H123" s="113" t="e" cm="1">
        <f t="array" ref="H123">_xlfn.XLOOKUP($A123&amp;BasicProjectData!$G$18,Prices[Item '#]&amp;Prices[Location],Prices[Mean Price])</f>
        <v>#N/A</v>
      </c>
      <c r="I123" s="1134" t="e" cm="1">
        <f t="array" ref="I123">_xlfn.XLOOKUP($A123&amp;"All Districts",Prices[Item '#]&amp;Prices[Location],Prices[Mean Price])</f>
        <v>#N/A</v>
      </c>
      <c r="J123" s="1135">
        <v>75</v>
      </c>
      <c r="K123" t="str">
        <f>IF(AND(_xlfn.IFNA(Output[[#This Row],[Mean Unit Price State]],0)=0,Output[[#This Row],[Price Override?]]=0),"CHECK","")</f>
        <v/>
      </c>
      <c r="Y123" s="447" t="s">
        <v>1777</v>
      </c>
      <c r="Z123" s="38" t="s">
        <v>3951</v>
      </c>
      <c r="AA123" s="38" cm="1">
        <f t="array" aca="1" ref="AA123" ca="1">_xlfn.XLOOKUP($Y123,INDIRECT("'"&amp;$Z123&amp;"'!C1:C1000"),INDIRECT("'"&amp;$Z123&amp;"'!"&amp;AA$8&amp;"1:"&amp;AA$8&amp;"1000"))</f>
        <v>0</v>
      </c>
      <c r="AB123" s="38" cm="1">
        <f t="array" aca="1" ref="AB123" ca="1">_xlfn.XLOOKUP($Y123,INDIRECT("'"&amp;$Z123&amp;"'!C1:C1000"),INDIRECT("'"&amp;$Z123&amp;"'!"&amp;AB$8&amp;"1:"&amp;AB$8&amp;"1000"))</f>
        <v>0.1125</v>
      </c>
      <c r="AC123" s="505" cm="1">
        <f t="array" aca="1" ref="AC123" ca="1">_xlfn.XLOOKUP($Y123,INDIRECT("'"&amp;$Z123&amp;"'!C1:C1000"),INDIRECT("'"&amp;$Z123&amp;"'!"&amp;AC$8&amp;"1:"&amp;AC$8&amp;"1000"))</f>
        <v>0</v>
      </c>
      <c r="AD123" s="38"/>
      <c r="AE123" s="38"/>
      <c r="AF123" s="38"/>
    </row>
    <row r="124" spans="1:32" s="1123" customFormat="1">
      <c r="A124" s="1116" t="s">
        <v>1768</v>
      </c>
      <c r="B124" s="1117" t="s">
        <v>1763</v>
      </c>
      <c r="C124" s="1118" t="s">
        <v>1</v>
      </c>
      <c r="D124" s="1119">
        <f ca="1">_xlfn.IFNA(_xlfn.XLOOKUP(A124,PullFromCalcs[Item],PullFromCalcs[Quantity]),"-")</f>
        <v>0</v>
      </c>
      <c r="E124" s="1120">
        <f>PVMTPRES!J7</f>
        <v>0.6</v>
      </c>
      <c r="F124" s="1120">
        <f ca="1">_xlfn.IFNA(_xlfn.XLOOKUP(A124,PullFromCalcs[Item],PullFromCalcs[Price]),0)</f>
        <v>0</v>
      </c>
      <c r="G124" s="1121" t="str">
        <f>_xlfn.XLOOKUP(A124,PullFromCalcs[Item],PullFromCalcs[Sheet],"MiscItems")</f>
        <v>PVMTPRES</v>
      </c>
      <c r="H124" s="1122" t="e" cm="1">
        <f t="array" ref="H124">_xlfn.XLOOKUP($A124&amp;BasicProjectData!$G$18,Prices[Item '#]&amp;Prices[Location],Prices[Mean Price])</f>
        <v>#N/A</v>
      </c>
      <c r="I124" s="1122" t="e" cm="1">
        <f t="array" ref="I124">_xlfn.XLOOKUP($A124&amp;"All Districts",Prices[Item '#]&amp;Prices[Location],Prices[Mean Price])</f>
        <v>#N/A</v>
      </c>
      <c r="K124" s="1123" t="str">
        <f>IF(AND(_xlfn.IFNA(Output[[#This Row],[Mean Unit Price State]],0)=0,Output[[#This Row],[Price Override?]]=0),"CHECK","")</f>
        <v>CHECK</v>
      </c>
      <c r="Y124" s="447" t="s">
        <v>1778</v>
      </c>
      <c r="Z124" s="38" t="s">
        <v>3951</v>
      </c>
      <c r="AA124" s="38" cm="1">
        <f t="array" aca="1" ref="AA124" ca="1">_xlfn.XLOOKUP($Y124,INDIRECT("'"&amp;$Z124&amp;"'!C1:C1000"),INDIRECT("'"&amp;$Z124&amp;"'!"&amp;AA$8&amp;"1:"&amp;AA$8&amp;"1000"))</f>
        <v>0</v>
      </c>
      <c r="AB124" s="38" cm="1">
        <f t="array" aca="1" ref="AB124" ca="1">_xlfn.XLOOKUP($Y124,INDIRECT("'"&amp;$Z124&amp;"'!C1:C1000"),INDIRECT("'"&amp;$Z124&amp;"'!"&amp;AB$8&amp;"1:"&amp;AB$8&amp;"1000"))</f>
        <v>0.1125</v>
      </c>
      <c r="AC124" s="505" cm="1">
        <f t="array" aca="1" ref="AC124" ca="1">_xlfn.XLOOKUP($Y124,INDIRECT("'"&amp;$Z124&amp;"'!C1:C1000"),INDIRECT("'"&amp;$Z124&amp;"'!"&amp;AC$8&amp;"1:"&amp;AC$8&amp;"1000"))</f>
        <v>0</v>
      </c>
      <c r="AD124" s="38"/>
      <c r="AE124" s="1125"/>
      <c r="AF124" s="1125"/>
    </row>
    <row r="125" spans="1:32" s="1123" customFormat="1">
      <c r="A125" s="1116" t="s">
        <v>1777</v>
      </c>
      <c r="B125" s="1117" t="s">
        <v>1746</v>
      </c>
      <c r="C125" s="1127" t="s">
        <v>1</v>
      </c>
      <c r="D125" s="1119">
        <f ca="1">_xlfn.IFNA(_xlfn.XLOOKUP(A125,PullFromCalcs[Item],PullFromCalcs[Quantity]),"-")</f>
        <v>0</v>
      </c>
      <c r="E125" s="1120">
        <f>PVMTPRES!J16</f>
        <v>8</v>
      </c>
      <c r="F125" s="1120">
        <f ca="1">_xlfn.IFNA(_xlfn.XLOOKUP(A125,PullFromCalcs[Item],PullFromCalcs[Price]),0)</f>
        <v>0</v>
      </c>
      <c r="G125" s="1121" t="str">
        <f>_xlfn.XLOOKUP(A125,PullFromCalcs[Item],PullFromCalcs[Sheet],"MiscItems")</f>
        <v>PVMTPRES</v>
      </c>
      <c r="H125" s="1122" t="e" cm="1">
        <f t="array" ref="H125">_xlfn.XLOOKUP($A125&amp;BasicProjectData!$G$18,Prices[Item '#]&amp;Prices[Location],Prices[Mean Price])</f>
        <v>#N/A</v>
      </c>
      <c r="I125" s="1122" t="e" cm="1">
        <f t="array" ref="I125">_xlfn.XLOOKUP($A125&amp;"All Districts",Prices[Item '#]&amp;Prices[Location],Prices[Mean Price])</f>
        <v>#N/A</v>
      </c>
      <c r="K125" s="1123" t="str">
        <f>IF(AND(_xlfn.IFNA(Output[[#This Row],[Mean Unit Price State]],0)=0,Output[[#This Row],[Price Override?]]=0),"CHECK","")</f>
        <v>CHECK</v>
      </c>
      <c r="Y125" s="447" t="s">
        <v>1779</v>
      </c>
      <c r="Z125" s="38" t="s">
        <v>3951</v>
      </c>
      <c r="AA125" s="38" cm="1">
        <f t="array" aca="1" ref="AA125" ca="1">_xlfn.XLOOKUP($Y125,INDIRECT("'"&amp;$Z125&amp;"'!C1:C1000"),INDIRECT("'"&amp;$Z125&amp;"'!"&amp;AA$8&amp;"1:"&amp;AA$8&amp;"1000"))</f>
        <v>0</v>
      </c>
      <c r="AB125" s="38" t="str" cm="1">
        <f t="array" aca="1" ref="AB125" ca="1">_xlfn.XLOOKUP($Y125,INDIRECT("'"&amp;$Z125&amp;"'!C1:C1000"),INDIRECT("'"&amp;$Z125&amp;"'!"&amp;AB$8&amp;"1:"&amp;AB$8&amp;"1000"))</f>
        <v>N/A</v>
      </c>
      <c r="AC125" s="505" cm="1">
        <f t="array" aca="1" ref="AC125" ca="1">_xlfn.XLOOKUP($Y125,INDIRECT("'"&amp;$Z125&amp;"'!C1:C1000"),INDIRECT("'"&amp;$Z125&amp;"'!"&amp;AC$8&amp;"1:"&amp;AC$8&amp;"1000"))</f>
        <v>0</v>
      </c>
      <c r="AD125" s="38"/>
      <c r="AE125" s="1125"/>
      <c r="AF125" s="1125"/>
    </row>
    <row r="126" spans="1:32" s="1123" customFormat="1">
      <c r="A126" s="1116" t="s">
        <v>1778</v>
      </c>
      <c r="B126" s="1117" t="s">
        <v>1589</v>
      </c>
      <c r="C126" s="1128" t="s">
        <v>1</v>
      </c>
      <c r="D126" s="1119">
        <f ca="1">_xlfn.IFNA(_xlfn.XLOOKUP(A126,PullFromCalcs[Item],PullFromCalcs[Quantity]),"-")</f>
        <v>0</v>
      </c>
      <c r="E126" s="1120">
        <f>PVMTPRES!J17</f>
        <v>10</v>
      </c>
      <c r="F126" s="1120">
        <f ca="1">_xlfn.IFNA(_xlfn.XLOOKUP(A126,PullFromCalcs[Item],PullFromCalcs[Price]),0)</f>
        <v>0</v>
      </c>
      <c r="G126" s="1121" t="str">
        <f>_xlfn.XLOOKUP(A126,PullFromCalcs[Item],PullFromCalcs[Sheet],"MiscItems")</f>
        <v>PVMTPRES</v>
      </c>
      <c r="H126" s="1122" t="e" cm="1">
        <f t="array" ref="H126">_xlfn.XLOOKUP($A126&amp;BasicProjectData!$G$18,Prices[Item '#]&amp;Prices[Location],Prices[Mean Price])</f>
        <v>#N/A</v>
      </c>
      <c r="I126" s="1122" t="e" cm="1">
        <f t="array" ref="I126">_xlfn.XLOOKUP($A126&amp;"All Districts",Prices[Item '#]&amp;Prices[Location],Prices[Mean Price])</f>
        <v>#N/A</v>
      </c>
      <c r="K126" s="1123" t="str">
        <f>IF(AND(_xlfn.IFNA(Output[[#This Row],[Mean Unit Price State]],0)=0,Output[[#This Row],[Price Override?]]=0),"CHECK","")</f>
        <v>CHECK</v>
      </c>
      <c r="Y126" s="1124" t="s">
        <v>1780</v>
      </c>
      <c r="Z126" s="1125" t="s">
        <v>3951</v>
      </c>
      <c r="AA126" s="1125" cm="1">
        <f t="array" aca="1" ref="AA126" ca="1">_xlfn.XLOOKUP($Y126,INDIRECT("'"&amp;$Z126&amp;"'!C1:C1000"),INDIRECT("'"&amp;$Z126&amp;"'!"&amp;AA$8&amp;"1:"&amp;AA$8&amp;"1000"))</f>
        <v>0</v>
      </c>
      <c r="AB126" s="1125" cm="1">
        <f t="array" aca="1" ref="AB126" ca="1">_xlfn.XLOOKUP($Y126,INDIRECT("'"&amp;$Z126&amp;"'!C1:C1000"),INDIRECT("'"&amp;$Z126&amp;"'!"&amp;AB$8&amp;"1:"&amp;AB$8&amp;"1000"))</f>
        <v>8.4375000000000006E-2</v>
      </c>
      <c r="AC126" s="1126" cm="1">
        <f t="array" aca="1" ref="AC126" ca="1">_xlfn.XLOOKUP($Y126,INDIRECT("'"&amp;$Z126&amp;"'!C1:C1000"),INDIRECT("'"&amp;$Z126&amp;"'!"&amp;AC$8&amp;"1:"&amp;AC$8&amp;"1000"))</f>
        <v>0</v>
      </c>
      <c r="AD126" s="1125"/>
      <c r="AE126" s="1125"/>
      <c r="AF126" s="1125"/>
    </row>
    <row r="127" spans="1:32" s="1123" customFormat="1">
      <c r="A127" s="1116" t="s">
        <v>1779</v>
      </c>
      <c r="B127" s="1117" t="s">
        <v>1748</v>
      </c>
      <c r="C127" s="1128" t="s">
        <v>1</v>
      </c>
      <c r="D127" s="1119">
        <f ca="1">_xlfn.IFNA(_xlfn.XLOOKUP(A127,PullFromCalcs[Item],PullFromCalcs[Quantity]),"-")</f>
        <v>0</v>
      </c>
      <c r="E127" s="1120">
        <f>PVMTPRES!J18</f>
        <v>11</v>
      </c>
      <c r="F127" s="1120">
        <f ca="1">_xlfn.IFNA(_xlfn.XLOOKUP(A127,PullFromCalcs[Item],PullFromCalcs[Price]),0)</f>
        <v>0</v>
      </c>
      <c r="G127" s="1121" t="str">
        <f>_xlfn.XLOOKUP(A127,PullFromCalcs[Item],PullFromCalcs[Sheet],"MiscItems")</f>
        <v>PVMTPRES</v>
      </c>
      <c r="H127" s="1122" t="e" cm="1">
        <f t="array" ref="H127">_xlfn.XLOOKUP($A127&amp;BasicProjectData!$G$18,Prices[Item '#]&amp;Prices[Location],Prices[Mean Price])</f>
        <v>#N/A</v>
      </c>
      <c r="I127" s="1122" t="e" cm="1">
        <f t="array" ref="I127">_xlfn.XLOOKUP($A127&amp;"All Districts",Prices[Item '#]&amp;Prices[Location],Prices[Mean Price])</f>
        <v>#N/A</v>
      </c>
      <c r="K127" s="1123" t="str">
        <f>IF(AND(_xlfn.IFNA(Output[[#This Row],[Mean Unit Price State]],0)=0,Output[[#This Row],[Price Override?]]=0),"CHECK","")</f>
        <v>CHECK</v>
      </c>
      <c r="Y127" s="1124" t="s">
        <v>1781</v>
      </c>
      <c r="Z127" s="1125" t="s">
        <v>3951</v>
      </c>
      <c r="AA127" s="1125" cm="1">
        <f t="array" aca="1" ref="AA127" ca="1">_xlfn.XLOOKUP($Y127,INDIRECT("'"&amp;$Z127&amp;"'!C1:C1000"),INDIRECT("'"&amp;$Z127&amp;"'!"&amp;AA$8&amp;"1:"&amp;AA$8&amp;"1000"))</f>
        <v>0</v>
      </c>
      <c r="AB127" s="1125" cm="1">
        <f t="array" aca="1" ref="AB127" ca="1">_xlfn.XLOOKUP($Y127,INDIRECT("'"&amp;$Z127&amp;"'!C1:C1000"),INDIRECT("'"&amp;$Z127&amp;"'!"&amp;AB$8&amp;"1:"&amp;AB$8&amp;"1000"))</f>
        <v>8.4375000000000006E-2</v>
      </c>
      <c r="AC127" s="1126" cm="1">
        <f t="array" aca="1" ref="AC127" ca="1">_xlfn.XLOOKUP($Y127,INDIRECT("'"&amp;$Z127&amp;"'!C1:C1000"),INDIRECT("'"&amp;$Z127&amp;"'!"&amp;AC$8&amp;"1:"&amp;AC$8&amp;"1000"))</f>
        <v>0</v>
      </c>
      <c r="AD127" s="1125"/>
      <c r="AE127" s="1125"/>
      <c r="AF127" s="1125"/>
    </row>
    <row r="128" spans="1:32" s="1123" customFormat="1">
      <c r="A128" s="1116" t="s">
        <v>1780</v>
      </c>
      <c r="B128" s="1117" t="s">
        <v>1749</v>
      </c>
      <c r="C128" s="1128" t="s">
        <v>1</v>
      </c>
      <c r="D128" s="1119">
        <f ca="1">_xlfn.IFNA(_xlfn.XLOOKUP(A128,PullFromCalcs[Item],PullFromCalcs[Quantity]),"-")</f>
        <v>0</v>
      </c>
      <c r="E128" s="1120">
        <f>PVMTPRES!J19</f>
        <v>14</v>
      </c>
      <c r="F128" s="1120">
        <f ca="1">_xlfn.IFNA(_xlfn.XLOOKUP(A128,PullFromCalcs[Item],PullFromCalcs[Price]),0)</f>
        <v>0</v>
      </c>
      <c r="G128" s="1121" t="str">
        <f>_xlfn.XLOOKUP(A128,PullFromCalcs[Item],PullFromCalcs[Sheet],"MiscItems")</f>
        <v>PVMTPRES</v>
      </c>
      <c r="H128" s="1122" t="e" cm="1">
        <f t="array" ref="H128">_xlfn.XLOOKUP($A128&amp;BasicProjectData!$G$18,Prices[Item '#]&amp;Prices[Location],Prices[Mean Price])</f>
        <v>#N/A</v>
      </c>
      <c r="I128" s="1122" t="e" cm="1">
        <f t="array" ref="I128">_xlfn.XLOOKUP($A128&amp;"All Districts",Prices[Item '#]&amp;Prices[Location],Prices[Mean Price])</f>
        <v>#N/A</v>
      </c>
      <c r="K128" s="1123" t="str">
        <f>IF(AND(_xlfn.IFNA(Output[[#This Row],[Mean Unit Price State]],0)=0,Output[[#This Row],[Price Override?]]=0),"CHECK","")</f>
        <v>CHECK</v>
      </c>
      <c r="Y128" s="1124" t="s">
        <v>1782</v>
      </c>
      <c r="Z128" s="1125" t="s">
        <v>3951</v>
      </c>
      <c r="AA128" s="1125" cm="1">
        <f t="array" aca="1" ref="AA128" ca="1">_xlfn.XLOOKUP($Y128,INDIRECT("'"&amp;$Z128&amp;"'!C1:C1000"),INDIRECT("'"&amp;$Z128&amp;"'!"&amp;AA$8&amp;"1:"&amp;AA$8&amp;"1000"))</f>
        <v>0</v>
      </c>
      <c r="AB128" s="1125" cm="1">
        <f t="array" aca="1" ref="AB128" ca="1">_xlfn.XLOOKUP($Y128,INDIRECT("'"&amp;$Z128&amp;"'!C1:C1000"),INDIRECT("'"&amp;$Z128&amp;"'!"&amp;AB$8&amp;"1:"&amp;AB$8&amp;"1000"))</f>
        <v>8.4375000000000006E-2</v>
      </c>
      <c r="AC128" s="1126" cm="1">
        <f t="array" aca="1" ref="AC128" ca="1">_xlfn.XLOOKUP($Y128,INDIRECT("'"&amp;$Z128&amp;"'!C1:C1000"),INDIRECT("'"&amp;$Z128&amp;"'!"&amp;AC$8&amp;"1:"&amp;AC$8&amp;"1000"))</f>
        <v>0</v>
      </c>
      <c r="AD128" s="1125"/>
      <c r="AE128" s="1125"/>
      <c r="AF128" s="1125"/>
    </row>
    <row r="129" spans="1:32" s="1123" customFormat="1">
      <c r="A129" s="1116" t="s">
        <v>1781</v>
      </c>
      <c r="B129" s="1117" t="s">
        <v>1750</v>
      </c>
      <c r="C129" s="1128" t="s">
        <v>1</v>
      </c>
      <c r="D129" s="1119">
        <f ca="1">_xlfn.IFNA(_xlfn.XLOOKUP(A129,PullFromCalcs[Item],PullFromCalcs[Quantity]),"-")</f>
        <v>0</v>
      </c>
      <c r="E129" s="1120">
        <f>PVMTPRES!J20</f>
        <v>16</v>
      </c>
      <c r="F129" s="1120">
        <f ca="1">_xlfn.IFNA(_xlfn.XLOOKUP(A129,PullFromCalcs[Item],PullFromCalcs[Price]),0)</f>
        <v>0</v>
      </c>
      <c r="G129" s="1121" t="str">
        <f>_xlfn.XLOOKUP(A129,PullFromCalcs[Item],PullFromCalcs[Sheet],"MiscItems")</f>
        <v>PVMTPRES</v>
      </c>
      <c r="H129" s="1122" t="e" cm="1">
        <f t="array" ref="H129">_xlfn.XLOOKUP($A129&amp;BasicProjectData!$G$18,Prices[Item '#]&amp;Prices[Location],Prices[Mean Price])</f>
        <v>#N/A</v>
      </c>
      <c r="I129" s="1122" t="e" cm="1">
        <f t="array" ref="I129">_xlfn.XLOOKUP($A129&amp;"All Districts",Prices[Item '#]&amp;Prices[Location],Prices[Mean Price])</f>
        <v>#N/A</v>
      </c>
      <c r="K129" s="1123" t="str">
        <f>IF(AND(_xlfn.IFNA(Output[[#This Row],[Mean Unit Price State]],0)=0,Output[[#This Row],[Price Override?]]=0),"CHECK","")</f>
        <v>CHECK</v>
      </c>
      <c r="Y129" s="1124" t="s">
        <v>1783</v>
      </c>
      <c r="Z129" s="1125" t="s">
        <v>3951</v>
      </c>
      <c r="AA129" s="1125" cm="1">
        <f t="array" aca="1" ref="AA129" ca="1">_xlfn.XLOOKUP($Y129,INDIRECT("'"&amp;$Z129&amp;"'!C1:C1000"),INDIRECT("'"&amp;$Z129&amp;"'!"&amp;AA$8&amp;"1:"&amp;AA$8&amp;"1000"))</f>
        <v>0</v>
      </c>
      <c r="AB129" s="1125" cm="1">
        <f t="array" aca="1" ref="AB129" ca="1">_xlfn.XLOOKUP($Y129,INDIRECT("'"&amp;$Z129&amp;"'!C1:C1000"),INDIRECT("'"&amp;$Z129&amp;"'!"&amp;AB$8&amp;"1:"&amp;AB$8&amp;"1000"))</f>
        <v>0.22500000000000001</v>
      </c>
      <c r="AC129" s="1126" cm="1">
        <f t="array" aca="1" ref="AC129" ca="1">_xlfn.XLOOKUP($Y129,INDIRECT("'"&amp;$Z129&amp;"'!C1:C1000"),INDIRECT("'"&amp;$Z129&amp;"'!"&amp;AC$8&amp;"1:"&amp;AC$8&amp;"1000"))</f>
        <v>0</v>
      </c>
      <c r="AD129" s="1125"/>
      <c r="AE129" s="1125"/>
      <c r="AF129" s="1125"/>
    </row>
    <row r="130" spans="1:32" s="1123" customFormat="1">
      <c r="A130" s="1116" t="s">
        <v>1782</v>
      </c>
      <c r="B130" s="1117" t="s">
        <v>1751</v>
      </c>
      <c r="C130" s="1128" t="s">
        <v>1</v>
      </c>
      <c r="D130" s="1119">
        <f ca="1">_xlfn.IFNA(_xlfn.XLOOKUP(A130,PullFromCalcs[Item],PullFromCalcs[Quantity]),"-")</f>
        <v>0</v>
      </c>
      <c r="E130" s="1120">
        <f>PVMTPRES!J21</f>
        <v>20</v>
      </c>
      <c r="F130" s="1120">
        <f ca="1">_xlfn.IFNA(_xlfn.XLOOKUP(A130,PullFromCalcs[Item],PullFromCalcs[Price]),0)</f>
        <v>0</v>
      </c>
      <c r="G130" s="1121" t="str">
        <f>_xlfn.XLOOKUP(A130,PullFromCalcs[Item],PullFromCalcs[Sheet],"MiscItems")</f>
        <v>PVMTPRES</v>
      </c>
      <c r="H130" s="1122" t="e" cm="1">
        <f t="array" ref="H130">_xlfn.XLOOKUP($A130&amp;BasicProjectData!$G$18,Prices[Item '#]&amp;Prices[Location],Prices[Mean Price])</f>
        <v>#N/A</v>
      </c>
      <c r="I130" s="1122" t="e" cm="1">
        <f t="array" ref="I130">_xlfn.XLOOKUP($A130&amp;"All Districts",Prices[Item '#]&amp;Prices[Location],Prices[Mean Price])</f>
        <v>#N/A</v>
      </c>
      <c r="K130" s="1123" t="str">
        <f>IF(AND(_xlfn.IFNA(Output[[#This Row],[Mean Unit Price State]],0)=0,Output[[#This Row],[Price Override?]]=0),"CHECK","")</f>
        <v>CHECK</v>
      </c>
      <c r="Y130" s="1124" t="s">
        <v>1784</v>
      </c>
      <c r="Z130" s="1125" t="s">
        <v>3951</v>
      </c>
      <c r="AA130" s="1125" cm="1">
        <f t="array" aca="1" ref="AA130" ca="1">_xlfn.XLOOKUP($Y130,INDIRECT("'"&amp;$Z130&amp;"'!C1:C1000"),INDIRECT("'"&amp;$Z130&amp;"'!"&amp;AA$8&amp;"1:"&amp;AA$8&amp;"1000"))</f>
        <v>0</v>
      </c>
      <c r="AB130" s="1125" cm="1">
        <f t="array" aca="1" ref="AB130" ca="1">_xlfn.XLOOKUP($Y130,INDIRECT("'"&amp;$Z130&amp;"'!C1:C1000"),INDIRECT("'"&amp;$Z130&amp;"'!"&amp;AB$8&amp;"1:"&amp;AB$8&amp;"1000"))</f>
        <v>0.22500000000000001</v>
      </c>
      <c r="AC130" s="1126" cm="1">
        <f t="array" aca="1" ref="AC130" ca="1">_xlfn.XLOOKUP($Y130,INDIRECT("'"&amp;$Z130&amp;"'!C1:C1000"),INDIRECT("'"&amp;$Z130&amp;"'!"&amp;AC$8&amp;"1:"&amp;AC$8&amp;"1000"))</f>
        <v>0</v>
      </c>
      <c r="AD130" s="1125"/>
      <c r="AE130" s="1125"/>
      <c r="AF130" s="1125"/>
    </row>
    <row r="131" spans="1:32" s="1123" customFormat="1">
      <c r="A131" s="1116" t="s">
        <v>1783</v>
      </c>
      <c r="B131" s="1117" t="s">
        <v>1588</v>
      </c>
      <c r="C131" s="1128" t="s">
        <v>1</v>
      </c>
      <c r="D131" s="1119">
        <f ca="1">_xlfn.IFNA(_xlfn.XLOOKUP(A131,PullFromCalcs[Item],PullFromCalcs[Quantity]),"-")</f>
        <v>0</v>
      </c>
      <c r="E131" s="1120">
        <f>PVMTPRES!J22</f>
        <v>25</v>
      </c>
      <c r="F131" s="1120">
        <f ca="1">_xlfn.IFNA(_xlfn.XLOOKUP(A131,PullFromCalcs[Item],PullFromCalcs[Price]),0)</f>
        <v>0</v>
      </c>
      <c r="G131" s="1121" t="str">
        <f>_xlfn.XLOOKUP(A131,PullFromCalcs[Item],PullFromCalcs[Sheet],"MiscItems")</f>
        <v>PVMTPRES</v>
      </c>
      <c r="H131" s="1122" t="e" cm="1">
        <f t="array" ref="H131">_xlfn.XLOOKUP($A131&amp;BasicProjectData!$G$18,Prices[Item '#]&amp;Prices[Location],Prices[Mean Price])</f>
        <v>#N/A</v>
      </c>
      <c r="I131" s="1122" t="e" cm="1">
        <f t="array" ref="I131">_xlfn.XLOOKUP($A131&amp;"All Districts",Prices[Item '#]&amp;Prices[Location],Prices[Mean Price])</f>
        <v>#N/A</v>
      </c>
      <c r="K131" s="1123" t="str">
        <f>IF(AND(_xlfn.IFNA(Output[[#This Row],[Mean Unit Price State]],0)=0,Output[[#This Row],[Price Override?]]=0),"CHECK","")</f>
        <v>CHECK</v>
      </c>
      <c r="Y131" s="1124" t="s">
        <v>1785</v>
      </c>
      <c r="Z131" s="1125" t="s">
        <v>3951</v>
      </c>
      <c r="AA131" s="1125" cm="1">
        <f t="array" aca="1" ref="AA131" ca="1">_xlfn.XLOOKUP($Y131,INDIRECT("'"&amp;$Z131&amp;"'!C1:C1000"),INDIRECT("'"&amp;$Z131&amp;"'!"&amp;AA$8&amp;"1:"&amp;AA$8&amp;"1000"))</f>
        <v>0</v>
      </c>
      <c r="AB131" s="1125" cm="1">
        <f t="array" aca="1" ref="AB131" ca="1">_xlfn.XLOOKUP($Y131,INDIRECT("'"&amp;$Z131&amp;"'!C1:C1000"),INDIRECT("'"&amp;$Z131&amp;"'!"&amp;AB$8&amp;"1:"&amp;AB$8&amp;"1000"))</f>
        <v>0.22500000000000001</v>
      </c>
      <c r="AC131" s="1126" cm="1">
        <f t="array" aca="1" ref="AC131" ca="1">_xlfn.XLOOKUP($Y131,INDIRECT("'"&amp;$Z131&amp;"'!C1:C1000"),INDIRECT("'"&amp;$Z131&amp;"'!"&amp;AC$8&amp;"1:"&amp;AC$8&amp;"1000"))</f>
        <v>0</v>
      </c>
      <c r="AD131" s="1125"/>
      <c r="AE131" s="1125"/>
      <c r="AF131" s="1125"/>
    </row>
    <row r="132" spans="1:32" s="1123" customFormat="1">
      <c r="A132" s="1116" t="s">
        <v>1784</v>
      </c>
      <c r="B132" s="1117" t="s">
        <v>1752</v>
      </c>
      <c r="C132" s="1128" t="s">
        <v>1</v>
      </c>
      <c r="D132" s="1119">
        <f ca="1">_xlfn.IFNA(_xlfn.XLOOKUP(A132,PullFromCalcs[Item],PullFromCalcs[Quantity]),"-")</f>
        <v>0</v>
      </c>
      <c r="E132" s="1120">
        <f>PVMTPRES!J23</f>
        <v>30</v>
      </c>
      <c r="F132" s="1120">
        <f ca="1">_xlfn.IFNA(_xlfn.XLOOKUP(A132,PullFromCalcs[Item],PullFromCalcs[Price]),0)</f>
        <v>0</v>
      </c>
      <c r="G132" s="1121" t="str">
        <f>_xlfn.XLOOKUP(A132,PullFromCalcs[Item],PullFromCalcs[Sheet],"MiscItems")</f>
        <v>PVMTPRES</v>
      </c>
      <c r="H132" s="1122" t="e" cm="1">
        <f t="array" ref="H132">_xlfn.XLOOKUP($A132&amp;BasicProjectData!$G$18,Prices[Item '#]&amp;Prices[Location],Prices[Mean Price])</f>
        <v>#N/A</v>
      </c>
      <c r="I132" s="1122" t="e" cm="1">
        <f t="array" ref="I132">_xlfn.XLOOKUP($A132&amp;"All Districts",Prices[Item '#]&amp;Prices[Location],Prices[Mean Price])</f>
        <v>#N/A</v>
      </c>
      <c r="K132" s="1123" t="str">
        <f>IF(AND(_xlfn.IFNA(Output[[#This Row],[Mean Unit Price State]],0)=0,Output[[#This Row],[Price Override?]]=0),"CHECK","")</f>
        <v>CHECK</v>
      </c>
      <c r="Y132" s="1124" t="s">
        <v>1786</v>
      </c>
      <c r="Z132" s="1125" t="s">
        <v>3951</v>
      </c>
      <c r="AA132" s="1125" cm="1">
        <f t="array" aca="1" ref="AA132" ca="1">_xlfn.XLOOKUP($Y132,INDIRECT("'"&amp;$Z132&amp;"'!C1:C1000"),INDIRECT("'"&amp;$Z132&amp;"'!"&amp;AA$8&amp;"1:"&amp;AA$8&amp;"1000"))</f>
        <v>0</v>
      </c>
      <c r="AB132" s="1125" cm="1">
        <f t="array" aca="1" ref="AB132" ca="1">_xlfn.XLOOKUP($Y132,INDIRECT("'"&amp;$Z132&amp;"'!C1:C1000"),INDIRECT("'"&amp;$Z132&amp;"'!"&amp;AB$8&amp;"1:"&amp;AB$8&amp;"1000"))</f>
        <v>0.45</v>
      </c>
      <c r="AC132" s="1126" cm="1">
        <f t="array" aca="1" ref="AC132" ca="1">_xlfn.XLOOKUP($Y132,INDIRECT("'"&amp;$Z132&amp;"'!C1:C1000"),INDIRECT("'"&amp;$Z132&amp;"'!"&amp;AC$8&amp;"1:"&amp;AC$8&amp;"1000"))</f>
        <v>0</v>
      </c>
      <c r="AD132" s="1125"/>
      <c r="AE132" s="1125"/>
      <c r="AF132" s="1125"/>
    </row>
    <row r="133" spans="1:32" s="1123" customFormat="1">
      <c r="A133" s="1116" t="s">
        <v>1785</v>
      </c>
      <c r="B133" s="1117" t="s">
        <v>1753</v>
      </c>
      <c r="C133" s="1128" t="s">
        <v>1</v>
      </c>
      <c r="D133" s="1119">
        <f ca="1">_xlfn.IFNA(_xlfn.XLOOKUP(A133,PullFromCalcs[Item],PullFromCalcs[Quantity]),"-")</f>
        <v>0</v>
      </c>
      <c r="E133" s="1120">
        <f>PVMTPRES!J24</f>
        <v>35</v>
      </c>
      <c r="F133" s="1120">
        <f ca="1">_xlfn.IFNA(_xlfn.XLOOKUP(A133,PullFromCalcs[Item],PullFromCalcs[Price]),0)</f>
        <v>0</v>
      </c>
      <c r="G133" s="1121" t="str">
        <f>_xlfn.XLOOKUP(A133,PullFromCalcs[Item],PullFromCalcs[Sheet],"MiscItems")</f>
        <v>PVMTPRES</v>
      </c>
      <c r="H133" s="1122" t="e" cm="1">
        <f t="array" ref="H133">_xlfn.XLOOKUP($A133&amp;BasicProjectData!$G$18,Prices[Item '#]&amp;Prices[Location],Prices[Mean Price])</f>
        <v>#N/A</v>
      </c>
      <c r="I133" s="1122" t="e" cm="1">
        <f t="array" ref="I133">_xlfn.XLOOKUP($A133&amp;"All Districts",Prices[Item '#]&amp;Prices[Location],Prices[Mean Price])</f>
        <v>#N/A</v>
      </c>
      <c r="K133" s="1123" t="str">
        <f>IF(AND(_xlfn.IFNA(Output[[#This Row],[Mean Unit Price State]],0)=0,Output[[#This Row],[Price Override?]]=0),"CHECK","")</f>
        <v>CHECK</v>
      </c>
      <c r="Y133" s="1124" t="s">
        <v>1787</v>
      </c>
      <c r="Z133" s="1125" t="s">
        <v>3951</v>
      </c>
      <c r="AA133" s="1125" cm="1">
        <f t="array" aca="1" ref="AA133" ca="1">_xlfn.XLOOKUP($Y133,INDIRECT("'"&amp;$Z133&amp;"'!C1:C1000"),INDIRECT("'"&amp;$Z133&amp;"'!"&amp;AA$8&amp;"1:"&amp;AA$8&amp;"1000"))</f>
        <v>0</v>
      </c>
      <c r="AB133" s="1125" cm="1">
        <f t="array" aca="1" ref="AB133" ca="1">_xlfn.XLOOKUP($Y133,INDIRECT("'"&amp;$Z133&amp;"'!C1:C1000"),INDIRECT("'"&amp;$Z133&amp;"'!"&amp;AB$8&amp;"1:"&amp;AB$8&amp;"1000"))</f>
        <v>0.45</v>
      </c>
      <c r="AC133" s="1126" cm="1">
        <f t="array" aca="1" ref="AC133" ca="1">_xlfn.XLOOKUP($Y133,INDIRECT("'"&amp;$Z133&amp;"'!C1:C1000"),INDIRECT("'"&amp;$Z133&amp;"'!"&amp;AC$8&amp;"1:"&amp;AC$8&amp;"1000"))</f>
        <v>0</v>
      </c>
      <c r="AD133" s="1125"/>
      <c r="AE133" s="1125"/>
      <c r="AF133" s="1125"/>
    </row>
    <row r="134" spans="1:32" s="1123" customFormat="1">
      <c r="A134" s="1129" t="s">
        <v>1786</v>
      </c>
      <c r="B134" s="1117" t="s">
        <v>1754</v>
      </c>
      <c r="C134" s="1128" t="s">
        <v>1</v>
      </c>
      <c r="D134" s="1119">
        <f ca="1">_xlfn.IFNA(_xlfn.XLOOKUP(A134,PullFromCalcs[Item],PullFromCalcs[Quantity]),"-")</f>
        <v>0</v>
      </c>
      <c r="E134" s="1120">
        <f>PVMTPRES!J25</f>
        <v>50</v>
      </c>
      <c r="F134" s="1120">
        <f ca="1">_xlfn.IFNA(_xlfn.XLOOKUP(A134,PullFromCalcs[Item],PullFromCalcs[Price]),0)</f>
        <v>0</v>
      </c>
      <c r="G134" s="1121" t="str">
        <f>_xlfn.XLOOKUP(A134,PullFromCalcs[Item],PullFromCalcs[Sheet],"MiscItems")</f>
        <v>PVMTPRES</v>
      </c>
      <c r="H134" s="1122" t="e" cm="1">
        <f t="array" ref="H134">_xlfn.XLOOKUP($A134&amp;BasicProjectData!$G$18,Prices[Item '#]&amp;Prices[Location],Prices[Mean Price])</f>
        <v>#N/A</v>
      </c>
      <c r="I134" s="1122" t="e" cm="1">
        <f t="array" ref="I134">_xlfn.XLOOKUP($A134&amp;"All Districts",Prices[Item '#]&amp;Prices[Location],Prices[Mean Price])</f>
        <v>#N/A</v>
      </c>
      <c r="K134" s="1123" t="str">
        <f>IF(AND(_xlfn.IFNA(Output[[#This Row],[Mean Unit Price State]],0)=0,Output[[#This Row],[Price Override?]]=0),"CHECK","")</f>
        <v>CHECK</v>
      </c>
      <c r="Y134" s="1124">
        <v>590</v>
      </c>
      <c r="Z134" s="1125" t="s">
        <v>1548</v>
      </c>
      <c r="AA134" s="1125"/>
      <c r="AB134" s="1125"/>
      <c r="AC134" s="1126"/>
      <c r="AD134" s="1125"/>
      <c r="AE134" s="1125"/>
      <c r="AF134" s="1125"/>
    </row>
    <row r="135" spans="1:32" s="1123" customFormat="1">
      <c r="A135" s="1116" t="s">
        <v>1769</v>
      </c>
      <c r="B135" s="1117" t="s">
        <v>1739</v>
      </c>
      <c r="C135" s="1128" t="s">
        <v>1</v>
      </c>
      <c r="D135" s="1119">
        <f ca="1">_xlfn.IFNA(_xlfn.XLOOKUP(A135,PullFromCalcs[Item],PullFromCalcs[Quantity]),"-")</f>
        <v>0</v>
      </c>
      <c r="E135" s="1120">
        <f>PVMTPRES!J8</f>
        <v>1.25</v>
      </c>
      <c r="F135" s="1120">
        <f ca="1">_xlfn.IFNA(_xlfn.XLOOKUP(A135,PullFromCalcs[Item],PullFromCalcs[Price]),0)</f>
        <v>0</v>
      </c>
      <c r="G135" s="1121" t="str">
        <f>_xlfn.XLOOKUP(A135,PullFromCalcs[Item],PullFromCalcs[Sheet],"MiscItems")</f>
        <v>PVMTPRES</v>
      </c>
      <c r="H135" s="1122" t="e" cm="1">
        <f t="array" ref="H135">_xlfn.XLOOKUP($A135&amp;BasicProjectData!$G$18,Prices[Item '#]&amp;Prices[Location],Prices[Mean Price])</f>
        <v>#N/A</v>
      </c>
      <c r="I135" s="1122" t="e" cm="1">
        <f t="array" ref="I135">_xlfn.XLOOKUP($A135&amp;"All Districts",Prices[Item '#]&amp;Prices[Location],Prices[Mean Price])</f>
        <v>#N/A</v>
      </c>
      <c r="K135" s="1123" t="str">
        <f>IF(AND(_xlfn.IFNA(Output[[#This Row],[Mean Unit Price State]],0)=0,Output[[#This Row],[Price Override?]]=0),"CHECK","")</f>
        <v>CHECK</v>
      </c>
      <c r="Y135" s="1124">
        <v>655</v>
      </c>
      <c r="Z135" s="1125" t="s">
        <v>1548</v>
      </c>
      <c r="AA135" s="1125" cm="1">
        <f t="array" aca="1" ref="AA135" ca="1">_xlfn.XLOOKUP($Y135,INDIRECT("'"&amp;$Z135&amp;"'!C1:C1000"),INDIRECT("'"&amp;$Z135&amp;"'!"&amp;AA$8&amp;"1:"&amp;AA$8&amp;"1000"))</f>
        <v>0</v>
      </c>
      <c r="AB135" s="1125" cm="1">
        <f t="array" aca="1" ref="AB135" ca="1">_xlfn.XLOOKUP($Y135,INDIRECT("'"&amp;$Z135&amp;"'!C1:C1000"),INDIRECT("'"&amp;$Z135&amp;"'!"&amp;AB$8&amp;"1:"&amp;AB$8&amp;"1000"))</f>
        <v>0</v>
      </c>
      <c r="AC135" s="1126" cm="1">
        <f t="array" aca="1" ref="AC135" ca="1">_xlfn.XLOOKUP($Y135,INDIRECT("'"&amp;$Z135&amp;"'!C1:C1000"),INDIRECT("'"&amp;$Z135&amp;"'!"&amp;AC$8&amp;"1:"&amp;AC$8&amp;"1000"))</f>
        <v>0</v>
      </c>
      <c r="AD135" s="1125"/>
      <c r="AE135" s="1125"/>
      <c r="AF135" s="1125"/>
    </row>
    <row r="136" spans="1:32" s="1123" customFormat="1">
      <c r="A136" s="1129" t="s">
        <v>1787</v>
      </c>
      <c r="B136" s="1117" t="s">
        <v>1755</v>
      </c>
      <c r="C136" s="1128" t="s">
        <v>1</v>
      </c>
      <c r="D136" s="1119">
        <f ca="1">_xlfn.IFNA(_xlfn.XLOOKUP(A136,PullFromCalcs[Item],PullFromCalcs[Quantity]),"-")</f>
        <v>0</v>
      </c>
      <c r="E136" s="1120">
        <f>PVMTPRES!J26</f>
        <v>55</v>
      </c>
      <c r="F136" s="1120">
        <f ca="1">_xlfn.IFNA(_xlfn.XLOOKUP(A136,PullFromCalcs[Item],PullFromCalcs[Price]),0)</f>
        <v>0</v>
      </c>
      <c r="G136" s="1121" t="str">
        <f>_xlfn.XLOOKUP(A136,PullFromCalcs[Item],PullFromCalcs[Sheet],"MiscItems")</f>
        <v>PVMTPRES</v>
      </c>
      <c r="H136" s="1122" t="e" cm="1">
        <f t="array" ref="H136">_xlfn.XLOOKUP($A136&amp;BasicProjectData!$G$18,Prices[Item '#]&amp;Prices[Location],Prices[Mean Price])</f>
        <v>#N/A</v>
      </c>
      <c r="I136" s="1122" t="e" cm="1">
        <f t="array" ref="I136">_xlfn.XLOOKUP($A136&amp;"All Districts",Prices[Item '#]&amp;Prices[Location],Prices[Mean Price])</f>
        <v>#N/A</v>
      </c>
      <c r="K136" s="1123" t="str">
        <f>IF(AND(_xlfn.IFNA(Output[[#This Row],[Mean Unit Price State]],0)=0,Output[[#This Row],[Price Override?]]=0),"CHECK","")</f>
        <v>CHECK</v>
      </c>
      <c r="Y136" s="1124"/>
      <c r="Z136" s="1125"/>
      <c r="AA136" s="1125"/>
      <c r="AB136" s="1125"/>
      <c r="AC136" s="1126"/>
      <c r="AD136" s="1125"/>
      <c r="AE136" s="1125"/>
      <c r="AF136" s="1125"/>
    </row>
    <row r="137" spans="1:32" s="1123" customFormat="1">
      <c r="A137" s="1116" t="s">
        <v>1771</v>
      </c>
      <c r="B137" s="1117" t="s">
        <v>1740</v>
      </c>
      <c r="C137" s="1128" t="s">
        <v>1</v>
      </c>
      <c r="D137" s="1119">
        <f ca="1">_xlfn.IFNA(_xlfn.XLOOKUP(A137,PullFromCalcs[Item],PullFromCalcs[Quantity]),"-")</f>
        <v>0</v>
      </c>
      <c r="E137" s="1120">
        <f>PVMTPRES!J9</f>
        <v>1.5</v>
      </c>
      <c r="F137" s="1120">
        <f ca="1">_xlfn.IFNA(_xlfn.XLOOKUP(A137,PullFromCalcs[Item],PullFromCalcs[Price]),0)</f>
        <v>0</v>
      </c>
      <c r="G137" s="1121" t="str">
        <f>_xlfn.XLOOKUP(A137,PullFromCalcs[Item],PullFromCalcs[Sheet],"MiscItems")</f>
        <v>PVMTPRES</v>
      </c>
      <c r="H137" s="1122" t="e" cm="1">
        <f t="array" ref="H137">_xlfn.XLOOKUP($A137&amp;BasicProjectData!$G$18,Prices[Item '#]&amp;Prices[Location],Prices[Mean Price])</f>
        <v>#N/A</v>
      </c>
      <c r="I137" s="1122" t="e" cm="1">
        <f t="array" ref="I137">_xlfn.XLOOKUP($A137&amp;"All Districts",Prices[Item '#]&amp;Prices[Location],Prices[Mean Price])</f>
        <v>#N/A</v>
      </c>
      <c r="K137" s="1123" t="str">
        <f>IF(AND(_xlfn.IFNA(Output[[#This Row],[Mean Unit Price State]],0)=0,Output[[#This Row],[Price Override?]]=0),"CHECK","")</f>
        <v>CHECK</v>
      </c>
      <c r="Y137" s="1124">
        <v>769</v>
      </c>
      <c r="Z137" s="1125" t="s">
        <v>1548</v>
      </c>
      <c r="AA137" s="1125" cm="1">
        <f t="array" aca="1" ref="AA137" ca="1">_xlfn.XLOOKUP($Y137,INDIRECT("'"&amp;$Z137&amp;"'!C1:C1000"),INDIRECT("'"&amp;$Z137&amp;"'!"&amp;AA$8&amp;"1:"&amp;AA$8&amp;"1000"))</f>
        <v>0</v>
      </c>
      <c r="AB137" s="1125" cm="1">
        <f t="array" aca="1" ref="AB137" ca="1">_xlfn.XLOOKUP($Y137,INDIRECT("'"&amp;$Z137&amp;"'!C1:C1000"),INDIRECT("'"&amp;$Z137&amp;"'!"&amp;AB$8&amp;"1:"&amp;AB$8&amp;"1000"))</f>
        <v>0</v>
      </c>
      <c r="AC137" s="1126" cm="1">
        <f t="array" aca="1" ref="AC137" ca="1">_xlfn.XLOOKUP($Y137,INDIRECT("'"&amp;$Z137&amp;"'!C1:C1000"),INDIRECT("'"&amp;$Z137&amp;"'!"&amp;AC$8&amp;"1:"&amp;AC$8&amp;"1000"))</f>
        <v>0</v>
      </c>
      <c r="AD137" s="1125"/>
      <c r="AE137" s="1125"/>
      <c r="AF137" s="1125"/>
    </row>
    <row r="138" spans="1:32" s="1123" customFormat="1">
      <c r="A138" s="1116" t="s">
        <v>1772</v>
      </c>
      <c r="B138" s="1117" t="s">
        <v>1741</v>
      </c>
      <c r="C138" s="1128" t="s">
        <v>1</v>
      </c>
      <c r="D138" s="1119">
        <f ca="1">_xlfn.IFNA(_xlfn.XLOOKUP(A138,PullFromCalcs[Item],PullFromCalcs[Quantity]),"-")</f>
        <v>0</v>
      </c>
      <c r="E138" s="1120">
        <f>PVMTPRES!J10</f>
        <v>2.5</v>
      </c>
      <c r="F138" s="1120">
        <f ca="1">_xlfn.IFNA(_xlfn.XLOOKUP(A138,PullFromCalcs[Item],PullFromCalcs[Price]),0)</f>
        <v>0</v>
      </c>
      <c r="G138" s="1121" t="str">
        <f>_xlfn.XLOOKUP(A138,PullFromCalcs[Item],PullFromCalcs[Sheet],"MiscItems")</f>
        <v>PVMTPRES</v>
      </c>
      <c r="H138" s="1122" t="e" cm="1">
        <f t="array" ref="H138">_xlfn.XLOOKUP($A138&amp;BasicProjectData!$G$18,Prices[Item '#]&amp;Prices[Location],Prices[Mean Price])</f>
        <v>#N/A</v>
      </c>
      <c r="I138" s="1122" t="e" cm="1">
        <f t="array" ref="I138">_xlfn.XLOOKUP($A138&amp;"All Districts",Prices[Item '#]&amp;Prices[Location],Prices[Mean Price])</f>
        <v>#N/A</v>
      </c>
      <c r="K138" s="1123" t="str">
        <f>IF(AND(_xlfn.IFNA(Output[[#This Row],[Mean Unit Price State]],0)=0,Output[[#This Row],[Price Override?]]=0),"CHECK","")</f>
        <v>CHECK</v>
      </c>
      <c r="Y138" s="1124">
        <v>669</v>
      </c>
      <c r="Z138" s="1125" t="s">
        <v>1548</v>
      </c>
      <c r="AA138" s="1125" cm="1">
        <f t="array" aca="1" ref="AA138" ca="1">_xlfn.XLOOKUP($Y138,INDIRECT("'"&amp;$Z138&amp;"'!C1:C1000"),INDIRECT("'"&amp;$Z138&amp;"'!"&amp;AA$8&amp;"1:"&amp;AA$8&amp;"1000"))</f>
        <v>0</v>
      </c>
      <c r="AB138" s="1125" cm="1">
        <f t="array" aca="1" ref="AB138" ca="1">_xlfn.XLOOKUP($Y138,INDIRECT("'"&amp;$Z138&amp;"'!C1:C1000"),INDIRECT("'"&amp;$Z138&amp;"'!"&amp;AB$8&amp;"1:"&amp;AB$8&amp;"1000"))</f>
        <v>0</v>
      </c>
      <c r="AC138" s="1126" cm="1">
        <f t="array" aca="1" ref="AC138" ca="1">_xlfn.XLOOKUP($Y138,INDIRECT("'"&amp;$Z138&amp;"'!C1:C1000"),INDIRECT("'"&amp;$Z138&amp;"'!"&amp;AC$8&amp;"1:"&amp;AC$8&amp;"1000"))</f>
        <v>0</v>
      </c>
      <c r="AD138" s="1125"/>
      <c r="AE138" s="1125"/>
      <c r="AF138" s="1125"/>
    </row>
    <row r="139" spans="1:32" s="1123" customFormat="1">
      <c r="A139" s="1116" t="s">
        <v>1773</v>
      </c>
      <c r="B139" s="1117" t="s">
        <v>1742</v>
      </c>
      <c r="C139" s="1128" t="s">
        <v>1</v>
      </c>
      <c r="D139" s="1119">
        <f ca="1">_xlfn.IFNA(_xlfn.XLOOKUP(A139,PullFromCalcs[Item],PullFromCalcs[Quantity]),"-")</f>
        <v>0</v>
      </c>
      <c r="E139" s="1120">
        <f>PVMTPRES!J11</f>
        <v>3</v>
      </c>
      <c r="F139" s="1120">
        <f ca="1">_xlfn.IFNA(_xlfn.XLOOKUP(A139,PullFromCalcs[Item],PullFromCalcs[Price]),0)</f>
        <v>0</v>
      </c>
      <c r="G139" s="1121" t="str">
        <f>_xlfn.XLOOKUP(A139,PullFromCalcs[Item],PullFromCalcs[Sheet],"MiscItems")</f>
        <v>PVMTPRES</v>
      </c>
      <c r="H139" s="1122" t="e" cm="1">
        <f t="array" ref="H139">_xlfn.XLOOKUP($A139&amp;BasicProjectData!$G$18,Prices[Item '#]&amp;Prices[Location],Prices[Mean Price])</f>
        <v>#N/A</v>
      </c>
      <c r="I139" s="1122" t="e" cm="1">
        <f t="array" ref="I139">_xlfn.XLOOKUP($A139&amp;"All Districts",Prices[Item '#]&amp;Prices[Location],Prices[Mean Price])</f>
        <v>#N/A</v>
      </c>
      <c r="K139" s="1123" t="str">
        <f>IF(AND(_xlfn.IFNA(Output[[#This Row],[Mean Unit Price State]],0)=0,Output[[#This Row],[Price Override?]]=0),"CHECK","")</f>
        <v>CHECK</v>
      </c>
      <c r="Y139" s="1124">
        <v>670</v>
      </c>
      <c r="Z139" s="1125" t="s">
        <v>1548</v>
      </c>
      <c r="AA139" s="1125" cm="1">
        <f t="array" aca="1" ref="AA139" ca="1">_xlfn.XLOOKUP($Y139,INDIRECT("'"&amp;$Z139&amp;"'!C1:C1000"),INDIRECT("'"&amp;$Z139&amp;"'!"&amp;AA$8&amp;"1:"&amp;AA$8&amp;"1000"))</f>
        <v>0</v>
      </c>
      <c r="AB139" s="1125" cm="1">
        <f t="array" aca="1" ref="AB139" ca="1">_xlfn.XLOOKUP($Y139,INDIRECT("'"&amp;$Z139&amp;"'!C1:C1000"),INDIRECT("'"&amp;$Z139&amp;"'!"&amp;AB$8&amp;"1:"&amp;AB$8&amp;"1000"))</f>
        <v>0</v>
      </c>
      <c r="AC139" s="1126" cm="1">
        <f t="array" aca="1" ref="AC139" ca="1">_xlfn.XLOOKUP($Y139,INDIRECT("'"&amp;$Z139&amp;"'!C1:C1000"),INDIRECT("'"&amp;$Z139&amp;"'!"&amp;AC$8&amp;"1:"&amp;AC$8&amp;"1000"))</f>
        <v>0</v>
      </c>
      <c r="AD139" s="1125"/>
      <c r="AE139" s="1125"/>
      <c r="AF139" s="1125"/>
    </row>
    <row r="140" spans="1:32" s="1123" customFormat="1">
      <c r="A140" s="1116" t="s">
        <v>1770</v>
      </c>
      <c r="B140" s="1117" t="s">
        <v>1743</v>
      </c>
      <c r="C140" s="1128" t="s">
        <v>1</v>
      </c>
      <c r="D140" s="1119">
        <f ca="1">_xlfn.IFNA(_xlfn.XLOOKUP(A140,PullFromCalcs[Item],PullFromCalcs[Quantity]),"-")</f>
        <v>0</v>
      </c>
      <c r="E140" s="1120">
        <f>PVMTPRES!J12</f>
        <v>5.25</v>
      </c>
      <c r="F140" s="1120">
        <f ca="1">_xlfn.IFNA(_xlfn.XLOOKUP(A140,PullFromCalcs[Item],PullFromCalcs[Price]),0)</f>
        <v>0</v>
      </c>
      <c r="G140" s="1121" t="str">
        <f>_xlfn.XLOOKUP(A140,PullFromCalcs[Item],PullFromCalcs[Sheet],"MiscItems")</f>
        <v>PVMTPRES</v>
      </c>
      <c r="H140" s="1122" t="e" cm="1">
        <f t="array" ref="H140">_xlfn.XLOOKUP($A140&amp;BasicProjectData!$G$18,Prices[Item '#]&amp;Prices[Location],Prices[Mean Price])</f>
        <v>#N/A</v>
      </c>
      <c r="I140" s="1122" t="e" cm="1">
        <f t="array" ref="I140">_xlfn.XLOOKUP($A140&amp;"All Districts",Prices[Item '#]&amp;Prices[Location],Prices[Mean Price])</f>
        <v>#N/A</v>
      </c>
      <c r="K140" s="1123" t="str">
        <f>IF(AND(_xlfn.IFNA(Output[[#This Row],[Mean Unit Price State]],0)=0,Output[[#This Row],[Price Override?]]=0),"CHECK","")</f>
        <v>CHECK</v>
      </c>
      <c r="Y140" s="1124">
        <v>665</v>
      </c>
      <c r="Z140" s="1125" t="s">
        <v>1548</v>
      </c>
      <c r="AA140" s="1125" cm="1">
        <f t="array" aca="1" ref="AA140" ca="1">_xlfn.XLOOKUP($Y140,INDIRECT("'"&amp;$Z140&amp;"'!C1:C1000"),INDIRECT("'"&amp;$Z140&amp;"'!"&amp;AA$8&amp;"1:"&amp;AA$8&amp;"1000"))</f>
        <v>0</v>
      </c>
      <c r="AB140" s="1125" cm="1">
        <f t="array" aca="1" ref="AB140" ca="1">_xlfn.XLOOKUP($Y140,INDIRECT("'"&amp;$Z140&amp;"'!C1:C1000"),INDIRECT("'"&amp;$Z140&amp;"'!"&amp;AB$8&amp;"1:"&amp;AB$8&amp;"1000"))</f>
        <v>0</v>
      </c>
      <c r="AC140" s="1126" cm="1">
        <f t="array" aca="1" ref="AC140" ca="1">_xlfn.XLOOKUP($Y140,INDIRECT("'"&amp;$Z140&amp;"'!C1:C1000"),INDIRECT("'"&amp;$Z140&amp;"'!"&amp;AC$8&amp;"1:"&amp;AC$8&amp;"1000"))</f>
        <v>0</v>
      </c>
      <c r="AD140" s="1125"/>
      <c r="AE140" s="1125"/>
      <c r="AF140" s="1125"/>
    </row>
    <row r="141" spans="1:32" s="1123" customFormat="1">
      <c r="A141" s="1116" t="s">
        <v>1774</v>
      </c>
      <c r="B141" s="1117" t="s">
        <v>1744</v>
      </c>
      <c r="C141" s="1128" t="s">
        <v>1</v>
      </c>
      <c r="D141" s="1119">
        <f ca="1">_xlfn.IFNA(_xlfn.XLOOKUP(A141,PullFromCalcs[Item],PullFromCalcs[Quantity]),"-")</f>
        <v>0</v>
      </c>
      <c r="E141" s="1120">
        <f>PVMTPRES!J13</f>
        <v>5.5</v>
      </c>
      <c r="F141" s="1120">
        <f ca="1">_xlfn.IFNA(_xlfn.XLOOKUP(A141,PullFromCalcs[Item],PullFromCalcs[Price]),0)</f>
        <v>0</v>
      </c>
      <c r="G141" s="1121" t="str">
        <f>_xlfn.XLOOKUP(A141,PullFromCalcs[Item],PullFromCalcs[Sheet],"MiscItems")</f>
        <v>PVMTPRES</v>
      </c>
      <c r="H141" s="1122" t="e" cm="1">
        <f t="array" ref="H141">_xlfn.XLOOKUP($A141&amp;BasicProjectData!$G$18,Prices[Item '#]&amp;Prices[Location],Prices[Mean Price])</f>
        <v>#N/A</v>
      </c>
      <c r="I141" s="1122" t="e" cm="1">
        <f t="array" ref="I141">_xlfn.XLOOKUP($A141&amp;"All Districts",Prices[Item '#]&amp;Prices[Location],Prices[Mean Price])</f>
        <v>#N/A</v>
      </c>
      <c r="K141" s="1123" t="str">
        <f>IF(AND(_xlfn.IFNA(Output[[#This Row],[Mean Unit Price State]],0)=0,Output[[#This Row],[Price Override?]]=0),"CHECK","")</f>
        <v>CHECK</v>
      </c>
      <c r="Y141" s="1124">
        <v>666</v>
      </c>
      <c r="Z141" s="1125" t="s">
        <v>1548</v>
      </c>
      <c r="AA141" s="1125" cm="1">
        <f t="array" aca="1" ref="AA141" ca="1">_xlfn.XLOOKUP($Y141,INDIRECT("'"&amp;$Z141&amp;"'!C1:C1000"),INDIRECT("'"&amp;$Z141&amp;"'!"&amp;AA$8&amp;"1:"&amp;AA$8&amp;"1000"))</f>
        <v>0</v>
      </c>
      <c r="AB141" s="1125" cm="1">
        <f t="array" aca="1" ref="AB141" ca="1">_xlfn.XLOOKUP($Y141,INDIRECT("'"&amp;$Z141&amp;"'!C1:C1000"),INDIRECT("'"&amp;$Z141&amp;"'!"&amp;AB$8&amp;"1:"&amp;AB$8&amp;"1000"))</f>
        <v>0</v>
      </c>
      <c r="AC141" s="1126" cm="1">
        <f t="array" aca="1" ref="AC141" ca="1">_xlfn.XLOOKUP($Y141,INDIRECT("'"&amp;$Z141&amp;"'!C1:C1000"),INDIRECT("'"&amp;$Z141&amp;"'!"&amp;AC$8&amp;"1:"&amp;AC$8&amp;"1000"))</f>
        <v>0</v>
      </c>
      <c r="AD141" s="1125"/>
      <c r="AE141" s="1125"/>
      <c r="AF141" s="1125"/>
    </row>
    <row r="142" spans="1:32" s="1123" customFormat="1">
      <c r="A142" s="1116" t="s">
        <v>1775</v>
      </c>
      <c r="B142" s="1117" t="s">
        <v>1747</v>
      </c>
      <c r="C142" s="1128" t="s">
        <v>1</v>
      </c>
      <c r="D142" s="1119">
        <f ca="1">_xlfn.IFNA(_xlfn.XLOOKUP(A142,PullFromCalcs[Item],PullFromCalcs[Quantity]),"-")</f>
        <v>0</v>
      </c>
      <c r="E142" s="1120">
        <f>PVMTPRES!J14</f>
        <v>6</v>
      </c>
      <c r="F142" s="1120">
        <f ca="1">_xlfn.IFNA(_xlfn.XLOOKUP(A142,PullFromCalcs[Item],PullFromCalcs[Price]),0)</f>
        <v>0</v>
      </c>
      <c r="G142" s="1121" t="str">
        <f>_xlfn.XLOOKUP(A142,PullFromCalcs[Item],PullFromCalcs[Sheet],"MiscItems")</f>
        <v>PVMTPRES</v>
      </c>
      <c r="H142" s="1122" t="e" cm="1">
        <f t="array" ref="H142">_xlfn.XLOOKUP($A142&amp;BasicProjectData!$G$18,Prices[Item '#]&amp;Prices[Location],Prices[Mean Price])</f>
        <v>#N/A</v>
      </c>
      <c r="I142" s="1122" t="e" cm="1">
        <f t="array" ref="I142">_xlfn.XLOOKUP($A142&amp;"All Districts",Prices[Item '#]&amp;Prices[Location],Prices[Mean Price])</f>
        <v>#N/A</v>
      </c>
      <c r="K142" s="1123" t="str">
        <f>IF(AND(_xlfn.IFNA(Output[[#This Row],[Mean Unit Price State]],0)=0,Output[[#This Row],[Price Override?]]=0),"CHECK","")</f>
        <v>CHECK</v>
      </c>
      <c r="Y142" s="1124">
        <v>630.1</v>
      </c>
      <c r="Z142" s="1125" t="s">
        <v>1548</v>
      </c>
      <c r="AA142" s="1125" cm="1">
        <f t="array" aca="1" ref="AA142" ca="1">_xlfn.XLOOKUP($Y142,INDIRECT("'"&amp;$Z142&amp;"'!C1:C1000"),INDIRECT("'"&amp;$Z142&amp;"'!"&amp;AA$8&amp;"1:"&amp;AA$8&amp;"1000"))</f>
        <v>0</v>
      </c>
      <c r="AB142" s="1125" cm="1">
        <f t="array" aca="1" ref="AB142" ca="1">_xlfn.XLOOKUP($Y142,INDIRECT("'"&amp;$Z142&amp;"'!C1:C1000"),INDIRECT("'"&amp;$Z142&amp;"'!"&amp;AB$8&amp;"1:"&amp;AB$8&amp;"1000"))</f>
        <v>0</v>
      </c>
      <c r="AC142" s="1126" cm="1">
        <f t="array" aca="1" ref="AC142" ca="1">_xlfn.XLOOKUP($Y142,INDIRECT("'"&amp;$Z142&amp;"'!C1:C1000"),INDIRECT("'"&amp;$Z142&amp;"'!"&amp;AC$8&amp;"1:"&amp;AC$8&amp;"1000"))</f>
        <v>0</v>
      </c>
      <c r="AD142" s="1125"/>
      <c r="AE142" s="1125"/>
      <c r="AF142" s="1125"/>
    </row>
    <row r="143" spans="1:32" s="1123" customFormat="1">
      <c r="A143" s="1116" t="s">
        <v>1776</v>
      </c>
      <c r="B143" s="1127" t="s">
        <v>1745</v>
      </c>
      <c r="C143" s="1128" t="s">
        <v>1</v>
      </c>
      <c r="D143" s="1119">
        <f ca="1">_xlfn.IFNA(_xlfn.XLOOKUP(A143,PullFromCalcs[Item],PullFromCalcs[Quantity]),"-")</f>
        <v>0</v>
      </c>
      <c r="E143" s="1120">
        <f>PVMTPRES!J15</f>
        <v>6.5</v>
      </c>
      <c r="F143" s="1120">
        <f ca="1">_xlfn.IFNA(_xlfn.XLOOKUP(A143,PullFromCalcs[Item],PullFromCalcs[Price]),0)</f>
        <v>0</v>
      </c>
      <c r="G143" s="1121" t="str">
        <f>_xlfn.XLOOKUP(A143,PullFromCalcs[Item],PullFromCalcs[Sheet],"MiscItems")</f>
        <v>PVMTPRES</v>
      </c>
      <c r="H143" s="1122" t="e" cm="1">
        <f t="array" ref="H143">_xlfn.XLOOKUP($A143&amp;BasicProjectData!$G$18,Prices[Item '#]&amp;Prices[Location],Prices[Mean Price])</f>
        <v>#N/A</v>
      </c>
      <c r="I143" s="1122" t="e" cm="1">
        <f t="array" ref="I143">_xlfn.XLOOKUP($A143&amp;"All Districts",Prices[Item '#]&amp;Prices[Location],Prices[Mean Price])</f>
        <v>#N/A</v>
      </c>
      <c r="K143" s="1123" t="str">
        <f>IF(AND(_xlfn.IFNA(Output[[#This Row],[Mean Unit Price State]],0)=0,Output[[#This Row],[Price Override?]]=0),"CHECK","")</f>
        <v>CHECK</v>
      </c>
      <c r="Y143" s="1124">
        <v>630</v>
      </c>
      <c r="Z143" s="1125" t="s">
        <v>1548</v>
      </c>
      <c r="AA143" s="1125" cm="1">
        <f t="array" aca="1" ref="AA143" ca="1">_xlfn.XLOOKUP($Y143,INDIRECT("'"&amp;$Z143&amp;"'!C1:C1000"),INDIRECT("'"&amp;$Z143&amp;"'!"&amp;AA$8&amp;"1:"&amp;AA$8&amp;"1000"))</f>
        <v>0</v>
      </c>
      <c r="AB143" s="1125" cm="1">
        <f t="array" aca="1" ref="AB143" ca="1">_xlfn.XLOOKUP($Y143,INDIRECT("'"&amp;$Z143&amp;"'!C1:C1000"),INDIRECT("'"&amp;$Z143&amp;"'!"&amp;AB$8&amp;"1:"&amp;AB$8&amp;"1000"))</f>
        <v>0</v>
      </c>
      <c r="AC143" s="1126" cm="1">
        <f t="array" aca="1" ref="AC143" ca="1">_xlfn.XLOOKUP($Y143,INDIRECT("'"&amp;$Z143&amp;"'!C1:C1000"),INDIRECT("'"&amp;$Z143&amp;"'!"&amp;AC$8&amp;"1:"&amp;AC$8&amp;"1000"))</f>
        <v>0</v>
      </c>
      <c r="AD143" s="1125"/>
      <c r="AE143" s="1125"/>
      <c r="AF143" s="1125"/>
    </row>
    <row r="144" spans="1:32" s="1123" customFormat="1">
      <c r="A144" s="1130" t="s">
        <v>3828</v>
      </c>
      <c r="B144" s="1117" t="s">
        <v>3685</v>
      </c>
      <c r="C144" s="1131" t="s">
        <v>2</v>
      </c>
      <c r="D144" s="1119">
        <f ca="1">_xlfn.IFNA(_xlfn.XLOOKUP(A144,PullFromCalcs[Item],PullFromCalcs[Quantity]),"-")</f>
        <v>0</v>
      </c>
      <c r="E144" s="1120">
        <f>IF(J144&gt;0,J144,_xlfn.IFNA(MAX(H144:I144),I144))</f>
        <v>500000</v>
      </c>
      <c r="F144" s="1120">
        <f ca="1">_xlfn.IFNA(_xlfn.XLOOKUP(A144,PullFromCalcs[Item],PullFromCalcs[Price]),0)</f>
        <v>0</v>
      </c>
      <c r="G144" s="1121" t="str">
        <f>_xlfn.XLOOKUP(A144,PullFromCalcs[Item],PullFromCalcs[Sheet],"MiscItems")</f>
        <v>SIGNAL</v>
      </c>
      <c r="H144" s="1122" t="e" cm="1">
        <f t="array" ref="H144">_xlfn.XLOOKUP($A144&amp;BasicProjectData!$G$18,Prices[Item '#]&amp;Prices[Location],Prices[Mean Price])</f>
        <v>#N/A</v>
      </c>
      <c r="I144" s="1122" t="e" cm="1">
        <f t="array" ref="I144">_xlfn.XLOOKUP($A144&amp;"All Districts",Prices[Item '#]&amp;Prices[Location],Prices[Mean Price])</f>
        <v>#N/A</v>
      </c>
      <c r="J144" s="1123">
        <v>500000</v>
      </c>
      <c r="K144" s="1123" t="str">
        <f>IF(AND(_xlfn.IFNA(Output[[#This Row],[Mean Unit Price State]],0)=0,Output[[#This Row],[Price Override?]]=0),"CHECK","")</f>
        <v/>
      </c>
      <c r="Y144" s="1124">
        <v>690</v>
      </c>
      <c r="Z144" s="1125" t="s">
        <v>1548</v>
      </c>
      <c r="AA144" s="1125" cm="1">
        <f t="array" aca="1" ref="AA144" ca="1">_xlfn.XLOOKUP($Y144,INDIRECT("'"&amp;$Z144&amp;"'!C1:C1000"),INDIRECT("'"&amp;$Z144&amp;"'!"&amp;AA$8&amp;"1:"&amp;AA$8&amp;"1000"))</f>
        <v>0</v>
      </c>
      <c r="AB144" s="1125" cm="1">
        <f t="array" aca="1" ref="AB144" ca="1">_xlfn.XLOOKUP($Y144,INDIRECT("'"&amp;$Z144&amp;"'!C1:C1000"),INDIRECT("'"&amp;$Z144&amp;"'!"&amp;AB$8&amp;"1:"&amp;AB$8&amp;"1000"))</f>
        <v>0</v>
      </c>
      <c r="AC144" s="1126" cm="1">
        <f t="array" aca="1" ref="AC144" ca="1">_xlfn.XLOOKUP($Y144,INDIRECT("'"&amp;$Z144&amp;"'!C1:C1000"),INDIRECT("'"&amp;$Z144&amp;"'!"&amp;AC$8&amp;"1:"&amp;AC$8&amp;"1000"))</f>
        <v>0</v>
      </c>
      <c r="AD144" s="1125"/>
      <c r="AE144" s="1125"/>
      <c r="AF144" s="1125"/>
    </row>
    <row r="145" spans="1:32" s="1123" customFormat="1">
      <c r="A145" s="1132" t="s">
        <v>3749</v>
      </c>
      <c r="B145" s="1128" t="s">
        <v>3750</v>
      </c>
      <c r="C145" s="1131" t="s">
        <v>2</v>
      </c>
      <c r="D145" s="1119">
        <f ca="1">_xlfn.IFNA(_xlfn.XLOOKUP(A145,PullFromCalcs[Item],PullFromCalcs[Quantity]),"-")</f>
        <v>0</v>
      </c>
      <c r="E145" s="1120">
        <f>IF(J145&gt;0,J145,_xlfn.IFNA(MAX(H145:I145),I145))</f>
        <v>15000</v>
      </c>
      <c r="F145" s="1120">
        <f ca="1">_xlfn.IFNA(_xlfn.XLOOKUP(A145,PullFromCalcs[Item],PullFromCalcs[Price]),0)</f>
        <v>0</v>
      </c>
      <c r="G145" s="1121" t="str">
        <f>_xlfn.XLOOKUP(A145,PullFromCalcs[Item],PullFromCalcs[Sheet],"MiscItems")</f>
        <v>CIVIL</v>
      </c>
      <c r="H145" s="1122" t="e" cm="1">
        <f t="array" ref="H145">_xlfn.XLOOKUP($A145&amp;BasicProjectData!$G$18,Prices[Item '#]&amp;Prices[Location],Prices[Mean Price])</f>
        <v>#N/A</v>
      </c>
      <c r="I145" s="1122" t="e" cm="1">
        <f t="array" ref="I145">_xlfn.XLOOKUP($A145&amp;"All Districts",Prices[Item '#]&amp;Prices[Location],Prices[Mean Price])</f>
        <v>#N/A</v>
      </c>
      <c r="J145" s="1123">
        <v>15000</v>
      </c>
      <c r="K145" s="1123" t="str">
        <f>IF(AND(_xlfn.IFNA(Output[[#This Row],[Mean Unit Price State]],0)=0,Output[[#This Row],[Price Override?]]=0),"CHECK","")</f>
        <v/>
      </c>
      <c r="Y145" s="1124">
        <v>629.1</v>
      </c>
      <c r="Z145" s="1125" t="s">
        <v>1548</v>
      </c>
      <c r="AA145" s="1125" cm="1">
        <f t="array" aca="1" ref="AA145" ca="1">_xlfn.XLOOKUP($Y145,INDIRECT("'"&amp;$Z145&amp;"'!C1:C1000"),INDIRECT("'"&amp;$Z145&amp;"'!"&amp;AA$8&amp;"1:"&amp;AA$8&amp;"1000"))</f>
        <v>0</v>
      </c>
      <c r="AB145" s="1125" cm="1">
        <f t="array" aca="1" ref="AB145" ca="1">_xlfn.XLOOKUP($Y145,INDIRECT("'"&amp;$Z145&amp;"'!C1:C1000"),INDIRECT("'"&amp;$Z145&amp;"'!"&amp;AB$8&amp;"1:"&amp;AB$8&amp;"1000"))</f>
        <v>0</v>
      </c>
      <c r="AC145" s="1126" cm="1">
        <f t="array" aca="1" ref="AC145" ca="1">_xlfn.XLOOKUP($Y145,INDIRECT("'"&amp;$Z145&amp;"'!C1:C1000"),INDIRECT("'"&amp;$Z145&amp;"'!"&amp;AC$8&amp;"1:"&amp;AC$8&amp;"1000"))</f>
        <v>0</v>
      </c>
      <c r="AD145" s="1125"/>
      <c r="AE145" s="1125"/>
      <c r="AF145" s="1125"/>
    </row>
    <row r="146" spans="1:32" ht="15.75" customHeight="1">
      <c r="A146" s="588"/>
      <c r="B146" s="589"/>
      <c r="C146" s="590" t="s">
        <v>3834</v>
      </c>
      <c r="D146" s="589"/>
      <c r="E146" s="589"/>
      <c r="F146" s="589"/>
      <c r="G146" s="681" t="s">
        <v>3845</v>
      </c>
      <c r="H146" s="113" t="e" cm="1">
        <f t="array" ref="H146">_xlfn.XLOOKUP($A146&amp;BasicProjectData!$G$18,Prices[Item '#]&amp;Prices[Location],Prices[Mean Price])</f>
        <v>#N/A</v>
      </c>
      <c r="I146" s="113" t="e" cm="1">
        <f t="array" ref="I146">_xlfn.XLOOKUP($A146&amp;"All Districts",Prices[Item '#]&amp;Prices[Location],Prices[Mean Price])</f>
        <v>#N/A</v>
      </c>
      <c r="Y146" s="1124">
        <v>691</v>
      </c>
      <c r="Z146" s="1125" t="s">
        <v>1548</v>
      </c>
      <c r="AA146" s="1125" cm="1">
        <f t="array" aca="1" ref="AA146" ca="1">_xlfn.XLOOKUP($Y146,INDIRECT("'"&amp;$Z146&amp;"'!C1:C1000"),INDIRECT("'"&amp;$Z146&amp;"'!"&amp;AA$8&amp;"1:"&amp;AA$8&amp;"1000"))</f>
        <v>0</v>
      </c>
      <c r="AB146" s="1125" cm="1">
        <f t="array" aca="1" ref="AB146" ca="1">_xlfn.XLOOKUP($Y146,INDIRECT("'"&amp;$Z146&amp;"'!C1:C1000"),INDIRECT("'"&amp;$Z146&amp;"'!"&amp;AB$8&amp;"1:"&amp;AB$8&amp;"1000"))</f>
        <v>0</v>
      </c>
      <c r="AC146" s="1126" cm="1">
        <f t="array" aca="1" ref="AC146" ca="1">_xlfn.XLOOKUP($Y146,INDIRECT("'"&amp;$Z146&amp;"'!C1:C1000"),INDIRECT("'"&amp;$Z146&amp;"'!"&amp;AC$8&amp;"1:"&amp;AC$8&amp;"1000"))</f>
        <v>0</v>
      </c>
      <c r="AD146" s="1125"/>
      <c r="AE146" s="38"/>
      <c r="AF146" s="38"/>
    </row>
    <row r="147" spans="1:32">
      <c r="A147" s="549">
        <f>MiscItems!N13</f>
        <v>0</v>
      </c>
      <c r="B147" s="550">
        <f>IF(ISERROR(RIGHT(MiscItems!D13,LEN(MiscItems!D13)-FIND(" ",MiscItems!D13))),MiscItems!F13,RIGHT(MiscItems!D13,LEN(MiscItems!D13)-FIND(" ",MiscItems!D13)))</f>
        <v>0</v>
      </c>
      <c r="C147" s="550" t="str">
        <f>MiscItems!G13</f>
        <v/>
      </c>
      <c r="D147" s="551">
        <f>MiscItems!I13</f>
        <v>0</v>
      </c>
      <c r="E147" s="552" t="str">
        <f>_xlfn.IFNA(MAX(I147,H147),MiscItems!H13)</f>
        <v/>
      </c>
      <c r="F147" s="554">
        <f t="shared" ref="F147:F178" si="10">IFERROR(E147*D147,0)</f>
        <v>0</v>
      </c>
      <c r="G147" s="584" t="str">
        <f>_xlfn.XLOOKUP(A147,PullFromCalcs[Item],PullFromCalcs[Sheet],"MiscItems")</f>
        <v>MiscItems</v>
      </c>
      <c r="H147" s="113" t="e" cm="1">
        <f t="array" ref="H147">_xlfn.XLOOKUP($A147&amp;BasicProjectData!$G$18,Prices[Item '#]&amp;Prices[Location],Prices[Mean Price])</f>
        <v>#N/A</v>
      </c>
      <c r="I147" s="113" t="e" cm="1">
        <f t="array" ref="I147">_xlfn.XLOOKUP($A147&amp;"All Districts",Prices[Item '#]&amp;Prices[Location],Prices[Mean Price])</f>
        <v>#N/A</v>
      </c>
      <c r="Y147" s="1124">
        <v>241.18</v>
      </c>
      <c r="Z147" s="1125" t="s">
        <v>1549</v>
      </c>
      <c r="AA147" s="1125" cm="1">
        <f t="array" aca="1" ref="AA147" ca="1">_xlfn.XLOOKUP($Y147,INDIRECT("'"&amp;$Z147&amp;"'!C1:C1000"),INDIRECT("'"&amp;$Z147&amp;"'!"&amp;AA$8&amp;"1:"&amp;AA$8&amp;"1000"))</f>
        <v>0</v>
      </c>
      <c r="AB147" s="1125" cm="1">
        <f t="array" aca="1" ref="AB147" ca="1">_xlfn.XLOOKUP($Y147,INDIRECT("'"&amp;$Z147&amp;"'!C1:C1000"),INDIRECT("'"&amp;$Z147&amp;"'!"&amp;AB$8&amp;"1:"&amp;AB$8&amp;"1000"))</f>
        <v>0</v>
      </c>
      <c r="AC147" s="1126" cm="1">
        <f t="array" aca="1" ref="AC147" ca="1">_xlfn.XLOOKUP($Y147,INDIRECT("'"&amp;$Z147&amp;"'!C1:C1000"),INDIRECT("'"&amp;$Z147&amp;"'!"&amp;AC$8&amp;"1:"&amp;AC$8&amp;"1000"))</f>
        <v>0</v>
      </c>
      <c r="AD147" s="1125"/>
      <c r="AE147" s="38"/>
      <c r="AF147" s="38"/>
    </row>
    <row r="148" spans="1:32">
      <c r="A148" s="34">
        <f>MiscItems!N14</f>
        <v>0</v>
      </c>
      <c r="B148" s="29">
        <f>IF(ISERROR(RIGHT(MiscItems!D14,LEN(MiscItems!D14)-FIND(" ",MiscItems!D14))),MiscItems!F14,RIGHT(MiscItems!D14,LEN(MiscItems!D14)-FIND(" ",MiscItems!D14)))</f>
        <v>0</v>
      </c>
      <c r="C148" s="29" t="str">
        <f>MiscItems!G14</f>
        <v/>
      </c>
      <c r="D148" s="30">
        <f>MiscItems!I14</f>
        <v>0</v>
      </c>
      <c r="E148" s="27" t="str">
        <f>_xlfn.IFNA(MAX(I148,H148),MiscItems!H14)</f>
        <v/>
      </c>
      <c r="F148" s="555">
        <f t="shared" si="10"/>
        <v>0</v>
      </c>
      <c r="G148" s="584" t="str">
        <f>_xlfn.XLOOKUP(A148,PullFromCalcs[Item],PullFromCalcs[Sheet],"MiscItems")</f>
        <v>MiscItems</v>
      </c>
      <c r="H148" s="113" t="e" cm="1">
        <f t="array" ref="H148">_xlfn.XLOOKUP($A148&amp;BasicProjectData!$G$18,Prices[Item '#]&amp;Prices[Location],Prices[Mean Price])</f>
        <v>#N/A</v>
      </c>
      <c r="I148" s="113" t="e" cm="1">
        <f t="array" ref="I148">_xlfn.XLOOKUP($A148&amp;"All Districts",Prices[Item '#]&amp;Prices[Location],Prices[Mean Price])</f>
        <v>#N/A</v>
      </c>
      <c r="Y148" s="447">
        <v>241.36</v>
      </c>
      <c r="Z148" s="38" t="s">
        <v>1549</v>
      </c>
      <c r="AA148" s="38" cm="1">
        <f t="array" aca="1" ref="AA148" ca="1">_xlfn.XLOOKUP($Y148,INDIRECT("'"&amp;$Z148&amp;"'!C1:C1000"),INDIRECT("'"&amp;$Z148&amp;"'!"&amp;AA$8&amp;"1:"&amp;AA$8&amp;"1000"))</f>
        <v>0</v>
      </c>
      <c r="AB148" s="38" cm="1">
        <f t="array" aca="1" ref="AB148" ca="1">_xlfn.XLOOKUP($Y148,INDIRECT("'"&amp;$Z148&amp;"'!C1:C1000"),INDIRECT("'"&amp;$Z148&amp;"'!"&amp;AB$8&amp;"1:"&amp;AB$8&amp;"1000"))</f>
        <v>0</v>
      </c>
      <c r="AC148" s="505" cm="1">
        <f t="array" aca="1" ref="AC148" ca="1">_xlfn.XLOOKUP($Y148,INDIRECT("'"&amp;$Z148&amp;"'!C1:C1000"),INDIRECT("'"&amp;$Z148&amp;"'!"&amp;AC$8&amp;"1:"&amp;AC$8&amp;"1000"))</f>
        <v>0</v>
      </c>
      <c r="AD148" s="38"/>
      <c r="AE148" s="38"/>
      <c r="AF148" s="38"/>
    </row>
    <row r="149" spans="1:32">
      <c r="A149" s="34">
        <f>MiscItems!N15</f>
        <v>0</v>
      </c>
      <c r="B149" s="29">
        <f>IF(ISERROR(RIGHT(MiscItems!D15,LEN(MiscItems!D15)-FIND(" ",MiscItems!D15))),MiscItems!F15,RIGHT(MiscItems!D15,LEN(MiscItems!D15)-FIND(" ",MiscItems!D15)))</f>
        <v>0</v>
      </c>
      <c r="C149" s="29" t="str">
        <f>MiscItems!G15</f>
        <v/>
      </c>
      <c r="D149" s="30">
        <f>MiscItems!I15</f>
        <v>0</v>
      </c>
      <c r="E149" s="27" t="str">
        <f>_xlfn.IFNA(MAX(I149,H149),MiscItems!H15)</f>
        <v/>
      </c>
      <c r="F149" s="555">
        <f t="shared" si="10"/>
        <v>0</v>
      </c>
      <c r="G149" s="584" t="str">
        <f>_xlfn.XLOOKUP(A149,PullFromCalcs[Item],PullFromCalcs[Sheet],"MiscItems")</f>
        <v>MiscItems</v>
      </c>
      <c r="H149" s="113" t="e" cm="1">
        <f t="array" ref="H149">_xlfn.XLOOKUP($A149&amp;BasicProjectData!$G$18,Prices[Item '#]&amp;Prices[Location],Prices[Mean Price])</f>
        <v>#N/A</v>
      </c>
      <c r="I149" s="113" t="e" cm="1">
        <f t="array" ref="I149">_xlfn.XLOOKUP($A149&amp;"All Districts",Prices[Item '#]&amp;Prices[Location],Prices[Mean Price])</f>
        <v>#N/A</v>
      </c>
      <c r="Y149" s="447">
        <v>241.72</v>
      </c>
      <c r="Z149" s="38" t="s">
        <v>1549</v>
      </c>
      <c r="AA149" s="38" cm="1">
        <f t="array" aca="1" ref="AA149" ca="1">_xlfn.XLOOKUP($Y149,INDIRECT("'"&amp;$Z149&amp;"'!C1:C1000"),INDIRECT("'"&amp;$Z149&amp;"'!"&amp;AA$8&amp;"1:"&amp;AA$8&amp;"1000"))</f>
        <v>0</v>
      </c>
      <c r="AB149" s="38" cm="1">
        <f t="array" aca="1" ref="AB149" ca="1">_xlfn.XLOOKUP($Y149,INDIRECT("'"&amp;$Z149&amp;"'!C1:C1000"),INDIRECT("'"&amp;$Z149&amp;"'!"&amp;AB$8&amp;"1:"&amp;AB$8&amp;"1000"))</f>
        <v>0</v>
      </c>
      <c r="AC149" s="505" cm="1">
        <f t="array" aca="1" ref="AC149" ca="1">_xlfn.XLOOKUP($Y149,INDIRECT("'"&amp;$Z149&amp;"'!C1:C1000"),INDIRECT("'"&amp;$Z149&amp;"'!"&amp;AC$8&amp;"1:"&amp;AC$8&amp;"1000"))</f>
        <v>0</v>
      </c>
      <c r="AD149" s="38"/>
      <c r="AE149" s="38"/>
      <c r="AF149" s="38"/>
    </row>
    <row r="150" spans="1:32">
      <c r="A150" s="34">
        <f>MiscItems!N16</f>
        <v>0</v>
      </c>
      <c r="B150" s="29">
        <f>IF(ISERROR(RIGHT(MiscItems!D16,LEN(MiscItems!D16)-FIND(" ",MiscItems!D16))),MiscItems!F16,RIGHT(MiscItems!D16,LEN(MiscItems!D16)-FIND(" ",MiscItems!D16)))</f>
        <v>0</v>
      </c>
      <c r="C150" s="29" t="str">
        <f>MiscItems!G16</f>
        <v/>
      </c>
      <c r="D150" s="30">
        <f>MiscItems!I16</f>
        <v>0</v>
      </c>
      <c r="E150" s="27" t="str">
        <f>_xlfn.IFNA(MAX(I150,H150),MiscItems!H16)</f>
        <v/>
      </c>
      <c r="F150" s="555">
        <f t="shared" si="10"/>
        <v>0</v>
      </c>
      <c r="G150" s="584" t="str">
        <f>_xlfn.XLOOKUP(A150,PullFromCalcs[Item],PullFromCalcs[Sheet],"MiscItems")</f>
        <v>MiscItems</v>
      </c>
      <c r="H150" s="113" t="e" cm="1">
        <f t="array" ref="H150">_xlfn.XLOOKUP($A150&amp;BasicProjectData!$G$18,Prices[Item '#]&amp;Prices[Location],Prices[Mean Price])</f>
        <v>#N/A</v>
      </c>
      <c r="I150" s="113" t="e" cm="1">
        <f t="array" ref="I150">_xlfn.XLOOKUP($A150&amp;"All Districts",Prices[Item '#]&amp;Prices[Location],Prices[Mean Price])</f>
        <v>#N/A</v>
      </c>
      <c r="Y150" s="447">
        <v>242.36</v>
      </c>
      <c r="Z150" s="38" t="s">
        <v>1549</v>
      </c>
      <c r="AA150" s="38" cm="1">
        <f t="array" aca="1" ref="AA150" ca="1">_xlfn.XLOOKUP($Y150,INDIRECT("'"&amp;$Z150&amp;"'!C1:C1000"),INDIRECT("'"&amp;$Z150&amp;"'!"&amp;AA$8&amp;"1:"&amp;AA$8&amp;"1000"))</f>
        <v>0</v>
      </c>
      <c r="AB150" s="38" cm="1">
        <f t="array" aca="1" ref="AB150" ca="1">_xlfn.XLOOKUP($Y150,INDIRECT("'"&amp;$Z150&amp;"'!C1:C1000"),INDIRECT("'"&amp;$Z150&amp;"'!"&amp;AB$8&amp;"1:"&amp;AB$8&amp;"1000"))</f>
        <v>0</v>
      </c>
      <c r="AC150" s="505" cm="1">
        <f t="array" aca="1" ref="AC150" ca="1">_xlfn.XLOOKUP($Y150,INDIRECT("'"&amp;$Z150&amp;"'!C1:C1000"),INDIRECT("'"&amp;$Z150&amp;"'!"&amp;AC$8&amp;"1:"&amp;AC$8&amp;"1000"))</f>
        <v>0</v>
      </c>
      <c r="AD150" s="38"/>
      <c r="AE150" s="38"/>
      <c r="AF150" s="38"/>
    </row>
    <row r="151" spans="1:32">
      <c r="A151" s="34">
        <f>MiscItems!N17</f>
        <v>0</v>
      </c>
      <c r="B151" s="29">
        <f>IF(ISERROR(RIGHT(MiscItems!D17,LEN(MiscItems!D17)-FIND(" ",MiscItems!D17))),MiscItems!F17,RIGHT(MiscItems!D17,LEN(MiscItems!D17)-FIND(" ",MiscItems!D17)))</f>
        <v>0</v>
      </c>
      <c r="C151" s="29" t="str">
        <f>MiscItems!G17</f>
        <v/>
      </c>
      <c r="D151" s="30">
        <f>MiscItems!I17</f>
        <v>0</v>
      </c>
      <c r="E151" s="27" t="str">
        <f>_xlfn.IFNA(MAX(I151,H151),MiscItems!H17)</f>
        <v/>
      </c>
      <c r="F151" s="555">
        <f t="shared" si="10"/>
        <v>0</v>
      </c>
      <c r="G151" s="584" t="str">
        <f>_xlfn.XLOOKUP(A151,PullFromCalcs[Item],PullFromCalcs[Sheet],"MiscItems")</f>
        <v>MiscItems</v>
      </c>
      <c r="H151" s="113" t="e" cm="1">
        <f t="array" ref="H151">_xlfn.XLOOKUP($A151&amp;BasicProjectData!$G$18,Prices[Item '#]&amp;Prices[Location],Prices[Mean Price])</f>
        <v>#N/A</v>
      </c>
      <c r="I151" s="113" t="e" cm="1">
        <f t="array" ref="I151">_xlfn.XLOOKUP($A151&amp;"All Districts",Prices[Item '#]&amp;Prices[Location],Prices[Mean Price])</f>
        <v>#N/A</v>
      </c>
      <c r="Y151" s="447">
        <v>222.3</v>
      </c>
      <c r="Z151" s="38" t="s">
        <v>1549</v>
      </c>
      <c r="AA151" s="38" cm="1">
        <f t="array" aca="1" ref="AA151" ca="1">_xlfn.XLOOKUP($Y151,INDIRECT("'"&amp;$Z151&amp;"'!C1:C1000"),INDIRECT("'"&amp;$Z151&amp;"'!"&amp;AA$8&amp;"1:"&amp;AA$8&amp;"1000"))</f>
        <v>0</v>
      </c>
      <c r="AB151" s="38" cm="1">
        <f t="array" aca="1" ref="AB151" ca="1">_xlfn.XLOOKUP($Y151,INDIRECT("'"&amp;$Z151&amp;"'!C1:C1000"),INDIRECT("'"&amp;$Z151&amp;"'!"&amp;AB$8&amp;"1:"&amp;AB$8&amp;"1000"))</f>
        <v>0</v>
      </c>
      <c r="AC151" s="505" cm="1">
        <f t="array" aca="1" ref="AC151" ca="1">_xlfn.XLOOKUP($Y151,INDIRECT("'"&amp;$Z151&amp;"'!C1:C1000"),INDIRECT("'"&amp;$Z151&amp;"'!"&amp;AC$8&amp;"1:"&amp;AC$8&amp;"1000"))</f>
        <v>0</v>
      </c>
      <c r="AD151" s="38"/>
      <c r="AE151" s="38"/>
      <c r="AF151" s="38"/>
    </row>
    <row r="152" spans="1:32">
      <c r="A152" s="34">
        <f>MiscItems!N18</f>
        <v>0</v>
      </c>
      <c r="B152" s="29">
        <f>IF(ISERROR(RIGHT(MiscItems!D18,LEN(MiscItems!D18)-FIND(" ",MiscItems!D18))),MiscItems!F18,RIGHT(MiscItems!D18,LEN(MiscItems!D18)-FIND(" ",MiscItems!D18)))</f>
        <v>0</v>
      </c>
      <c r="C152" s="29" t="str">
        <f>MiscItems!G18</f>
        <v/>
      </c>
      <c r="D152" s="30">
        <f>MiscItems!I18</f>
        <v>0</v>
      </c>
      <c r="E152" s="27" t="str">
        <f>_xlfn.IFNA(MAX(I152,H152),MiscItems!H18)</f>
        <v/>
      </c>
      <c r="F152" s="555">
        <f t="shared" si="10"/>
        <v>0</v>
      </c>
      <c r="G152" s="584" t="str">
        <f>_xlfn.XLOOKUP(A152,PullFromCalcs[Item],PullFromCalcs[Sheet],"MiscItems")</f>
        <v>MiscItems</v>
      </c>
      <c r="H152" s="113" t="e" cm="1">
        <f t="array" ref="H152">_xlfn.XLOOKUP($A152&amp;BasicProjectData!$G$18,Prices[Item '#]&amp;Prices[Location],Prices[Mean Price])</f>
        <v>#N/A</v>
      </c>
      <c r="I152" s="113" t="e" cm="1">
        <f t="array" ref="I152">_xlfn.XLOOKUP($A152&amp;"All Districts",Prices[Item '#]&amp;Prices[Location],Prices[Mean Price])</f>
        <v>#N/A</v>
      </c>
      <c r="Y152" s="447">
        <v>223.2</v>
      </c>
      <c r="Z152" s="38" t="s">
        <v>1549</v>
      </c>
      <c r="AA152" s="38" cm="1">
        <f t="array" aca="1" ref="AA152" ca="1">_xlfn.XLOOKUP($Y152,INDIRECT("'"&amp;$Z152&amp;"'!C1:C1000"),INDIRECT("'"&amp;$Z152&amp;"'!"&amp;AA$8&amp;"1:"&amp;AA$8&amp;"1000"))</f>
        <v>0</v>
      </c>
      <c r="AB152" s="38" cm="1">
        <f t="array" aca="1" ref="AB152" ca="1">_xlfn.XLOOKUP($Y152,INDIRECT("'"&amp;$Z152&amp;"'!C1:C1000"),INDIRECT("'"&amp;$Z152&amp;"'!"&amp;AB$8&amp;"1:"&amp;AB$8&amp;"1000"))</f>
        <v>0</v>
      </c>
      <c r="AC152" s="505" cm="1">
        <f t="array" aca="1" ref="AC152" ca="1">_xlfn.XLOOKUP($Y152,INDIRECT("'"&amp;$Z152&amp;"'!C1:C1000"),INDIRECT("'"&amp;$Z152&amp;"'!"&amp;AC$8&amp;"1:"&amp;AC$8&amp;"1000"))</f>
        <v>0</v>
      </c>
      <c r="AD152" s="38"/>
      <c r="AE152" s="38"/>
      <c r="AF152" s="38"/>
    </row>
    <row r="153" spans="1:32">
      <c r="A153" s="34">
        <f>MiscItems!N19</f>
        <v>0</v>
      </c>
      <c r="B153" s="29">
        <f>IF(ISERROR(RIGHT(MiscItems!D19,LEN(MiscItems!D19)-FIND(" ",MiscItems!D19))),MiscItems!F19,RIGHT(MiscItems!D19,LEN(MiscItems!D19)-FIND(" ",MiscItems!D19)))</f>
        <v>0</v>
      </c>
      <c r="C153" s="29" t="str">
        <f>MiscItems!G19</f>
        <v/>
      </c>
      <c r="D153" s="30">
        <f>MiscItems!I19</f>
        <v>0</v>
      </c>
      <c r="E153" s="27" t="str">
        <f>_xlfn.IFNA(MAX(I153,H153),MiscItems!H19)</f>
        <v/>
      </c>
      <c r="F153" s="555">
        <f t="shared" si="10"/>
        <v>0</v>
      </c>
      <c r="G153" s="584" t="str">
        <f>_xlfn.XLOOKUP(A153,PullFromCalcs[Item],PullFromCalcs[Sheet],"MiscItems")</f>
        <v>MiscItems</v>
      </c>
      <c r="H153" s="113" t="e" cm="1">
        <f t="array" ref="H153">_xlfn.XLOOKUP($A153&amp;BasicProjectData!$G$18,Prices[Item '#]&amp;Prices[Location],Prices[Mean Price])</f>
        <v>#N/A</v>
      </c>
      <c r="I153" s="113" t="e" cm="1">
        <f t="array" ref="I153">_xlfn.XLOOKUP($A153&amp;"All Districts",Prices[Item '#]&amp;Prices[Location],Prices[Mean Price])</f>
        <v>#N/A</v>
      </c>
      <c r="Y153" s="447">
        <v>823.7</v>
      </c>
      <c r="Z153" s="38" t="s">
        <v>1550</v>
      </c>
      <c r="AA153" s="38" cm="1">
        <f t="array" aca="1" ref="AA153" ca="1">_xlfn.XLOOKUP($Y153,INDIRECT("'"&amp;$Z153&amp;"'!C1:C1000"),INDIRECT("'"&amp;$Z153&amp;"'!"&amp;AA$8&amp;"1:"&amp;AA$8&amp;"1000"))</f>
        <v>0</v>
      </c>
      <c r="AB153" s="38" cm="1">
        <f t="array" aca="1" ref="AB153" ca="1">_xlfn.XLOOKUP($Y153,INDIRECT("'"&amp;$Z153&amp;"'!C1:C1000"),INDIRECT("'"&amp;$Z153&amp;"'!"&amp;AB$8&amp;"1:"&amp;AB$8&amp;"1000"))</f>
        <v>0</v>
      </c>
      <c r="AC153" s="505" cm="1">
        <f t="array" aca="1" ref="AC153" ca="1">_xlfn.XLOOKUP($Y153,INDIRECT("'"&amp;$Z153&amp;"'!C1:C1000"),INDIRECT("'"&amp;$Z153&amp;"'!"&amp;AC$8&amp;"1:"&amp;AC$8&amp;"1000"))</f>
        <v>0</v>
      </c>
      <c r="AD153" s="38"/>
      <c r="AE153" s="38"/>
      <c r="AF153" s="38"/>
    </row>
    <row r="154" spans="1:32">
      <c r="A154" s="34">
        <f>MiscItems!N20</f>
        <v>0</v>
      </c>
      <c r="B154" s="29">
        <f>IF(ISERROR(RIGHT(MiscItems!D20,LEN(MiscItems!D20)-FIND(" ",MiscItems!D20))),MiscItems!F20,RIGHT(MiscItems!D20,LEN(MiscItems!D20)-FIND(" ",MiscItems!D20)))</f>
        <v>0</v>
      </c>
      <c r="C154" s="29" t="str">
        <f>MiscItems!G20</f>
        <v/>
      </c>
      <c r="D154" s="30">
        <f>MiscItems!I20</f>
        <v>0</v>
      </c>
      <c r="E154" s="27" t="str">
        <f>_xlfn.IFNA(MAX(I154,H154),MiscItems!H20)</f>
        <v/>
      </c>
      <c r="F154" s="555">
        <f t="shared" si="10"/>
        <v>0</v>
      </c>
      <c r="G154" s="584" t="str">
        <f>_xlfn.XLOOKUP(A154,PullFromCalcs[Item],PullFromCalcs[Sheet],"MiscItems")</f>
        <v>MiscItems</v>
      </c>
      <c r="H154" s="113" t="e" cm="1">
        <f t="array" ref="H154">_xlfn.XLOOKUP($A154&amp;BasicProjectData!$G$18,Prices[Item '#]&amp;Prices[Location],Prices[Mean Price])</f>
        <v>#N/A</v>
      </c>
      <c r="I154" s="113" t="e" cm="1">
        <f t="array" ref="I154">_xlfn.XLOOKUP($A154&amp;"All Districts",Prices[Item '#]&amp;Prices[Location],Prices[Mean Price])</f>
        <v>#N/A</v>
      </c>
      <c r="Y154" s="55">
        <v>823.72</v>
      </c>
      <c r="Z154" s="38" t="s">
        <v>1550</v>
      </c>
      <c r="AA154" s="38" cm="1">
        <f t="array" aca="1" ref="AA154" ca="1">_xlfn.XLOOKUP($Y154,INDIRECT("'"&amp;$Z154&amp;"'!C1:C1000"),INDIRECT("'"&amp;$Z154&amp;"'!"&amp;AA$8&amp;"1:"&amp;AA$8&amp;"1000"))</f>
        <v>0</v>
      </c>
      <c r="AB154" s="38" cm="1">
        <f t="array" aca="1" ref="AB154" ca="1">_xlfn.XLOOKUP($Y154,INDIRECT("'"&amp;$Z154&amp;"'!C1:C1000"),INDIRECT("'"&amp;$Z154&amp;"'!"&amp;AB$8&amp;"1:"&amp;AB$8&amp;"1000"))</f>
        <v>0</v>
      </c>
      <c r="AC154" s="505" cm="1">
        <f t="array" aca="1" ref="AC154" ca="1">_xlfn.XLOOKUP($Y154,INDIRECT("'"&amp;$Z154&amp;"'!C1:C1000"),INDIRECT("'"&amp;$Z154&amp;"'!"&amp;AC$8&amp;"1:"&amp;AC$8&amp;"1000"))</f>
        <v>0</v>
      </c>
      <c r="AD154" s="38"/>
      <c r="AE154" s="38"/>
      <c r="AF154" s="38"/>
    </row>
    <row r="155" spans="1:32">
      <c r="A155" s="34">
        <f>MiscItems!N21</f>
        <v>0</v>
      </c>
      <c r="B155" s="29">
        <f>IF(ISERROR(RIGHT(MiscItems!D21,LEN(MiscItems!D21)-FIND(" ",MiscItems!D21))),MiscItems!F21,RIGHT(MiscItems!D21,LEN(MiscItems!D21)-FIND(" ",MiscItems!D21)))</f>
        <v>0</v>
      </c>
      <c r="C155" s="29" t="str">
        <f>MiscItems!G21</f>
        <v/>
      </c>
      <c r="D155" s="30">
        <f>MiscItems!I21</f>
        <v>0</v>
      </c>
      <c r="E155" s="27" t="str">
        <f>_xlfn.IFNA(MAX(I155,H155),MiscItems!H21)</f>
        <v/>
      </c>
      <c r="F155" s="555">
        <f t="shared" si="10"/>
        <v>0</v>
      </c>
      <c r="G155" s="584" t="str">
        <f>_xlfn.XLOOKUP(A155,PullFromCalcs[Item],PullFromCalcs[Sheet],"MiscItems")</f>
        <v>MiscItems</v>
      </c>
      <c r="H155" s="113" t="e" cm="1">
        <f t="array" ref="H155">_xlfn.XLOOKUP($A155&amp;BasicProjectData!$G$18,Prices[Item '#]&amp;Prices[Location],Prices[Mean Price])</f>
        <v>#N/A</v>
      </c>
      <c r="I155" s="113" t="e" cm="1">
        <f t="array" ref="I155">_xlfn.XLOOKUP($A155&amp;"All Districts",Prices[Item '#]&amp;Prices[Location],Prices[Mean Price])</f>
        <v>#N/A</v>
      </c>
      <c r="Y155" s="55">
        <v>904.4</v>
      </c>
      <c r="Z155" s="38" t="s">
        <v>1549</v>
      </c>
      <c r="AA155" s="38" cm="1">
        <f t="array" aca="1" ref="AA155" ca="1">_xlfn.XLOOKUP($Y155,INDIRECT("'"&amp;$Z155&amp;"'!C1:C1000"),INDIRECT("'"&amp;$Z155&amp;"'!"&amp;AA$8&amp;"1:"&amp;AA$8&amp;"1000"))</f>
        <v>0</v>
      </c>
      <c r="AB155" s="38" cm="1">
        <f t="array" aca="1" ref="AB155" ca="1">_xlfn.XLOOKUP($Y155,INDIRECT("'"&amp;$Z155&amp;"'!C1:C1000"),INDIRECT("'"&amp;$Z155&amp;"'!"&amp;AB$8&amp;"1:"&amp;AB$8&amp;"1000"))</f>
        <v>0</v>
      </c>
      <c r="AC155" s="505" cm="1">
        <f t="array" aca="1" ref="AC155" ca="1">_xlfn.XLOOKUP($Y155,INDIRECT("'"&amp;$Z155&amp;"'!C1:C1000"),INDIRECT("'"&amp;$Z155&amp;"'!"&amp;AC$8&amp;"1:"&amp;AC$8&amp;"1000"))</f>
        <v>0</v>
      </c>
      <c r="AD155" s="38"/>
      <c r="AE155" s="38"/>
      <c r="AF155" s="38"/>
    </row>
    <row r="156" spans="1:32">
      <c r="A156" s="34">
        <f>MiscItems!N22</f>
        <v>0</v>
      </c>
      <c r="B156" s="29">
        <f>IF(ISERROR(RIGHT(MiscItems!D22,LEN(MiscItems!D22)-FIND(" ",MiscItems!D22))),MiscItems!F22,RIGHT(MiscItems!D22,LEN(MiscItems!D22)-FIND(" ",MiscItems!D22)))</f>
        <v>0</v>
      </c>
      <c r="C156" s="29" t="str">
        <f>MiscItems!G22</f>
        <v/>
      </c>
      <c r="D156" s="30">
        <f>MiscItems!I22</f>
        <v>0</v>
      </c>
      <c r="E156" s="27" t="str">
        <f>_xlfn.IFNA(MAX(I156,H156),MiscItems!H22)</f>
        <v/>
      </c>
      <c r="F156" s="555">
        <f t="shared" si="10"/>
        <v>0</v>
      </c>
      <c r="G156" s="584" t="str">
        <f>_xlfn.XLOOKUP(A156,PullFromCalcs[Item],PullFromCalcs[Sheet],"MiscItems")</f>
        <v>MiscItems</v>
      </c>
      <c r="H156" s="113" t="e" cm="1">
        <f t="array" ref="H156">_xlfn.XLOOKUP($A156&amp;BasicProjectData!$G$18,Prices[Item '#]&amp;Prices[Location],Prices[Mean Price])</f>
        <v>#N/A</v>
      </c>
      <c r="I156" s="113" t="e" cm="1">
        <f t="array" ref="I156">_xlfn.XLOOKUP($A156&amp;"All Districts",Prices[Item '#]&amp;Prices[Location],Prices[Mean Price])</f>
        <v>#N/A</v>
      </c>
      <c r="Y156" s="55">
        <v>910.1</v>
      </c>
      <c r="Z156" s="38" t="s">
        <v>1549</v>
      </c>
      <c r="AA156" s="38" cm="1">
        <f t="array" aca="1" ref="AA156" ca="1">_xlfn.XLOOKUP($Y156,INDIRECT("'"&amp;$Z156&amp;"'!C1:C1000"),INDIRECT("'"&amp;$Z156&amp;"'!"&amp;AA$8&amp;"1:"&amp;AA$8&amp;"1000"))</f>
        <v>0</v>
      </c>
      <c r="AB156" s="38" cm="1">
        <f t="array" aca="1" ref="AB156" ca="1">_xlfn.XLOOKUP($Y156,INDIRECT("'"&amp;$Z156&amp;"'!C1:C1000"),INDIRECT("'"&amp;$Z156&amp;"'!"&amp;AB$8&amp;"1:"&amp;AB$8&amp;"1000"))</f>
        <v>0</v>
      </c>
      <c r="AC156" s="505" cm="1">
        <f t="array" aca="1" ref="AC156" ca="1">_xlfn.XLOOKUP($Y156,INDIRECT("'"&amp;$Z156&amp;"'!C1:C1000"),INDIRECT("'"&amp;$Z156&amp;"'!"&amp;AC$8&amp;"1:"&amp;AC$8&amp;"1000"))</f>
        <v>0</v>
      </c>
      <c r="AD156" s="38"/>
      <c r="AE156" s="38"/>
      <c r="AF156" s="38"/>
    </row>
    <row r="157" spans="1:32">
      <c r="A157" s="34">
        <f>MiscItems!N23</f>
        <v>0</v>
      </c>
      <c r="B157" s="29">
        <f>IF(ISERROR(RIGHT(MiscItems!D23,LEN(MiscItems!D23)-FIND(" ",MiscItems!D23))),MiscItems!F23,RIGHT(MiscItems!D23,LEN(MiscItems!D23)-FIND(" ",MiscItems!D23)))</f>
        <v>0</v>
      </c>
      <c r="C157" s="29" t="str">
        <f>MiscItems!G23</f>
        <v/>
      </c>
      <c r="D157" s="30">
        <f>MiscItems!I23</f>
        <v>0</v>
      </c>
      <c r="E157" s="27" t="str">
        <f>_xlfn.IFNA(MAX(I157,H157),MiscItems!H23)</f>
        <v/>
      </c>
      <c r="F157" s="555">
        <f t="shared" si="10"/>
        <v>0</v>
      </c>
      <c r="G157" s="584" t="str">
        <f>_xlfn.XLOOKUP(A157,PullFromCalcs[Item],PullFromCalcs[Sheet],"MiscItems")</f>
        <v>MiscItems</v>
      </c>
      <c r="H157" s="113" t="e" cm="1">
        <f t="array" ref="H157">_xlfn.XLOOKUP($A157&amp;BasicProjectData!$G$18,Prices[Item '#]&amp;Prices[Location],Prices[Mean Price])</f>
        <v>#N/A</v>
      </c>
      <c r="I157" s="113" t="e" cm="1">
        <f t="array" ref="I157">_xlfn.XLOOKUP($A157&amp;"All Districts",Prices[Item '#]&amp;Prices[Location],Prices[Mean Price])</f>
        <v>#N/A</v>
      </c>
      <c r="Y157" s="55">
        <v>514</v>
      </c>
      <c r="Z157" s="38" t="s">
        <v>1549</v>
      </c>
      <c r="AA157" s="38" cm="1">
        <f t="array" aca="1" ref="AA157" ca="1">_xlfn.XLOOKUP($Y157,INDIRECT("'"&amp;$Z157&amp;"'!C1:C1000"),INDIRECT("'"&amp;$Z157&amp;"'!"&amp;AA$8&amp;"1:"&amp;AA$8&amp;"1000"))</f>
        <v>0</v>
      </c>
      <c r="AB157" s="38" cm="1">
        <f t="array" aca="1" ref="AB157" ca="1">_xlfn.XLOOKUP($Y157,INDIRECT("'"&amp;$Z157&amp;"'!C1:C1000"),INDIRECT("'"&amp;$Z157&amp;"'!"&amp;AB$8&amp;"1:"&amp;AB$8&amp;"1000"))</f>
        <v>0</v>
      </c>
      <c r="AC157" s="505" cm="1">
        <f t="array" aca="1" ref="AC157" ca="1">_xlfn.XLOOKUP($Y157,INDIRECT("'"&amp;$Z157&amp;"'!C1:C1000"),INDIRECT("'"&amp;$Z157&amp;"'!"&amp;AC$8&amp;"1:"&amp;AC$8&amp;"1000"))</f>
        <v>0</v>
      </c>
      <c r="AD157" s="38"/>
      <c r="AE157" s="38"/>
      <c r="AF157" s="38"/>
    </row>
    <row r="158" spans="1:32">
      <c r="A158" s="34">
        <f>MiscItems!N24</f>
        <v>0</v>
      </c>
      <c r="B158" s="29">
        <f>IF(ISERROR(RIGHT(MiscItems!D24,LEN(MiscItems!D24)-FIND(" ",MiscItems!D24))),MiscItems!F24,RIGHT(MiscItems!D24,LEN(MiscItems!D24)-FIND(" ",MiscItems!D24)))</f>
        <v>0</v>
      </c>
      <c r="C158" s="29" t="str">
        <f>MiscItems!G24</f>
        <v/>
      </c>
      <c r="D158" s="30">
        <f>MiscItems!I24</f>
        <v>0</v>
      </c>
      <c r="E158" s="27" t="str">
        <f>_xlfn.IFNA(MAX(I158,H158),MiscItems!H24)</f>
        <v/>
      </c>
      <c r="F158" s="555">
        <f t="shared" si="10"/>
        <v>0</v>
      </c>
      <c r="G158" s="584" t="str">
        <f>_xlfn.XLOOKUP(A158,PullFromCalcs[Item],PullFromCalcs[Sheet],"MiscItems")</f>
        <v>MiscItems</v>
      </c>
      <c r="H158" s="113" t="e" cm="1">
        <f t="array" ref="H158">_xlfn.XLOOKUP($A158&amp;BasicProjectData!$G$18,Prices[Item '#]&amp;Prices[Location],Prices[Mean Price])</f>
        <v>#N/A</v>
      </c>
      <c r="I158" s="113" t="e" cm="1">
        <f t="array" ref="I158">_xlfn.XLOOKUP($A158&amp;"All Districts",Prices[Item '#]&amp;Prices[Location],Prices[Mean Price])</f>
        <v>#N/A</v>
      </c>
      <c r="Y158" s="55">
        <v>701.1</v>
      </c>
      <c r="Z158" s="38" t="s">
        <v>3686</v>
      </c>
      <c r="AA158" s="38" cm="1">
        <f t="array" aca="1" ref="AA158" ca="1">_xlfn.XLOOKUP($Y158,INDIRECT("'"&amp;$Z158&amp;"'!C1:C1000"),INDIRECT("'"&amp;$Z158&amp;"'!"&amp;AA$8&amp;"1:"&amp;AA$8&amp;"1000"))</f>
        <v>0</v>
      </c>
      <c r="AB158" s="38" cm="1">
        <f t="array" aca="1" ref="AB158" ca="1">_xlfn.XLOOKUP($Y158,INDIRECT("'"&amp;$Z158&amp;"'!C1:C1000"),INDIRECT("'"&amp;$Z158&amp;"'!"&amp;AB$8&amp;"1:"&amp;AB$8&amp;"1000"))</f>
        <v>0</v>
      </c>
      <c r="AC158" s="505" cm="1">
        <f t="array" aca="1" ref="AC158" ca="1">_xlfn.XLOOKUP($Y158,INDIRECT("'"&amp;$Z158&amp;"'!C1:C1000"),INDIRECT("'"&amp;$Z158&amp;"'!"&amp;AC$8&amp;"1:"&amp;AC$8&amp;"1000"))</f>
        <v>0</v>
      </c>
      <c r="AD158" s="38"/>
      <c r="AE158" s="38"/>
      <c r="AF158" s="38"/>
    </row>
    <row r="159" spans="1:32">
      <c r="A159" s="34">
        <f>MiscItems!N25</f>
        <v>0</v>
      </c>
      <c r="B159" s="29">
        <f>IF(ISERROR(RIGHT(MiscItems!D25,LEN(MiscItems!D25)-FIND(" ",MiscItems!D25))),MiscItems!F25,RIGHT(MiscItems!D25,LEN(MiscItems!D25)-FIND(" ",MiscItems!D25)))</f>
        <v>0</v>
      </c>
      <c r="C159" s="29" t="str">
        <f>MiscItems!G25</f>
        <v/>
      </c>
      <c r="D159" s="30">
        <f>MiscItems!I25</f>
        <v>0</v>
      </c>
      <c r="E159" s="27" t="str">
        <f>_xlfn.IFNA(MAX(I159,H159),MiscItems!H25)</f>
        <v/>
      </c>
      <c r="F159" s="555">
        <f t="shared" si="10"/>
        <v>0</v>
      </c>
      <c r="G159" s="584" t="str">
        <f>_xlfn.XLOOKUP(A159,PullFromCalcs[Item],PullFromCalcs[Sheet],"MiscItems")</f>
        <v>MiscItems</v>
      </c>
      <c r="H159" s="113" t="e" cm="1">
        <f t="array" ref="H159">_xlfn.XLOOKUP($A159&amp;BasicProjectData!$G$18,Prices[Item '#]&amp;Prices[Location],Prices[Mean Price])</f>
        <v>#N/A</v>
      </c>
      <c r="I159" s="113" t="e" cm="1">
        <f t="array" ref="I159">_xlfn.XLOOKUP($A159&amp;"All Districts",Prices[Item '#]&amp;Prices[Location],Prices[Mean Price])</f>
        <v>#N/A</v>
      </c>
      <c r="Y159" s="55">
        <v>450.14</v>
      </c>
      <c r="Z159" s="38" t="s">
        <v>3686</v>
      </c>
      <c r="AA159" s="38" cm="1">
        <f t="array" aca="1" ref="AA159" ca="1">_xlfn.XLOOKUP($Y159,INDIRECT("'"&amp;$Z159&amp;"'!C1:C1000"),INDIRECT("'"&amp;$Z159&amp;"'!"&amp;AA$8&amp;"1:"&amp;AA$8&amp;"1000"))</f>
        <v>0</v>
      </c>
      <c r="AB159" s="38" cm="1">
        <f t="array" aca="1" ref="AB159" ca="1">_xlfn.XLOOKUP($Y159,INDIRECT("'"&amp;$Z159&amp;"'!C1:C1000"),INDIRECT("'"&amp;$Z159&amp;"'!"&amp;AB$8&amp;"1:"&amp;AB$8&amp;"1000"))</f>
        <v>0</v>
      </c>
      <c r="AC159" s="505" cm="1">
        <f t="array" aca="1" ref="AC159" ca="1">_xlfn.XLOOKUP($Y159,INDIRECT("'"&amp;$Z159&amp;"'!C1:C1000"),INDIRECT("'"&amp;$Z159&amp;"'!"&amp;AC$8&amp;"1:"&amp;AC$8&amp;"1000"))</f>
        <v>0</v>
      </c>
      <c r="AD159" s="38"/>
      <c r="AE159" s="38"/>
      <c r="AF159" s="38"/>
    </row>
    <row r="160" spans="1:32">
      <c r="A160" s="34">
        <f>MiscItems!N26</f>
        <v>0</v>
      </c>
      <c r="B160" s="29">
        <f>IF(ISERROR(RIGHT(MiscItems!D26,LEN(MiscItems!D26)-FIND(" ",MiscItems!D26))),MiscItems!F26,RIGHT(MiscItems!D26,LEN(MiscItems!D26)-FIND(" ",MiscItems!D26)))</f>
        <v>0</v>
      </c>
      <c r="C160" s="29" t="str">
        <f>MiscItems!G26</f>
        <v/>
      </c>
      <c r="D160" s="30">
        <f>MiscItems!I26</f>
        <v>0</v>
      </c>
      <c r="E160" s="27" t="str">
        <f>_xlfn.IFNA(MAX(I160,H160),MiscItems!H26)</f>
        <v/>
      </c>
      <c r="F160" s="555">
        <f t="shared" si="10"/>
        <v>0</v>
      </c>
      <c r="G160" s="584" t="str">
        <f>_xlfn.XLOOKUP(A160,PullFromCalcs[Item],PullFromCalcs[Sheet],"MiscItems")</f>
        <v>MiscItems</v>
      </c>
      <c r="H160" s="113" t="e" cm="1">
        <f t="array" ref="H160">_xlfn.XLOOKUP($A160&amp;BasicProjectData!$G$18,Prices[Item '#]&amp;Prices[Location],Prices[Mean Price])</f>
        <v>#N/A</v>
      </c>
      <c r="I160" s="113" t="e" cm="1">
        <f t="array" ref="I160">_xlfn.XLOOKUP($A160&amp;"All Districts",Prices[Item '#]&amp;Prices[Location],Prices[Mean Price])</f>
        <v>#N/A</v>
      </c>
      <c r="Y160" s="55">
        <v>450.16</v>
      </c>
      <c r="Z160" s="38" t="s">
        <v>3686</v>
      </c>
      <c r="AA160" s="38" cm="1">
        <f t="array" aca="1" ref="AA160" ca="1">_xlfn.XLOOKUP($Y160,INDIRECT("'"&amp;$Z160&amp;"'!C1:C1000"),INDIRECT("'"&amp;$Z160&amp;"'!"&amp;AA$8&amp;"1:"&amp;AA$8&amp;"1000"))</f>
        <v>0</v>
      </c>
      <c r="AB160" s="38" cm="1">
        <f t="array" aca="1" ref="AB160" ca="1">_xlfn.XLOOKUP($Y160,INDIRECT("'"&amp;$Z160&amp;"'!C1:C1000"),INDIRECT("'"&amp;$Z160&amp;"'!"&amp;AB$8&amp;"1:"&amp;AB$8&amp;"1000"))</f>
        <v>0</v>
      </c>
      <c r="AC160" s="505" cm="1">
        <f t="array" aca="1" ref="AC160" ca="1">_xlfn.XLOOKUP($Y160,INDIRECT("'"&amp;$Z160&amp;"'!C1:C1000"),INDIRECT("'"&amp;$Z160&amp;"'!"&amp;AC$8&amp;"1:"&amp;AC$8&amp;"1000"))</f>
        <v>0</v>
      </c>
      <c r="AD160" s="38"/>
      <c r="AE160" s="38"/>
      <c r="AF160" s="38"/>
    </row>
    <row r="161" spans="1:32">
      <c r="A161" s="34">
        <f>MiscItems!N27</f>
        <v>0</v>
      </c>
      <c r="B161" s="29">
        <f>IF(ISERROR(RIGHT(MiscItems!D27,LEN(MiscItems!D27)-FIND(" ",MiscItems!D27))),MiscItems!F27,RIGHT(MiscItems!D27,LEN(MiscItems!D27)-FIND(" ",MiscItems!D27)))</f>
        <v>0</v>
      </c>
      <c r="C161" s="29" t="str">
        <f>MiscItems!G27</f>
        <v/>
      </c>
      <c r="D161" s="30">
        <f>MiscItems!I27</f>
        <v>0</v>
      </c>
      <c r="E161" s="27" t="str">
        <f>_xlfn.IFNA(MAX(I161,H161),MiscItems!H27)</f>
        <v/>
      </c>
      <c r="F161" s="555">
        <f t="shared" si="10"/>
        <v>0</v>
      </c>
      <c r="G161" s="584" t="str">
        <f>_xlfn.XLOOKUP(A161,PullFromCalcs[Item],PullFromCalcs[Sheet],"MiscItems")</f>
        <v>MiscItems</v>
      </c>
      <c r="H161" s="113" t="e" cm="1">
        <f t="array" ref="H161">_xlfn.XLOOKUP($A161&amp;BasicProjectData!$G$18,Prices[Item '#]&amp;Prices[Location],Prices[Mean Price])</f>
        <v>#N/A</v>
      </c>
      <c r="I161" s="113" t="e" cm="1">
        <f t="array" ref="I161">_xlfn.XLOOKUP($A161&amp;"All Districts",Prices[Item '#]&amp;Prices[Location],Prices[Mean Price])</f>
        <v>#N/A</v>
      </c>
      <c r="Y161" s="55">
        <v>834.18700000000001</v>
      </c>
      <c r="Z161" s="38" t="s">
        <v>1586</v>
      </c>
      <c r="AA161" s="38" cm="1">
        <f t="array" aca="1" ref="AA161" ca="1">_xlfn.XLOOKUP($Y161,INDIRECT("'"&amp;$Z161&amp;"'!C1:C1000"),INDIRECT("'"&amp;$Z161&amp;"'!"&amp;AA$8&amp;"1:"&amp;AA$8&amp;"1000"))</f>
        <v>0</v>
      </c>
      <c r="AB161" s="38" cm="1">
        <f t="array" aca="1" ref="AB161" ca="1">_xlfn.XLOOKUP($Y161,INDIRECT("'"&amp;$Z161&amp;"'!C1:C1000"),INDIRECT("'"&amp;$Z161&amp;"'!"&amp;AB$8&amp;"1:"&amp;AB$8&amp;"1000"))</f>
        <v>0</v>
      </c>
      <c r="AC161" s="506" cm="1">
        <f t="array" aca="1" ref="AC161" ca="1">_xlfn.XLOOKUP($Y161,INDIRECT("'"&amp;$Z161&amp;"'!C1:C1000"),INDIRECT("'"&amp;$Z161&amp;"'!"&amp;AC$8&amp;"1:"&amp;AC$8&amp;"1000"))</f>
        <v>0</v>
      </c>
      <c r="AD161" s="38"/>
      <c r="AE161" s="38"/>
      <c r="AF161" s="38"/>
    </row>
    <row r="162" spans="1:32">
      <c r="A162" s="34">
        <f>MiscItems!N28</f>
        <v>0</v>
      </c>
      <c r="B162" s="29">
        <f>IF(ISERROR(RIGHT(MiscItems!D28,LEN(MiscItems!D28)-FIND(" ",MiscItems!D28))),MiscItems!F28,RIGHT(MiscItems!D28,LEN(MiscItems!D28)-FIND(" ",MiscItems!D28)))</f>
        <v>0</v>
      </c>
      <c r="C162" s="29" t="str">
        <f>MiscItems!G28</f>
        <v/>
      </c>
      <c r="D162" s="30">
        <f>MiscItems!I28</f>
        <v>0</v>
      </c>
      <c r="E162" s="27" t="str">
        <f>_xlfn.IFNA(MAX(I162,H162),MiscItems!H28)</f>
        <v/>
      </c>
      <c r="F162" s="555">
        <f t="shared" si="10"/>
        <v>0</v>
      </c>
      <c r="G162" s="584" t="str">
        <f>_xlfn.XLOOKUP(A162,PullFromCalcs[Item],PullFromCalcs[Sheet],"MiscItems")</f>
        <v>MiscItems</v>
      </c>
      <c r="H162" s="113" t="e" cm="1">
        <f t="array" ref="H162">_xlfn.XLOOKUP($A162&amp;BasicProjectData!$G$18,Prices[Item '#]&amp;Prices[Location],Prices[Mean Price])</f>
        <v>#N/A</v>
      </c>
      <c r="I162" s="113" t="e" cm="1">
        <f t="array" ref="I162">_xlfn.XLOOKUP($A162&amp;"All Districts",Prices[Item '#]&amp;Prices[Location],Prices[Mean Price])</f>
        <v>#N/A</v>
      </c>
      <c r="Y162" s="55">
        <v>156.01</v>
      </c>
      <c r="Z162" s="38" t="s">
        <v>3686</v>
      </c>
      <c r="AA162" s="38" cm="1">
        <f t="array" aca="1" ref="AA162" ca="1">_xlfn.XLOOKUP($Y162,INDIRECT("'"&amp;$Z162&amp;"'!C1:C1000"),INDIRECT("'"&amp;$Z162&amp;"'!"&amp;AA$8&amp;"1:"&amp;AA$8&amp;"1000"))</f>
        <v>0</v>
      </c>
      <c r="AB162" s="38" cm="1">
        <f t="array" aca="1" ref="AB162" ca="1">_xlfn.XLOOKUP($Y162,INDIRECT("'"&amp;$Z162&amp;"'!C1:C1000"),INDIRECT("'"&amp;$Z162&amp;"'!"&amp;AB$8&amp;"1:"&amp;AB$8&amp;"1000"))</f>
        <v>0</v>
      </c>
      <c r="AC162" s="505" cm="1">
        <f t="array" aca="1" ref="AC162" ca="1">_xlfn.XLOOKUP($Y162,INDIRECT("'"&amp;$Z162&amp;"'!C1:C1000"),INDIRECT("'"&amp;$Z162&amp;"'!"&amp;AC$8&amp;"1:"&amp;AC$8&amp;"1000"))</f>
        <v>0</v>
      </c>
      <c r="AD162" s="38"/>
      <c r="AE162" s="38"/>
      <c r="AF162" s="38"/>
    </row>
    <row r="163" spans="1:32">
      <c r="A163" s="34">
        <f>MiscItems!N29</f>
        <v>0</v>
      </c>
      <c r="B163" s="29">
        <f>IF(ISERROR(RIGHT(MiscItems!D29,LEN(MiscItems!D29)-FIND(" ",MiscItems!D29))),MiscItems!F29,RIGHT(MiscItems!D29,LEN(MiscItems!D29)-FIND(" ",MiscItems!D29)))</f>
        <v>0</v>
      </c>
      <c r="C163" s="29" t="str">
        <f>MiscItems!G29</f>
        <v/>
      </c>
      <c r="D163" s="30">
        <f>MiscItems!I29</f>
        <v>0</v>
      </c>
      <c r="E163" s="27" t="str">
        <f>_xlfn.IFNA(MAX(I163,H163),MiscItems!H29)</f>
        <v/>
      </c>
      <c r="F163" s="555">
        <f t="shared" si="10"/>
        <v>0</v>
      </c>
      <c r="G163" s="584" t="str">
        <f>_xlfn.XLOOKUP(A163,PullFromCalcs[Item],PullFromCalcs[Sheet],"MiscItems")</f>
        <v>MiscItems</v>
      </c>
      <c r="H163" s="113" t="e" cm="1">
        <f t="array" ref="H163">_xlfn.XLOOKUP($A163&amp;BasicProjectData!$G$18,Prices[Item '#]&amp;Prices[Location],Prices[Mean Price])</f>
        <v>#N/A</v>
      </c>
      <c r="I163" s="113" t="e" cm="1">
        <f t="array" ref="I163">_xlfn.XLOOKUP($A163&amp;"All Districts",Prices[Item '#]&amp;Prices[Location],Prices[Mean Price])</f>
        <v>#N/A</v>
      </c>
      <c r="Y163" s="55">
        <v>156.02000000000001</v>
      </c>
      <c r="Z163" s="38" t="s">
        <v>3686</v>
      </c>
      <c r="AA163" s="38" cm="1">
        <f t="array" aca="1" ref="AA163" ca="1">_xlfn.XLOOKUP($Y163,INDIRECT("'"&amp;$Z163&amp;"'!C1:C1000"),INDIRECT("'"&amp;$Z163&amp;"'!"&amp;AA$8&amp;"1:"&amp;AA$8&amp;"1000"))</f>
        <v>0</v>
      </c>
      <c r="AB163" s="38" cm="1">
        <f t="array" aca="1" ref="AB163" ca="1">_xlfn.XLOOKUP($Y163,INDIRECT("'"&amp;$Z163&amp;"'!C1:C1000"),INDIRECT("'"&amp;$Z163&amp;"'!"&amp;AB$8&amp;"1:"&amp;AB$8&amp;"1000"))</f>
        <v>0</v>
      </c>
      <c r="AC163" s="505" cm="1">
        <f t="array" aca="1" ref="AC163" ca="1">_xlfn.XLOOKUP($Y163,INDIRECT("'"&amp;$Z163&amp;"'!C1:C1000"),INDIRECT("'"&amp;$Z163&amp;"'!"&amp;AC$8&amp;"1:"&amp;AC$8&amp;"1000"))</f>
        <v>0</v>
      </c>
      <c r="AD163" s="38"/>
      <c r="AE163" s="38"/>
      <c r="AF163" s="38"/>
    </row>
    <row r="164" spans="1:32">
      <c r="A164" s="34">
        <f>MiscItems!N30</f>
        <v>0</v>
      </c>
      <c r="B164" s="29">
        <f>IF(ISERROR(RIGHT(MiscItems!D30,LEN(MiscItems!D30)-FIND(" ",MiscItems!D30))),MiscItems!F30,RIGHT(MiscItems!D30,LEN(MiscItems!D30)-FIND(" ",MiscItems!D30)))</f>
        <v>0</v>
      </c>
      <c r="C164" s="29" t="str">
        <f>MiscItems!G30</f>
        <v/>
      </c>
      <c r="D164" s="30">
        <f>MiscItems!I30</f>
        <v>0</v>
      </c>
      <c r="E164" s="27" t="str">
        <f>_xlfn.IFNA(MAX(I164,H164),MiscItems!H30)</f>
        <v/>
      </c>
      <c r="F164" s="555">
        <f t="shared" si="10"/>
        <v>0</v>
      </c>
      <c r="G164" s="584" t="str">
        <f>_xlfn.XLOOKUP(A164,PullFromCalcs[Item],PullFromCalcs[Sheet],"MiscItems")</f>
        <v>MiscItems</v>
      </c>
      <c r="H164" s="113" t="e" cm="1">
        <f t="array" ref="H164">_xlfn.XLOOKUP($A164&amp;BasicProjectData!$G$18,Prices[Item '#]&amp;Prices[Location],Prices[Mean Price])</f>
        <v>#N/A</v>
      </c>
      <c r="I164" s="113" t="e" cm="1">
        <f t="array" ref="I164">_xlfn.XLOOKUP($A164&amp;"All Districts",Prices[Item '#]&amp;Prices[Location],Prices[Mean Price])</f>
        <v>#N/A</v>
      </c>
      <c r="Y164" s="55" t="s">
        <v>3828</v>
      </c>
      <c r="Z164" s="38" t="s">
        <v>1547</v>
      </c>
      <c r="AA164" s="38" cm="1">
        <f t="array" aca="1" ref="AA164" ca="1">_xlfn.XLOOKUP($Y164,INDIRECT("'"&amp;$Z164&amp;"'!C1:C1000"),INDIRECT("'"&amp;$Z164&amp;"'!"&amp;AA$8&amp;"1:"&amp;AA$8&amp;"1000"))</f>
        <v>0</v>
      </c>
      <c r="AB164" s="38" cm="1">
        <f t="array" aca="1" ref="AB164" ca="1">_xlfn.XLOOKUP($Y164,INDIRECT("'"&amp;$Z164&amp;"'!C1:C1000"),INDIRECT("'"&amp;$Z164&amp;"'!"&amp;AB$8&amp;"1:"&amp;AB$8&amp;"1000"))</f>
        <v>0</v>
      </c>
      <c r="AC164" s="505" cm="1">
        <f t="array" aca="1" ref="AC164" ca="1">_xlfn.XLOOKUP($Y164,INDIRECT("'"&amp;$Z164&amp;"'!C1:C1000"),INDIRECT("'"&amp;$Z164&amp;"'!"&amp;AC$8&amp;"1:"&amp;AC$8&amp;"1000"))</f>
        <v>0</v>
      </c>
      <c r="AD164" s="38"/>
      <c r="AE164" s="38"/>
      <c r="AF164" s="38"/>
    </row>
    <row r="165" spans="1:32">
      <c r="A165" s="34">
        <f>MiscItems!N31</f>
        <v>0</v>
      </c>
      <c r="B165" s="29">
        <f>IF(ISERROR(RIGHT(MiscItems!D31,LEN(MiscItems!D31)-FIND(" ",MiscItems!D31))),MiscItems!F31,RIGHT(MiscItems!D31,LEN(MiscItems!D31)-FIND(" ",MiscItems!D31)))</f>
        <v>0</v>
      </c>
      <c r="C165" s="29" t="str">
        <f>MiscItems!G31</f>
        <v/>
      </c>
      <c r="D165" s="30">
        <f>MiscItems!I31</f>
        <v>0</v>
      </c>
      <c r="E165" s="27" t="str">
        <f>_xlfn.IFNA(MAX(I165,H165),MiscItems!H31)</f>
        <v/>
      </c>
      <c r="F165" s="555">
        <f t="shared" si="10"/>
        <v>0</v>
      </c>
      <c r="G165" s="584" t="str">
        <f>_xlfn.XLOOKUP(A165,PullFromCalcs[Item],PullFromCalcs[Sheet],"MiscItems")</f>
        <v>MiscItems</v>
      </c>
      <c r="H165" s="113" t="e" cm="1">
        <f t="array" ref="H165">_xlfn.XLOOKUP($A165&amp;BasicProjectData!$G$18,Prices[Item '#]&amp;Prices[Location],Prices[Mean Price])</f>
        <v>#N/A</v>
      </c>
      <c r="I165" s="113" t="e" cm="1">
        <f t="array" ref="I165">_xlfn.XLOOKUP($A165&amp;"All Districts",Prices[Item '#]&amp;Prices[Location],Prices[Mean Price])</f>
        <v>#N/A</v>
      </c>
      <c r="Y165" s="55">
        <v>698.1</v>
      </c>
      <c r="Z165" s="38" t="s">
        <v>3686</v>
      </c>
      <c r="AA165" s="38" cm="1">
        <f t="array" aca="1" ref="AA165" ca="1">_xlfn.XLOOKUP($Y165,INDIRECT("'"&amp;$Z165&amp;"'!C1:C1000"),INDIRECT("'"&amp;$Z165&amp;"'!"&amp;AA$8&amp;"1:"&amp;AA$8&amp;"1000"))</f>
        <v>0</v>
      </c>
      <c r="AB165" s="38" cm="1">
        <f t="array" aca="1" ref="AB165" ca="1">_xlfn.XLOOKUP($Y165,INDIRECT("'"&amp;$Z165&amp;"'!C1:C1000"),INDIRECT("'"&amp;$Z165&amp;"'!"&amp;AB$8&amp;"1:"&amp;AB$8&amp;"1000"))</f>
        <v>0</v>
      </c>
      <c r="AC165" s="505" cm="1">
        <f t="array" aca="1" ref="AC165" ca="1">_xlfn.XLOOKUP($Y165,INDIRECT("'"&amp;$Z165&amp;"'!C1:C1000"),INDIRECT("'"&amp;$Z165&amp;"'!"&amp;AC$8&amp;"1:"&amp;AC$8&amp;"1000"))</f>
        <v>0</v>
      </c>
      <c r="AD165" s="38"/>
      <c r="AE165" s="38"/>
      <c r="AF165" s="38"/>
    </row>
    <row r="166" spans="1:32">
      <c r="A166" s="34">
        <f>MiscItems!N32</f>
        <v>0</v>
      </c>
      <c r="B166" s="29">
        <f>IF(ISERROR(RIGHT(MiscItems!D32,LEN(MiscItems!D32)-FIND(" ",MiscItems!D32))),MiscItems!F32,RIGHT(MiscItems!D32,LEN(MiscItems!D32)-FIND(" ",MiscItems!D32)))</f>
        <v>0</v>
      </c>
      <c r="C166" s="29" t="str">
        <f>MiscItems!G32</f>
        <v/>
      </c>
      <c r="D166" s="30">
        <f>MiscItems!I32</f>
        <v>0</v>
      </c>
      <c r="E166" s="27" t="str">
        <f>_xlfn.IFNA(MAX(I166,H166),MiscItems!H32)</f>
        <v/>
      </c>
      <c r="F166" s="555">
        <f t="shared" si="10"/>
        <v>0</v>
      </c>
      <c r="G166" s="584" t="str">
        <f>_xlfn.XLOOKUP(A166,PullFromCalcs[Item],PullFromCalcs[Sheet],"MiscItems")</f>
        <v>MiscItems</v>
      </c>
      <c r="H166" s="113" t="e" cm="1">
        <f t="array" ref="H166">_xlfn.XLOOKUP($A166&amp;BasicProjectData!$G$18,Prices[Item '#]&amp;Prices[Location],Prices[Mean Price])</f>
        <v>#N/A</v>
      </c>
      <c r="I166" s="113" t="e" cm="1">
        <f t="array" ref="I166">_xlfn.XLOOKUP($A166&amp;"All Districts",Prices[Item '#]&amp;Prices[Location],Prices[Mean Price])</f>
        <v>#N/A</v>
      </c>
      <c r="Y166" s="448"/>
      <c r="Z166" s="448"/>
      <c r="AA166" s="448"/>
      <c r="AB166" s="448"/>
      <c r="AC166" s="448"/>
      <c r="AD166" s="38"/>
      <c r="AE166" s="38"/>
      <c r="AF166" s="38"/>
    </row>
    <row r="167" spans="1:32">
      <c r="A167" s="34">
        <f>MiscItems!N33</f>
        <v>0</v>
      </c>
      <c r="B167" s="29">
        <f>IF(ISERROR(RIGHT(MiscItems!D33,LEN(MiscItems!D33)-FIND(" ",MiscItems!D33))),MiscItems!F33,RIGHT(MiscItems!D33,LEN(MiscItems!D33)-FIND(" ",MiscItems!D33)))</f>
        <v>0</v>
      </c>
      <c r="C167" s="29" t="str">
        <f>MiscItems!G33</f>
        <v/>
      </c>
      <c r="D167" s="30">
        <f>MiscItems!I33</f>
        <v>0</v>
      </c>
      <c r="E167" s="27" t="str">
        <f>_xlfn.IFNA(MAX(I167,H167),MiscItems!H33)</f>
        <v/>
      </c>
      <c r="F167" s="555">
        <f t="shared" si="10"/>
        <v>0</v>
      </c>
      <c r="G167" s="584" t="str">
        <f>_xlfn.XLOOKUP(A167,PullFromCalcs[Item],PullFromCalcs[Sheet],"MiscItems")</f>
        <v>MiscItems</v>
      </c>
      <c r="H167" s="113" t="e" cm="1">
        <f t="array" ref="H167">_xlfn.XLOOKUP($A167&amp;BasicProjectData!$G$18,Prices[Item '#]&amp;Prices[Location],Prices[Mean Price])</f>
        <v>#N/A</v>
      </c>
      <c r="I167" s="113" t="e" cm="1">
        <f t="array" ref="I167">_xlfn.XLOOKUP($A167&amp;"All Districts",Prices[Item '#]&amp;Prices[Location],Prices[Mean Price])</f>
        <v>#N/A</v>
      </c>
      <c r="Y167" s="38"/>
      <c r="Z167" s="38"/>
      <c r="AA167" s="38"/>
      <c r="AB167" s="38"/>
      <c r="AC167" s="38"/>
      <c r="AD167" s="38"/>
      <c r="AE167" s="38"/>
      <c r="AF167" s="38"/>
    </row>
    <row r="168" spans="1:32">
      <c r="A168" s="34">
        <f>MiscItems!N34</f>
        <v>0</v>
      </c>
      <c r="B168" s="29">
        <f>IF(ISERROR(RIGHT(MiscItems!D34,LEN(MiscItems!D34)-FIND(" ",MiscItems!D34))),MiscItems!F34,RIGHT(MiscItems!D34,LEN(MiscItems!D34)-FIND(" ",MiscItems!D34)))</f>
        <v>0</v>
      </c>
      <c r="C168" s="29" t="str">
        <f>MiscItems!G34</f>
        <v/>
      </c>
      <c r="D168" s="30">
        <f>MiscItems!I34</f>
        <v>0</v>
      </c>
      <c r="E168" s="27" t="str">
        <f>_xlfn.IFNA(MAX(I168,H168),MiscItems!H34)</f>
        <v/>
      </c>
      <c r="F168" s="555">
        <f t="shared" si="10"/>
        <v>0</v>
      </c>
      <c r="G168" s="584" t="str">
        <f>_xlfn.XLOOKUP(A168,PullFromCalcs[Item],PullFromCalcs[Sheet],"MiscItems")</f>
        <v>MiscItems</v>
      </c>
      <c r="H168" s="113" t="e" cm="1">
        <f t="array" ref="H168">_xlfn.XLOOKUP($A168&amp;BasicProjectData!$G$18,Prices[Item '#]&amp;Prices[Location],Prices[Mean Price])</f>
        <v>#N/A</v>
      </c>
      <c r="I168" s="113" t="e" cm="1">
        <f t="array" ref="I168">_xlfn.XLOOKUP($A168&amp;"All Districts",Prices[Item '#]&amp;Prices[Location],Prices[Mean Price])</f>
        <v>#N/A</v>
      </c>
      <c r="Y168" s="38"/>
      <c r="Z168" s="38"/>
      <c r="AA168" s="38"/>
      <c r="AB168" s="38"/>
      <c r="AC168" s="38"/>
      <c r="AD168" s="38"/>
      <c r="AE168" s="38"/>
      <c r="AF168" s="38"/>
    </row>
    <row r="169" spans="1:32">
      <c r="A169" s="34">
        <f>MiscItems!N35</f>
        <v>0</v>
      </c>
      <c r="B169" s="29">
        <f>IF(ISERROR(RIGHT(MiscItems!D35,LEN(MiscItems!D35)-FIND(" ",MiscItems!D35))),MiscItems!F35,RIGHT(MiscItems!D35,LEN(MiscItems!D35)-FIND(" ",MiscItems!D35)))</f>
        <v>0</v>
      </c>
      <c r="C169" s="29" t="str">
        <f>MiscItems!G35</f>
        <v/>
      </c>
      <c r="D169" s="30">
        <f>MiscItems!I35</f>
        <v>0</v>
      </c>
      <c r="E169" s="27" t="str">
        <f>_xlfn.IFNA(MAX(I169,H169),MiscItems!H35)</f>
        <v/>
      </c>
      <c r="F169" s="555">
        <f t="shared" si="10"/>
        <v>0</v>
      </c>
      <c r="G169" s="584" t="str">
        <f>_xlfn.XLOOKUP(A169,PullFromCalcs[Item],PullFromCalcs[Sheet],"MiscItems")</f>
        <v>MiscItems</v>
      </c>
      <c r="H169" s="113" t="e" cm="1">
        <f t="array" ref="H169">_xlfn.XLOOKUP($A169&amp;BasicProjectData!$G$18,Prices[Item '#]&amp;Prices[Location],Prices[Mean Price])</f>
        <v>#N/A</v>
      </c>
      <c r="I169" s="113" t="e" cm="1">
        <f t="array" ref="I169">_xlfn.XLOOKUP($A169&amp;"All Districts",Prices[Item '#]&amp;Prices[Location],Prices[Mean Price])</f>
        <v>#N/A</v>
      </c>
      <c r="Y169" s="38"/>
      <c r="Z169" s="38"/>
      <c r="AA169" s="38"/>
      <c r="AB169" s="38"/>
      <c r="AC169" s="38"/>
      <c r="AD169" s="38"/>
      <c r="AE169" s="38"/>
      <c r="AF169" s="38"/>
    </row>
    <row r="170" spans="1:32">
      <c r="A170" s="34">
        <f>MiscItems!N36</f>
        <v>0</v>
      </c>
      <c r="B170" s="29">
        <f>IF(ISERROR(RIGHT(MiscItems!D36,LEN(MiscItems!D36)-FIND(" ",MiscItems!D36))),MiscItems!F36,RIGHT(MiscItems!D36,LEN(MiscItems!D36)-FIND(" ",MiscItems!D36)))</f>
        <v>0</v>
      </c>
      <c r="C170" s="29" t="str">
        <f>MiscItems!G36</f>
        <v/>
      </c>
      <c r="D170" s="30">
        <f>MiscItems!I36</f>
        <v>0</v>
      </c>
      <c r="E170" s="27" t="str">
        <f>_xlfn.IFNA(MAX(I170,H170),MiscItems!H36)</f>
        <v/>
      </c>
      <c r="F170" s="555">
        <f t="shared" si="10"/>
        <v>0</v>
      </c>
      <c r="G170" s="584" t="str">
        <f>_xlfn.XLOOKUP(A170,PullFromCalcs[Item],PullFromCalcs[Sheet],"MiscItems")</f>
        <v>MiscItems</v>
      </c>
      <c r="H170" s="113" t="e" cm="1">
        <f t="array" ref="H170">_xlfn.XLOOKUP($A170&amp;BasicProjectData!$G$18,Prices[Item '#]&amp;Prices[Location],Prices[Mean Price])</f>
        <v>#N/A</v>
      </c>
      <c r="I170" s="113" t="e" cm="1">
        <f t="array" ref="I170">_xlfn.XLOOKUP($A170&amp;"All Districts",Prices[Item '#]&amp;Prices[Location],Prices[Mean Price])</f>
        <v>#N/A</v>
      </c>
      <c r="Y170" s="38"/>
      <c r="Z170" s="38"/>
      <c r="AA170" s="38"/>
      <c r="AB170" s="38"/>
      <c r="AC170" s="38"/>
      <c r="AD170" s="38"/>
      <c r="AE170" s="38"/>
      <c r="AF170" s="38"/>
    </row>
    <row r="171" spans="1:32">
      <c r="A171" s="34">
        <f>MiscItems!N37</f>
        <v>0</v>
      </c>
      <c r="B171" s="29">
        <f>IF(ISERROR(RIGHT(MiscItems!D37,LEN(MiscItems!D37)-FIND(" ",MiscItems!D37))),MiscItems!F37,RIGHT(MiscItems!D37,LEN(MiscItems!D37)-FIND(" ",MiscItems!D37)))</f>
        <v>0</v>
      </c>
      <c r="C171" s="29" t="str">
        <f>MiscItems!G37</f>
        <v/>
      </c>
      <c r="D171" s="30">
        <f>MiscItems!I37</f>
        <v>0</v>
      </c>
      <c r="E171" s="27" t="str">
        <f>_xlfn.IFNA(MAX(I171,H171),MiscItems!H37)</f>
        <v/>
      </c>
      <c r="F171" s="555">
        <f t="shared" si="10"/>
        <v>0</v>
      </c>
      <c r="G171" s="584" t="str">
        <f>_xlfn.XLOOKUP(A171,PullFromCalcs[Item],PullFromCalcs[Sheet],"MiscItems")</f>
        <v>MiscItems</v>
      </c>
      <c r="H171" s="113" t="e" cm="1">
        <f t="array" ref="H171">_xlfn.XLOOKUP($A171&amp;BasicProjectData!$G$18,Prices[Item '#]&amp;Prices[Location],Prices[Mean Price])</f>
        <v>#N/A</v>
      </c>
      <c r="I171" s="113" t="e" cm="1">
        <f t="array" ref="I171">_xlfn.XLOOKUP($A171&amp;"All Districts",Prices[Item '#]&amp;Prices[Location],Prices[Mean Price])</f>
        <v>#N/A</v>
      </c>
      <c r="Y171" s="38"/>
      <c r="Z171" s="38"/>
      <c r="AA171" s="38"/>
      <c r="AB171" s="38"/>
      <c r="AC171" s="38"/>
      <c r="AD171" s="38"/>
      <c r="AE171" s="38"/>
      <c r="AF171" s="38"/>
    </row>
    <row r="172" spans="1:32">
      <c r="A172" s="34">
        <f>MiscItems!N38</f>
        <v>0</v>
      </c>
      <c r="B172" s="29">
        <f>IF(ISERROR(RIGHT(MiscItems!D38,LEN(MiscItems!D38)-FIND(" ",MiscItems!D38))),MiscItems!F38,RIGHT(MiscItems!D38,LEN(MiscItems!D38)-FIND(" ",MiscItems!D38)))</f>
        <v>0</v>
      </c>
      <c r="C172" s="29" t="str">
        <f>MiscItems!G38</f>
        <v/>
      </c>
      <c r="D172" s="30">
        <f>MiscItems!I38</f>
        <v>0</v>
      </c>
      <c r="E172" s="27" t="str">
        <f>_xlfn.IFNA(MAX(I172,H172),MiscItems!H38)</f>
        <v/>
      </c>
      <c r="F172" s="555">
        <f t="shared" si="10"/>
        <v>0</v>
      </c>
      <c r="G172" s="584" t="str">
        <f>_xlfn.XLOOKUP(A172,PullFromCalcs[Item],PullFromCalcs[Sheet],"MiscItems")</f>
        <v>MiscItems</v>
      </c>
      <c r="H172" s="113" t="e" cm="1">
        <f t="array" ref="H172">_xlfn.XLOOKUP($A172&amp;BasicProjectData!$G$18,Prices[Item '#]&amp;Prices[Location],Prices[Mean Price])</f>
        <v>#N/A</v>
      </c>
      <c r="I172" s="113" t="e" cm="1">
        <f t="array" ref="I172">_xlfn.XLOOKUP($A172&amp;"All Districts",Prices[Item '#]&amp;Prices[Location],Prices[Mean Price])</f>
        <v>#N/A</v>
      </c>
      <c r="Y172" s="38"/>
      <c r="Z172" s="38"/>
      <c r="AA172" s="38"/>
      <c r="AB172" s="38"/>
      <c r="AC172" s="38"/>
      <c r="AD172" s="38"/>
      <c r="AE172" s="38"/>
      <c r="AF172" s="38"/>
    </row>
    <row r="173" spans="1:32">
      <c r="A173" s="34">
        <f>MiscItems!N39</f>
        <v>0</v>
      </c>
      <c r="B173" s="29">
        <f>IF(ISERROR(RIGHT(MiscItems!D39,LEN(MiscItems!D39)-FIND(" ",MiscItems!D39))),MiscItems!F39,RIGHT(MiscItems!D39,LEN(MiscItems!D39)-FIND(" ",MiscItems!D39)))</f>
        <v>0</v>
      </c>
      <c r="C173" s="29" t="str">
        <f>MiscItems!G39</f>
        <v/>
      </c>
      <c r="D173" s="30">
        <f>MiscItems!I39</f>
        <v>0</v>
      </c>
      <c r="E173" s="27" t="str">
        <f>_xlfn.IFNA(MAX(I173,H173),MiscItems!H39)</f>
        <v/>
      </c>
      <c r="F173" s="555">
        <f t="shared" si="10"/>
        <v>0</v>
      </c>
      <c r="G173" s="584" t="str">
        <f>_xlfn.XLOOKUP(A173,PullFromCalcs[Item],PullFromCalcs[Sheet],"MiscItems")</f>
        <v>MiscItems</v>
      </c>
      <c r="H173" s="113" t="e" cm="1">
        <f t="array" ref="H173">_xlfn.XLOOKUP($A173&amp;BasicProjectData!$G$18,Prices[Item '#]&amp;Prices[Location],Prices[Mean Price])</f>
        <v>#N/A</v>
      </c>
      <c r="I173" s="113" t="e" cm="1">
        <f t="array" ref="I173">_xlfn.XLOOKUP($A173&amp;"All Districts",Prices[Item '#]&amp;Prices[Location],Prices[Mean Price])</f>
        <v>#N/A</v>
      </c>
      <c r="Y173" s="38"/>
      <c r="Z173" s="38"/>
      <c r="AA173" s="38"/>
      <c r="AB173" s="38"/>
      <c r="AC173" s="38"/>
      <c r="AD173" s="38"/>
      <c r="AE173" s="38"/>
      <c r="AF173" s="38"/>
    </row>
    <row r="174" spans="1:32">
      <c r="A174" s="34">
        <f>MiscItems!N40</f>
        <v>0</v>
      </c>
      <c r="B174" s="29">
        <f>IF(ISERROR(RIGHT(MiscItems!D40,LEN(MiscItems!D40)-FIND(" ",MiscItems!D40))),MiscItems!F40,RIGHT(MiscItems!D40,LEN(MiscItems!D40)-FIND(" ",MiscItems!D40)))</f>
        <v>0</v>
      </c>
      <c r="C174" s="29" t="str">
        <f>MiscItems!G40</f>
        <v/>
      </c>
      <c r="D174" s="30">
        <f>MiscItems!I40</f>
        <v>0</v>
      </c>
      <c r="E174" s="27" t="str">
        <f>_xlfn.IFNA(MAX(I174,H174),MiscItems!H40)</f>
        <v/>
      </c>
      <c r="F174" s="555">
        <f t="shared" si="10"/>
        <v>0</v>
      </c>
      <c r="G174" s="584" t="str">
        <f>_xlfn.XLOOKUP(A174,PullFromCalcs[Item],PullFromCalcs[Sheet],"MiscItems")</f>
        <v>MiscItems</v>
      </c>
      <c r="H174" s="113" t="e" cm="1">
        <f t="array" ref="H174">_xlfn.XLOOKUP($A174&amp;BasicProjectData!$G$18,Prices[Item '#]&amp;Prices[Location],Prices[Mean Price])</f>
        <v>#N/A</v>
      </c>
      <c r="I174" s="113" t="e" cm="1">
        <f t="array" ref="I174">_xlfn.XLOOKUP($A174&amp;"All Districts",Prices[Item '#]&amp;Prices[Location],Prices[Mean Price])</f>
        <v>#N/A</v>
      </c>
      <c r="Y174" s="38"/>
      <c r="Z174" s="38"/>
      <c r="AA174" s="38"/>
      <c r="AB174" s="38"/>
      <c r="AC174" s="38"/>
      <c r="AD174" s="38"/>
      <c r="AE174" s="38"/>
      <c r="AF174" s="38"/>
    </row>
    <row r="175" spans="1:32">
      <c r="A175" s="34">
        <f>MiscItems!N41</f>
        <v>0</v>
      </c>
      <c r="B175" s="29">
        <f>IF(ISERROR(RIGHT(MiscItems!D41,LEN(MiscItems!D41)-FIND(" ",MiscItems!D41))),MiscItems!F41,RIGHT(MiscItems!D41,LEN(MiscItems!D41)-FIND(" ",MiscItems!D41)))</f>
        <v>0</v>
      </c>
      <c r="C175" s="29" t="str">
        <f>MiscItems!G41</f>
        <v/>
      </c>
      <c r="D175" s="30">
        <f>MiscItems!I41</f>
        <v>0</v>
      </c>
      <c r="E175" s="27" t="str">
        <f>_xlfn.IFNA(MAX(I175,H175),MiscItems!H41)</f>
        <v/>
      </c>
      <c r="F175" s="555">
        <f t="shared" si="10"/>
        <v>0</v>
      </c>
      <c r="G175" s="584" t="str">
        <f>_xlfn.XLOOKUP(A175,PullFromCalcs[Item],PullFromCalcs[Sheet],"MiscItems")</f>
        <v>MiscItems</v>
      </c>
      <c r="H175" s="113" t="e" cm="1">
        <f t="array" ref="H175">_xlfn.XLOOKUP($A175&amp;BasicProjectData!$G$18,Prices[Item '#]&amp;Prices[Location],Prices[Mean Price])</f>
        <v>#N/A</v>
      </c>
      <c r="I175" s="113" t="e" cm="1">
        <f t="array" ref="I175">_xlfn.XLOOKUP($A175&amp;"All Districts",Prices[Item '#]&amp;Prices[Location],Prices[Mean Price])</f>
        <v>#N/A</v>
      </c>
      <c r="Y175" s="38"/>
      <c r="Z175" s="38"/>
      <c r="AA175" s="38"/>
      <c r="AB175" s="38"/>
      <c r="AC175" s="38"/>
      <c r="AD175" s="38"/>
      <c r="AE175" s="38"/>
      <c r="AF175" s="38"/>
    </row>
    <row r="176" spans="1:32">
      <c r="A176" s="34">
        <f>MiscItems!N42</f>
        <v>0</v>
      </c>
      <c r="B176" s="29">
        <f>IF(ISERROR(RIGHT(MiscItems!D42,LEN(MiscItems!D42)-FIND(" ",MiscItems!D42))),MiscItems!F42,RIGHT(MiscItems!D42,LEN(MiscItems!D42)-FIND(" ",MiscItems!D42)))</f>
        <v>0</v>
      </c>
      <c r="C176" s="29" t="str">
        <f>MiscItems!G42</f>
        <v/>
      </c>
      <c r="D176" s="30">
        <f>MiscItems!I42</f>
        <v>0</v>
      </c>
      <c r="E176" s="27" t="str">
        <f>_xlfn.IFNA(MAX(I176,H176),MiscItems!H42)</f>
        <v/>
      </c>
      <c r="F176" s="555">
        <f t="shared" si="10"/>
        <v>0</v>
      </c>
      <c r="G176" s="584" t="str">
        <f>_xlfn.XLOOKUP(A176,PullFromCalcs[Item],PullFromCalcs[Sheet],"MiscItems")</f>
        <v>MiscItems</v>
      </c>
      <c r="H176" s="113" t="e" cm="1">
        <f t="array" ref="H176">_xlfn.XLOOKUP($A176&amp;BasicProjectData!$G$18,Prices[Item '#]&amp;Prices[Location],Prices[Mean Price])</f>
        <v>#N/A</v>
      </c>
      <c r="I176" s="113" t="e" cm="1">
        <f t="array" ref="I176">_xlfn.XLOOKUP($A176&amp;"All Districts",Prices[Item '#]&amp;Prices[Location],Prices[Mean Price])</f>
        <v>#N/A</v>
      </c>
      <c r="Y176" s="38"/>
      <c r="Z176" s="38"/>
      <c r="AA176" s="38"/>
      <c r="AB176" s="38"/>
      <c r="AC176" s="38"/>
      <c r="AD176" s="38"/>
      <c r="AE176" s="38"/>
      <c r="AF176" s="38"/>
    </row>
    <row r="177" spans="1:32">
      <c r="A177" s="34">
        <f>MiscItems!N43</f>
        <v>0</v>
      </c>
      <c r="B177" s="29">
        <f>IF(ISERROR(RIGHT(MiscItems!D43,LEN(MiscItems!D43)-FIND(" ",MiscItems!D43))),MiscItems!F43,RIGHT(MiscItems!D43,LEN(MiscItems!D43)-FIND(" ",MiscItems!D43)))</f>
        <v>0</v>
      </c>
      <c r="C177" s="29" t="str">
        <f>MiscItems!G43</f>
        <v/>
      </c>
      <c r="D177" s="30">
        <f>MiscItems!I43</f>
        <v>0</v>
      </c>
      <c r="E177" s="27" t="str">
        <f>_xlfn.IFNA(MAX(I177,H177),MiscItems!H43)</f>
        <v/>
      </c>
      <c r="F177" s="555">
        <f t="shared" si="10"/>
        <v>0</v>
      </c>
      <c r="G177" s="584" t="str">
        <f>_xlfn.XLOOKUP(A177,PullFromCalcs[Item],PullFromCalcs[Sheet],"MiscItems")</f>
        <v>MiscItems</v>
      </c>
      <c r="H177" s="113" t="e" cm="1">
        <f t="array" ref="H177">_xlfn.XLOOKUP($A177&amp;BasicProjectData!$G$18,Prices[Item '#]&amp;Prices[Location],Prices[Mean Price])</f>
        <v>#N/A</v>
      </c>
      <c r="I177" s="113" t="e" cm="1">
        <f t="array" ref="I177">_xlfn.XLOOKUP($A177&amp;"All Districts",Prices[Item '#]&amp;Prices[Location],Prices[Mean Price])</f>
        <v>#N/A</v>
      </c>
      <c r="Y177" s="38"/>
      <c r="Z177" s="38"/>
      <c r="AA177" s="38"/>
      <c r="AB177" s="38"/>
      <c r="AC177" s="38"/>
      <c r="AD177" s="38"/>
      <c r="AE177" s="38"/>
      <c r="AF177" s="38"/>
    </row>
    <row r="178" spans="1:32">
      <c r="A178" s="34">
        <f>MiscItems!N44</f>
        <v>0</v>
      </c>
      <c r="B178" s="29">
        <f>IF(ISERROR(RIGHT(MiscItems!D44,LEN(MiscItems!D44)-FIND(" ",MiscItems!D44))),MiscItems!F44,RIGHT(MiscItems!D44,LEN(MiscItems!D44)-FIND(" ",MiscItems!D44)))</f>
        <v>0</v>
      </c>
      <c r="C178" s="29" t="str">
        <f>MiscItems!G44</f>
        <v/>
      </c>
      <c r="D178" s="30">
        <f>MiscItems!I44</f>
        <v>0</v>
      </c>
      <c r="E178" s="27" t="str">
        <f>_xlfn.IFNA(MAX(I178,H178),MiscItems!H44)</f>
        <v/>
      </c>
      <c r="F178" s="555">
        <f t="shared" si="10"/>
        <v>0</v>
      </c>
      <c r="G178" s="584" t="str">
        <f>_xlfn.XLOOKUP(A178,PullFromCalcs[Item],PullFromCalcs[Sheet],"MiscItems")</f>
        <v>MiscItems</v>
      </c>
      <c r="H178" s="113" t="e" cm="1">
        <f t="array" ref="H178">_xlfn.XLOOKUP($A178&amp;BasicProjectData!$G$18,Prices[Item '#]&amp;Prices[Location],Prices[Mean Price])</f>
        <v>#N/A</v>
      </c>
      <c r="I178" s="113" t="e" cm="1">
        <f t="array" ref="I178">_xlfn.XLOOKUP($A178&amp;"All Districts",Prices[Item '#]&amp;Prices[Location],Prices[Mean Price])</f>
        <v>#N/A</v>
      </c>
      <c r="Y178" s="38"/>
      <c r="Z178" s="38"/>
      <c r="AA178" s="38"/>
      <c r="AB178" s="38"/>
      <c r="AC178" s="38"/>
      <c r="AD178" s="38"/>
      <c r="AE178" s="38"/>
      <c r="AF178" s="38"/>
    </row>
    <row r="179" spans="1:32">
      <c r="A179" s="34">
        <f>MiscItems!N45</f>
        <v>0</v>
      </c>
      <c r="B179" s="29">
        <f>IF(ISERROR(RIGHT(MiscItems!D45,LEN(MiscItems!D45)-FIND(" ",MiscItems!D45))),MiscItems!F45,RIGHT(MiscItems!D45,LEN(MiscItems!D45)-FIND(" ",MiscItems!D45)))</f>
        <v>0</v>
      </c>
      <c r="C179" s="29" t="str">
        <f>MiscItems!G45</f>
        <v/>
      </c>
      <c r="D179" s="30">
        <f>MiscItems!I45</f>
        <v>0</v>
      </c>
      <c r="E179" s="27" t="str">
        <f>_xlfn.IFNA(MAX(I179,H179),MiscItems!H45)</f>
        <v/>
      </c>
      <c r="F179" s="555">
        <f t="shared" ref="F179:F210" si="11">IFERROR(E179*D179,0)</f>
        <v>0</v>
      </c>
      <c r="G179" s="584" t="str">
        <f>_xlfn.XLOOKUP(A179,PullFromCalcs[Item],PullFromCalcs[Sheet],"MiscItems")</f>
        <v>MiscItems</v>
      </c>
      <c r="H179" s="113" t="e" cm="1">
        <f t="array" ref="H179">_xlfn.XLOOKUP($A179&amp;BasicProjectData!$G$18,Prices[Item '#]&amp;Prices[Location],Prices[Mean Price])</f>
        <v>#N/A</v>
      </c>
      <c r="I179" s="113" t="e" cm="1">
        <f t="array" ref="I179">_xlfn.XLOOKUP($A179&amp;"All Districts",Prices[Item '#]&amp;Prices[Location],Prices[Mean Price])</f>
        <v>#N/A</v>
      </c>
      <c r="Y179" s="38"/>
      <c r="Z179" s="38"/>
      <c r="AA179" s="38"/>
      <c r="AB179" s="38"/>
      <c r="AC179" s="38"/>
      <c r="AD179" s="38"/>
      <c r="AE179" s="38"/>
      <c r="AF179" s="38"/>
    </row>
    <row r="180" spans="1:32">
      <c r="A180" s="34">
        <f>MiscItems!N46</f>
        <v>0</v>
      </c>
      <c r="B180" s="29">
        <f>IF(ISERROR(RIGHT(MiscItems!D46,LEN(MiscItems!D46)-FIND(" ",MiscItems!D46))),MiscItems!F46,RIGHT(MiscItems!D46,LEN(MiscItems!D46)-FIND(" ",MiscItems!D46)))</f>
        <v>0</v>
      </c>
      <c r="C180" s="29" t="str">
        <f>MiscItems!G46</f>
        <v/>
      </c>
      <c r="D180" s="30">
        <f>MiscItems!I46</f>
        <v>0</v>
      </c>
      <c r="E180" s="27" t="str">
        <f>_xlfn.IFNA(MAX(I180,H180),MiscItems!H46)</f>
        <v/>
      </c>
      <c r="F180" s="555">
        <f t="shared" si="11"/>
        <v>0</v>
      </c>
      <c r="G180" s="584" t="str">
        <f>_xlfn.XLOOKUP(A180,PullFromCalcs[Item],PullFromCalcs[Sheet],"MiscItems")</f>
        <v>MiscItems</v>
      </c>
      <c r="H180" s="113" t="e" cm="1">
        <f t="array" ref="H180">_xlfn.XLOOKUP($A180&amp;BasicProjectData!$G$18,Prices[Item '#]&amp;Prices[Location],Prices[Mean Price])</f>
        <v>#N/A</v>
      </c>
      <c r="I180" s="113" t="e" cm="1">
        <f t="array" ref="I180">_xlfn.XLOOKUP($A180&amp;"All Districts",Prices[Item '#]&amp;Prices[Location],Prices[Mean Price])</f>
        <v>#N/A</v>
      </c>
      <c r="Y180" s="38"/>
      <c r="Z180" s="38"/>
      <c r="AA180" s="38"/>
      <c r="AB180" s="38"/>
      <c r="AC180" s="38"/>
      <c r="AD180" s="38"/>
      <c r="AE180" s="38"/>
      <c r="AF180" s="38"/>
    </row>
    <row r="181" spans="1:32">
      <c r="A181" s="34">
        <f>MiscItems!N47</f>
        <v>0</v>
      </c>
      <c r="B181" s="29">
        <f>IF(ISERROR(RIGHT(MiscItems!D47,LEN(MiscItems!D47)-FIND(" ",MiscItems!D47))),MiscItems!F47,RIGHT(MiscItems!D47,LEN(MiscItems!D47)-FIND(" ",MiscItems!D47)))</f>
        <v>0</v>
      </c>
      <c r="C181" s="29" t="str">
        <f>MiscItems!G47</f>
        <v/>
      </c>
      <c r="D181" s="30">
        <f>MiscItems!I47</f>
        <v>0</v>
      </c>
      <c r="E181" s="27" t="str">
        <f>_xlfn.IFNA(MAX(I181,H181),MiscItems!H47)</f>
        <v/>
      </c>
      <c r="F181" s="555">
        <f t="shared" si="11"/>
        <v>0</v>
      </c>
      <c r="G181" s="584" t="str">
        <f>_xlfn.XLOOKUP(A181,PullFromCalcs[Item],PullFromCalcs[Sheet],"MiscItems")</f>
        <v>MiscItems</v>
      </c>
      <c r="H181" s="113" t="e" cm="1">
        <f t="array" ref="H181">_xlfn.XLOOKUP($A181&amp;BasicProjectData!$G$18,Prices[Item '#]&amp;Prices[Location],Prices[Mean Price])</f>
        <v>#N/A</v>
      </c>
      <c r="I181" s="113" t="e" cm="1">
        <f t="array" ref="I181">_xlfn.XLOOKUP($A181&amp;"All Districts",Prices[Item '#]&amp;Prices[Location],Prices[Mean Price])</f>
        <v>#N/A</v>
      </c>
      <c r="Y181" s="38"/>
      <c r="Z181" s="38"/>
      <c r="AA181" s="38"/>
      <c r="AB181" s="38"/>
      <c r="AC181" s="38"/>
      <c r="AD181" s="38"/>
      <c r="AE181" s="38"/>
      <c r="AF181" s="38"/>
    </row>
    <row r="182" spans="1:32">
      <c r="A182" s="34">
        <f>MiscItems!N48</f>
        <v>0</v>
      </c>
      <c r="B182" s="29">
        <f>IF(ISERROR(RIGHT(MiscItems!D48,LEN(MiscItems!D48)-FIND(" ",MiscItems!D48))),MiscItems!F48,RIGHT(MiscItems!D48,LEN(MiscItems!D48)-FIND(" ",MiscItems!D48)))</f>
        <v>0</v>
      </c>
      <c r="C182" s="29" t="str">
        <f>MiscItems!G48</f>
        <v/>
      </c>
      <c r="D182" s="30">
        <f>MiscItems!I48</f>
        <v>0</v>
      </c>
      <c r="E182" s="27" t="str">
        <f>_xlfn.IFNA(MAX(I182,H182),MiscItems!H48)</f>
        <v/>
      </c>
      <c r="F182" s="555">
        <f t="shared" si="11"/>
        <v>0</v>
      </c>
      <c r="G182" s="584" t="str">
        <f>_xlfn.XLOOKUP(A182,PullFromCalcs[Item],PullFromCalcs[Sheet],"MiscItems")</f>
        <v>MiscItems</v>
      </c>
      <c r="H182" s="113" t="e" cm="1">
        <f t="array" ref="H182">_xlfn.XLOOKUP($A182&amp;BasicProjectData!$G$18,Prices[Item '#]&amp;Prices[Location],Prices[Mean Price])</f>
        <v>#N/A</v>
      </c>
      <c r="I182" s="113" t="e" cm="1">
        <f t="array" ref="I182">_xlfn.XLOOKUP($A182&amp;"All Districts",Prices[Item '#]&amp;Prices[Location],Prices[Mean Price])</f>
        <v>#N/A</v>
      </c>
      <c r="Y182" s="38"/>
      <c r="Z182" s="38"/>
      <c r="AA182" s="38"/>
      <c r="AB182" s="38"/>
      <c r="AC182" s="38"/>
      <c r="AD182" s="38"/>
      <c r="AE182" s="38"/>
      <c r="AF182" s="38"/>
    </row>
    <row r="183" spans="1:32">
      <c r="A183" s="34">
        <f>MiscItems!N49</f>
        <v>0</v>
      </c>
      <c r="B183" s="29">
        <f>IF(ISERROR(RIGHT(MiscItems!D49,LEN(MiscItems!D49)-FIND(" ",MiscItems!D49))),MiscItems!F49,RIGHT(MiscItems!D49,LEN(MiscItems!D49)-FIND(" ",MiscItems!D49)))</f>
        <v>0</v>
      </c>
      <c r="C183" s="29" t="str">
        <f>MiscItems!G49</f>
        <v/>
      </c>
      <c r="D183" s="30">
        <f>MiscItems!I49</f>
        <v>0</v>
      </c>
      <c r="E183" s="27" t="str">
        <f>_xlfn.IFNA(MAX(I183,H183),MiscItems!H49)</f>
        <v/>
      </c>
      <c r="F183" s="555">
        <f t="shared" si="11"/>
        <v>0</v>
      </c>
      <c r="G183" s="584" t="str">
        <f>_xlfn.XLOOKUP(A183,PullFromCalcs[Item],PullFromCalcs[Sheet],"MiscItems")</f>
        <v>MiscItems</v>
      </c>
      <c r="H183" s="113" t="e" cm="1">
        <f t="array" ref="H183">_xlfn.XLOOKUP($A183&amp;BasicProjectData!$G$18,Prices[Item '#]&amp;Prices[Location],Prices[Mean Price])</f>
        <v>#N/A</v>
      </c>
      <c r="I183" s="113" t="e" cm="1">
        <f t="array" ref="I183">_xlfn.XLOOKUP($A183&amp;"All Districts",Prices[Item '#]&amp;Prices[Location],Prices[Mean Price])</f>
        <v>#N/A</v>
      </c>
      <c r="Y183" s="38"/>
      <c r="Z183" s="38"/>
      <c r="AA183" s="38"/>
      <c r="AB183" s="38"/>
      <c r="AC183" s="38"/>
      <c r="AD183" s="38"/>
      <c r="AE183" s="38"/>
      <c r="AF183" s="38"/>
    </row>
    <row r="184" spans="1:32">
      <c r="A184" s="34">
        <f>MiscItems!N50</f>
        <v>0</v>
      </c>
      <c r="B184" s="29">
        <f>IF(ISERROR(RIGHT(MiscItems!D50,LEN(MiscItems!D50)-FIND(" ",MiscItems!D50))),MiscItems!F50,RIGHT(MiscItems!D50,LEN(MiscItems!D50)-FIND(" ",MiscItems!D50)))</f>
        <v>0</v>
      </c>
      <c r="C184" s="29" t="str">
        <f>MiscItems!G50</f>
        <v/>
      </c>
      <c r="D184" s="30">
        <f>MiscItems!I50</f>
        <v>0</v>
      </c>
      <c r="E184" s="27" t="str">
        <f>_xlfn.IFNA(MAX(I184,H184),MiscItems!H50)</f>
        <v/>
      </c>
      <c r="F184" s="555">
        <f t="shared" si="11"/>
        <v>0</v>
      </c>
      <c r="G184" s="584" t="str">
        <f>_xlfn.XLOOKUP(A184,PullFromCalcs[Item],PullFromCalcs[Sheet],"MiscItems")</f>
        <v>MiscItems</v>
      </c>
      <c r="H184" s="113" t="e" cm="1">
        <f t="array" ref="H184">_xlfn.XLOOKUP($A184&amp;BasicProjectData!$G$18,Prices[Item '#]&amp;Prices[Location],Prices[Mean Price])</f>
        <v>#N/A</v>
      </c>
      <c r="I184" s="113" t="e" cm="1">
        <f t="array" ref="I184">_xlfn.XLOOKUP($A184&amp;"All Districts",Prices[Item '#]&amp;Prices[Location],Prices[Mean Price])</f>
        <v>#N/A</v>
      </c>
      <c r="Y184" s="38"/>
      <c r="Z184" s="38"/>
      <c r="AA184" s="38"/>
      <c r="AB184" s="38"/>
      <c r="AC184" s="38"/>
      <c r="AD184" s="38"/>
      <c r="AE184" s="38"/>
      <c r="AF184" s="38"/>
    </row>
    <row r="185" spans="1:32">
      <c r="A185" s="34">
        <f>MiscItems!N51</f>
        <v>0</v>
      </c>
      <c r="B185" s="29">
        <f>IF(ISERROR(RIGHT(MiscItems!D51,LEN(MiscItems!D51)-FIND(" ",MiscItems!D51))),MiscItems!F51,RIGHT(MiscItems!D51,LEN(MiscItems!D51)-FIND(" ",MiscItems!D51)))</f>
        <v>0</v>
      </c>
      <c r="C185" s="29" t="str">
        <f>MiscItems!G51</f>
        <v/>
      </c>
      <c r="D185" s="30">
        <f>MiscItems!I51</f>
        <v>0</v>
      </c>
      <c r="E185" s="27" t="str">
        <f>_xlfn.IFNA(MAX(I185,H185),MiscItems!H51)</f>
        <v/>
      </c>
      <c r="F185" s="555">
        <f t="shared" si="11"/>
        <v>0</v>
      </c>
      <c r="G185" s="584" t="str">
        <f>_xlfn.XLOOKUP(A185,PullFromCalcs[Item],PullFromCalcs[Sheet],"MiscItems")</f>
        <v>MiscItems</v>
      </c>
      <c r="H185" s="113" t="e" cm="1">
        <f t="array" ref="H185">_xlfn.XLOOKUP($A185&amp;BasicProjectData!$G$18,Prices[Item '#]&amp;Prices[Location],Prices[Mean Price])</f>
        <v>#N/A</v>
      </c>
      <c r="I185" s="113" t="e" cm="1">
        <f t="array" ref="I185">_xlfn.XLOOKUP($A185&amp;"All Districts",Prices[Item '#]&amp;Prices[Location],Prices[Mean Price])</f>
        <v>#N/A</v>
      </c>
      <c r="Y185" s="38"/>
      <c r="Z185" s="38"/>
      <c r="AA185" s="38"/>
      <c r="AB185" s="38"/>
      <c r="AC185" s="38"/>
      <c r="AD185" s="38"/>
      <c r="AE185" s="38"/>
      <c r="AF185" s="38"/>
    </row>
    <row r="186" spans="1:32">
      <c r="A186" s="34">
        <f>MiscItems!N52</f>
        <v>0</v>
      </c>
      <c r="B186" s="29">
        <f>IF(ISERROR(RIGHT(MiscItems!D52,LEN(MiscItems!D52)-FIND(" ",MiscItems!D52))),MiscItems!F52,RIGHT(MiscItems!D52,LEN(MiscItems!D52)-FIND(" ",MiscItems!D52)))</f>
        <v>0</v>
      </c>
      <c r="C186" s="29" t="str">
        <f>MiscItems!G52</f>
        <v/>
      </c>
      <c r="D186" s="30">
        <f>MiscItems!I52</f>
        <v>0</v>
      </c>
      <c r="E186" s="27" t="str">
        <f>_xlfn.IFNA(MAX(I186,H186),MiscItems!H52)</f>
        <v/>
      </c>
      <c r="F186" s="555">
        <f t="shared" si="11"/>
        <v>0</v>
      </c>
      <c r="G186" s="584" t="str">
        <f>_xlfn.XLOOKUP(A186,PullFromCalcs[Item],PullFromCalcs[Sheet],"MiscItems")</f>
        <v>MiscItems</v>
      </c>
      <c r="H186" s="113" t="e" cm="1">
        <f t="array" ref="H186">_xlfn.XLOOKUP($A186&amp;BasicProjectData!$G$18,Prices[Item '#]&amp;Prices[Location],Prices[Mean Price])</f>
        <v>#N/A</v>
      </c>
      <c r="I186" s="113" t="e" cm="1">
        <f t="array" ref="I186">_xlfn.XLOOKUP($A186&amp;"All Districts",Prices[Item '#]&amp;Prices[Location],Prices[Mean Price])</f>
        <v>#N/A</v>
      </c>
      <c r="Y186" s="38"/>
      <c r="Z186" s="38"/>
      <c r="AA186" s="38"/>
      <c r="AB186" s="38"/>
      <c r="AC186" s="38"/>
      <c r="AD186" s="38"/>
      <c r="AE186" s="38"/>
      <c r="AF186" s="38"/>
    </row>
    <row r="187" spans="1:32">
      <c r="A187" s="34">
        <f>MiscItems!N53</f>
        <v>0</v>
      </c>
      <c r="B187" s="29">
        <f>IF(ISERROR(RIGHT(MiscItems!D53,LEN(MiscItems!D53)-FIND(" ",MiscItems!D53))),MiscItems!F53,RIGHT(MiscItems!D53,LEN(MiscItems!D53)-FIND(" ",MiscItems!D53)))</f>
        <v>0</v>
      </c>
      <c r="C187" s="29" t="str">
        <f>MiscItems!G53</f>
        <v/>
      </c>
      <c r="D187" s="30">
        <f>MiscItems!I53</f>
        <v>0</v>
      </c>
      <c r="E187" s="27" t="str">
        <f>_xlfn.IFNA(MAX(I187,H187),MiscItems!H53)</f>
        <v/>
      </c>
      <c r="F187" s="555">
        <f t="shared" si="11"/>
        <v>0</v>
      </c>
      <c r="G187" s="584" t="str">
        <f>_xlfn.XLOOKUP(A187,PullFromCalcs[Item],PullFromCalcs[Sheet],"MiscItems")</f>
        <v>MiscItems</v>
      </c>
      <c r="H187" s="113" t="e" cm="1">
        <f t="array" ref="H187">_xlfn.XLOOKUP($A187&amp;BasicProjectData!$G$18,Prices[Item '#]&amp;Prices[Location],Prices[Mean Price])</f>
        <v>#N/A</v>
      </c>
      <c r="I187" s="113" t="e" cm="1">
        <f t="array" ref="I187">_xlfn.XLOOKUP($A187&amp;"All Districts",Prices[Item '#]&amp;Prices[Location],Prices[Mean Price])</f>
        <v>#N/A</v>
      </c>
      <c r="Y187" s="38"/>
      <c r="Z187" s="38"/>
      <c r="AA187" s="38"/>
      <c r="AB187" s="38"/>
      <c r="AC187" s="38"/>
      <c r="AD187" s="38"/>
      <c r="AE187" s="38"/>
      <c r="AF187" s="38"/>
    </row>
    <row r="188" spans="1:32">
      <c r="A188" s="34">
        <f>MiscItems!N54</f>
        <v>0</v>
      </c>
      <c r="B188" s="29">
        <f>IF(ISERROR(RIGHT(MiscItems!D54,LEN(MiscItems!D54)-FIND(" ",MiscItems!D54))),MiscItems!F54,RIGHT(MiscItems!D54,LEN(MiscItems!D54)-FIND(" ",MiscItems!D54)))</f>
        <v>0</v>
      </c>
      <c r="C188" s="29" t="str">
        <f>MiscItems!G54</f>
        <v/>
      </c>
      <c r="D188" s="30">
        <f>MiscItems!I54</f>
        <v>0</v>
      </c>
      <c r="E188" s="27" t="str">
        <f>_xlfn.IFNA(MAX(I188,H188),MiscItems!H54)</f>
        <v/>
      </c>
      <c r="F188" s="555">
        <f t="shared" si="11"/>
        <v>0</v>
      </c>
      <c r="G188" s="584" t="str">
        <f>_xlfn.XLOOKUP(A188,PullFromCalcs[Item],PullFromCalcs[Sheet],"MiscItems")</f>
        <v>MiscItems</v>
      </c>
      <c r="H188" s="113" t="e" cm="1">
        <f t="array" ref="H188">_xlfn.XLOOKUP($A188&amp;BasicProjectData!$G$18,Prices[Item '#]&amp;Prices[Location],Prices[Mean Price])</f>
        <v>#N/A</v>
      </c>
      <c r="I188" s="113" t="e" cm="1">
        <f t="array" ref="I188">_xlfn.XLOOKUP($A188&amp;"All Districts",Prices[Item '#]&amp;Prices[Location],Prices[Mean Price])</f>
        <v>#N/A</v>
      </c>
      <c r="Y188" s="38"/>
      <c r="Z188" s="38"/>
      <c r="AA188" s="38"/>
      <c r="AB188" s="38"/>
      <c r="AC188" s="38"/>
      <c r="AD188" s="38"/>
      <c r="AE188" s="38"/>
      <c r="AF188" s="38"/>
    </row>
    <row r="189" spans="1:32">
      <c r="A189" s="34">
        <f>MiscItems!N55</f>
        <v>0</v>
      </c>
      <c r="B189" s="29">
        <f>IF(ISERROR(RIGHT(MiscItems!D55,LEN(MiscItems!D55)-FIND(" ",MiscItems!D55))),MiscItems!F55,RIGHT(MiscItems!D55,LEN(MiscItems!D55)-FIND(" ",MiscItems!D55)))</f>
        <v>0</v>
      </c>
      <c r="C189" s="29" t="str">
        <f>MiscItems!G55</f>
        <v/>
      </c>
      <c r="D189" s="30">
        <f>MiscItems!I55</f>
        <v>0</v>
      </c>
      <c r="E189" s="27" t="str">
        <f>_xlfn.IFNA(MAX(I189,H189),MiscItems!H55)</f>
        <v/>
      </c>
      <c r="F189" s="555">
        <f t="shared" si="11"/>
        <v>0</v>
      </c>
      <c r="G189" s="584" t="str">
        <f>_xlfn.XLOOKUP(A189,PullFromCalcs[Item],PullFromCalcs[Sheet],"MiscItems")</f>
        <v>MiscItems</v>
      </c>
      <c r="H189" s="113" t="e" cm="1">
        <f t="array" ref="H189">_xlfn.XLOOKUP($A189&amp;BasicProjectData!$G$18,Prices[Item '#]&amp;Prices[Location],Prices[Mean Price])</f>
        <v>#N/A</v>
      </c>
      <c r="I189" s="113" t="e" cm="1">
        <f t="array" ref="I189">_xlfn.XLOOKUP($A189&amp;"All Districts",Prices[Item '#]&amp;Prices[Location],Prices[Mean Price])</f>
        <v>#N/A</v>
      </c>
      <c r="Y189" s="38"/>
      <c r="Z189" s="38"/>
      <c r="AA189" s="38"/>
      <c r="AB189" s="38"/>
      <c r="AC189" s="38"/>
      <c r="AD189" s="38"/>
      <c r="AE189" s="38"/>
      <c r="AF189" s="38"/>
    </row>
    <row r="190" spans="1:32">
      <c r="A190" s="34">
        <f>MiscItems!N56</f>
        <v>0</v>
      </c>
      <c r="B190" s="29">
        <f>IF(ISERROR(RIGHT(MiscItems!D56,LEN(MiscItems!D56)-FIND(" ",MiscItems!D56))),MiscItems!F56,RIGHT(MiscItems!D56,LEN(MiscItems!D56)-FIND(" ",MiscItems!D56)))</f>
        <v>0</v>
      </c>
      <c r="C190" s="29" t="str">
        <f>MiscItems!G56</f>
        <v/>
      </c>
      <c r="D190" s="30">
        <f>MiscItems!I56</f>
        <v>0</v>
      </c>
      <c r="E190" s="27" t="str">
        <f>_xlfn.IFNA(MAX(I190,H190),MiscItems!H56)</f>
        <v/>
      </c>
      <c r="F190" s="555">
        <f t="shared" si="11"/>
        <v>0</v>
      </c>
      <c r="G190" s="584" t="str">
        <f>_xlfn.XLOOKUP(A190,PullFromCalcs[Item],PullFromCalcs[Sheet],"MiscItems")</f>
        <v>MiscItems</v>
      </c>
      <c r="H190" s="113" t="e" cm="1">
        <f t="array" ref="H190">_xlfn.XLOOKUP($A190&amp;BasicProjectData!$G$18,Prices[Item '#]&amp;Prices[Location],Prices[Mean Price])</f>
        <v>#N/A</v>
      </c>
      <c r="I190" s="113" t="e" cm="1">
        <f t="array" ref="I190">_xlfn.XLOOKUP($A190&amp;"All Districts",Prices[Item '#]&amp;Prices[Location],Prices[Mean Price])</f>
        <v>#N/A</v>
      </c>
      <c r="Y190" s="38"/>
      <c r="Z190" s="38"/>
      <c r="AA190" s="38"/>
      <c r="AB190" s="38"/>
      <c r="AC190" s="38"/>
      <c r="AD190" s="38"/>
      <c r="AE190" s="38"/>
      <c r="AF190" s="38"/>
    </row>
    <row r="191" spans="1:32">
      <c r="A191" s="34">
        <f>MiscItems!N57</f>
        <v>0</v>
      </c>
      <c r="B191" s="29">
        <f>IF(ISERROR(RIGHT(MiscItems!D57,LEN(MiscItems!D57)-FIND(" ",MiscItems!D57))),MiscItems!F57,RIGHT(MiscItems!D57,LEN(MiscItems!D57)-FIND(" ",MiscItems!D57)))</f>
        <v>0</v>
      </c>
      <c r="C191" s="29" t="str">
        <f>MiscItems!G57</f>
        <v/>
      </c>
      <c r="D191" s="30">
        <f>MiscItems!I57</f>
        <v>0</v>
      </c>
      <c r="E191" s="27" t="str">
        <f>_xlfn.IFNA(MAX(I191,H191),MiscItems!H57)</f>
        <v/>
      </c>
      <c r="F191" s="555">
        <f t="shared" si="11"/>
        <v>0</v>
      </c>
      <c r="G191" s="584" t="str">
        <f>_xlfn.XLOOKUP(A191,PullFromCalcs[Item],PullFromCalcs[Sheet],"MiscItems")</f>
        <v>MiscItems</v>
      </c>
      <c r="H191" s="113" t="e" cm="1">
        <f t="array" ref="H191">_xlfn.XLOOKUP($A191&amp;BasicProjectData!$G$18,Prices[Item '#]&amp;Prices[Location],Prices[Mean Price])</f>
        <v>#N/A</v>
      </c>
      <c r="I191" s="113" t="e" cm="1">
        <f t="array" ref="I191">_xlfn.XLOOKUP($A191&amp;"All Districts",Prices[Item '#]&amp;Prices[Location],Prices[Mean Price])</f>
        <v>#N/A</v>
      </c>
      <c r="Y191" s="38"/>
      <c r="Z191" s="38"/>
      <c r="AA191" s="38"/>
      <c r="AB191" s="38"/>
      <c r="AC191" s="38"/>
      <c r="AD191" s="38"/>
      <c r="AE191" s="38"/>
      <c r="AF191" s="38"/>
    </row>
    <row r="192" spans="1:32">
      <c r="A192" s="34">
        <f>MiscItems!N58</f>
        <v>0</v>
      </c>
      <c r="B192" s="29">
        <f>IF(ISERROR(RIGHT(MiscItems!D58,LEN(MiscItems!D58)-FIND(" ",MiscItems!D58))),MiscItems!F58,RIGHT(MiscItems!D58,LEN(MiscItems!D58)-FIND(" ",MiscItems!D58)))</f>
        <v>0</v>
      </c>
      <c r="C192" s="29" t="str">
        <f>MiscItems!G58</f>
        <v/>
      </c>
      <c r="D192" s="30">
        <f>MiscItems!I58</f>
        <v>0</v>
      </c>
      <c r="E192" s="27" t="str">
        <f>_xlfn.IFNA(MAX(I192,H192),MiscItems!H58)</f>
        <v/>
      </c>
      <c r="F192" s="555">
        <f t="shared" si="11"/>
        <v>0</v>
      </c>
      <c r="G192" s="584" t="str">
        <f>_xlfn.XLOOKUP(A192,PullFromCalcs[Item],PullFromCalcs[Sheet],"MiscItems")</f>
        <v>MiscItems</v>
      </c>
      <c r="H192" s="113" t="e" cm="1">
        <f t="array" ref="H192">_xlfn.XLOOKUP($A192&amp;BasicProjectData!$G$18,Prices[Item '#]&amp;Prices[Location],Prices[Mean Price])</f>
        <v>#N/A</v>
      </c>
      <c r="I192" s="113" t="e" cm="1">
        <f t="array" ref="I192">_xlfn.XLOOKUP($A192&amp;"All Districts",Prices[Item '#]&amp;Prices[Location],Prices[Mean Price])</f>
        <v>#N/A</v>
      </c>
      <c r="Y192" s="38"/>
      <c r="Z192" s="38"/>
      <c r="AA192" s="38"/>
      <c r="AB192" s="38"/>
      <c r="AC192" s="38"/>
      <c r="AD192" s="38"/>
      <c r="AE192" s="38"/>
      <c r="AF192" s="38"/>
    </row>
    <row r="193" spans="1:32">
      <c r="A193" s="34">
        <f>MiscItems!N59</f>
        <v>0</v>
      </c>
      <c r="B193" s="29">
        <f>IF(ISERROR(RIGHT(MiscItems!D59,LEN(MiscItems!D59)-FIND(" ",MiscItems!D59))),MiscItems!F59,RIGHT(MiscItems!D59,LEN(MiscItems!D59)-FIND(" ",MiscItems!D59)))</f>
        <v>0</v>
      </c>
      <c r="C193" s="29" t="str">
        <f>MiscItems!G59</f>
        <v/>
      </c>
      <c r="D193" s="30">
        <f>MiscItems!I59</f>
        <v>0</v>
      </c>
      <c r="E193" s="27" t="str">
        <f>_xlfn.IFNA(MAX(I193,H193),MiscItems!H59)</f>
        <v/>
      </c>
      <c r="F193" s="555">
        <f t="shared" si="11"/>
        <v>0</v>
      </c>
      <c r="G193" s="584" t="str">
        <f>_xlfn.XLOOKUP(A193,PullFromCalcs[Item],PullFromCalcs[Sheet],"MiscItems")</f>
        <v>MiscItems</v>
      </c>
      <c r="H193" s="113" t="e" cm="1">
        <f t="array" ref="H193">_xlfn.XLOOKUP($A193&amp;BasicProjectData!$G$18,Prices[Item '#]&amp;Prices[Location],Prices[Mean Price])</f>
        <v>#N/A</v>
      </c>
      <c r="I193" s="113" t="e" cm="1">
        <f t="array" ref="I193">_xlfn.XLOOKUP($A193&amp;"All Districts",Prices[Item '#]&amp;Prices[Location],Prices[Mean Price])</f>
        <v>#N/A</v>
      </c>
      <c r="Y193" s="38"/>
      <c r="Z193" s="38"/>
      <c r="AA193" s="38"/>
      <c r="AB193" s="38"/>
      <c r="AC193" s="38"/>
      <c r="AD193" s="38"/>
      <c r="AE193" s="38"/>
      <c r="AF193" s="38"/>
    </row>
    <row r="194" spans="1:32">
      <c r="A194" s="34">
        <f>MiscItems!N60</f>
        <v>0</v>
      </c>
      <c r="B194" s="29">
        <f>IF(ISERROR(RIGHT(MiscItems!D60,LEN(MiscItems!D60)-FIND(" ",MiscItems!D60))),MiscItems!F60,RIGHT(MiscItems!D60,LEN(MiscItems!D60)-FIND(" ",MiscItems!D60)))</f>
        <v>0</v>
      </c>
      <c r="C194" s="29" t="str">
        <f>MiscItems!G60</f>
        <v/>
      </c>
      <c r="D194" s="30">
        <f>MiscItems!I60</f>
        <v>0</v>
      </c>
      <c r="E194" s="27" t="str">
        <f>_xlfn.IFNA(MAX(I194,H194),MiscItems!H60)</f>
        <v/>
      </c>
      <c r="F194" s="555">
        <f t="shared" si="11"/>
        <v>0</v>
      </c>
      <c r="G194" s="584" t="str">
        <f>_xlfn.XLOOKUP(A194,PullFromCalcs[Item],PullFromCalcs[Sheet],"MiscItems")</f>
        <v>MiscItems</v>
      </c>
      <c r="H194" s="113" t="e" cm="1">
        <f t="array" ref="H194">_xlfn.XLOOKUP($A194&amp;BasicProjectData!$G$18,Prices[Item '#]&amp;Prices[Location],Prices[Mean Price])</f>
        <v>#N/A</v>
      </c>
      <c r="I194" s="113" t="e" cm="1">
        <f t="array" ref="I194">_xlfn.XLOOKUP($A194&amp;"All Districts",Prices[Item '#]&amp;Prices[Location],Prices[Mean Price])</f>
        <v>#N/A</v>
      </c>
      <c r="Y194" s="38"/>
      <c r="Z194" s="38"/>
      <c r="AA194" s="38"/>
      <c r="AB194" s="38"/>
      <c r="AC194" s="38"/>
      <c r="AD194" s="38"/>
      <c r="AE194" s="38"/>
      <c r="AF194" s="38"/>
    </row>
    <row r="195" spans="1:32">
      <c r="A195" s="34">
        <f>MiscItems!N61</f>
        <v>0</v>
      </c>
      <c r="B195" s="29">
        <f>IF(ISERROR(RIGHT(MiscItems!D61,LEN(MiscItems!D61)-FIND(" ",MiscItems!D61))),MiscItems!F61,RIGHT(MiscItems!D61,LEN(MiscItems!D61)-FIND(" ",MiscItems!D61)))</f>
        <v>0</v>
      </c>
      <c r="C195" s="29" t="str">
        <f>MiscItems!G61</f>
        <v/>
      </c>
      <c r="D195" s="30">
        <f>MiscItems!I61</f>
        <v>0</v>
      </c>
      <c r="E195" s="27" t="str">
        <f>_xlfn.IFNA(MAX(I195,H195),MiscItems!H61)</f>
        <v/>
      </c>
      <c r="F195" s="555">
        <f t="shared" si="11"/>
        <v>0</v>
      </c>
      <c r="G195" s="584" t="str">
        <f>_xlfn.XLOOKUP(A195,PullFromCalcs[Item],PullFromCalcs[Sheet],"MiscItems")</f>
        <v>MiscItems</v>
      </c>
      <c r="H195" s="113" t="e" cm="1">
        <f t="array" ref="H195">_xlfn.XLOOKUP($A195&amp;BasicProjectData!$G$18,Prices[Item '#]&amp;Prices[Location],Prices[Mean Price])</f>
        <v>#N/A</v>
      </c>
      <c r="I195" s="113" t="e" cm="1">
        <f t="array" ref="I195">_xlfn.XLOOKUP($A195&amp;"All Districts",Prices[Item '#]&amp;Prices[Location],Prices[Mean Price])</f>
        <v>#N/A</v>
      </c>
      <c r="Y195" s="38"/>
      <c r="Z195" s="38"/>
      <c r="AA195" s="38"/>
      <c r="AB195" s="38"/>
      <c r="AC195" s="38"/>
      <c r="AD195" s="38"/>
      <c r="AE195" s="38"/>
      <c r="AF195" s="38"/>
    </row>
    <row r="196" spans="1:32">
      <c r="A196" s="34">
        <f>MiscItems!N62</f>
        <v>0</v>
      </c>
      <c r="B196" s="29">
        <f>IF(ISERROR(RIGHT(MiscItems!D62,LEN(MiscItems!D62)-FIND(" ",MiscItems!D62))),MiscItems!F62,RIGHT(MiscItems!D62,LEN(MiscItems!D62)-FIND(" ",MiscItems!D62)))</f>
        <v>0</v>
      </c>
      <c r="C196" s="29" t="str">
        <f>MiscItems!G62</f>
        <v/>
      </c>
      <c r="D196" s="30">
        <f>MiscItems!I62</f>
        <v>0</v>
      </c>
      <c r="E196" s="27" t="str">
        <f>_xlfn.IFNA(MAX(I196,H196),MiscItems!H62)</f>
        <v/>
      </c>
      <c r="F196" s="555">
        <f t="shared" si="11"/>
        <v>0</v>
      </c>
      <c r="G196" s="584" t="str">
        <f>_xlfn.XLOOKUP(A196,PullFromCalcs[Item],PullFromCalcs[Sheet],"MiscItems")</f>
        <v>MiscItems</v>
      </c>
      <c r="H196" s="113" t="e" cm="1">
        <f t="array" ref="H196">_xlfn.XLOOKUP($A196&amp;BasicProjectData!$G$18,Prices[Item '#]&amp;Prices[Location],Prices[Mean Price])</f>
        <v>#N/A</v>
      </c>
      <c r="I196" s="113" t="e" cm="1">
        <f t="array" ref="I196">_xlfn.XLOOKUP($A196&amp;"All Districts",Prices[Item '#]&amp;Prices[Location],Prices[Mean Price])</f>
        <v>#N/A</v>
      </c>
      <c r="Y196" s="38"/>
      <c r="Z196" s="38"/>
      <c r="AA196" s="38"/>
      <c r="AB196" s="38"/>
      <c r="AC196" s="38"/>
      <c r="AD196" s="38"/>
      <c r="AE196" s="38"/>
      <c r="AF196" s="38"/>
    </row>
    <row r="197" spans="1:32">
      <c r="A197" s="34">
        <f>MiscItems!N63</f>
        <v>0</v>
      </c>
      <c r="B197" s="29">
        <f>IF(ISERROR(RIGHT(MiscItems!D63,LEN(MiscItems!D63)-FIND(" ",MiscItems!D63))),MiscItems!F63,RIGHT(MiscItems!D63,LEN(MiscItems!D63)-FIND(" ",MiscItems!D63)))</f>
        <v>0</v>
      </c>
      <c r="C197" s="29" t="str">
        <f>MiscItems!G63</f>
        <v/>
      </c>
      <c r="D197" s="30">
        <f>MiscItems!I63</f>
        <v>0</v>
      </c>
      <c r="E197" s="27" t="str">
        <f>_xlfn.IFNA(MAX(I197,H197),MiscItems!H63)</f>
        <v/>
      </c>
      <c r="F197" s="555">
        <f t="shared" si="11"/>
        <v>0</v>
      </c>
      <c r="G197" s="584" t="str">
        <f>_xlfn.XLOOKUP(A197,PullFromCalcs[Item],PullFromCalcs[Sheet],"MiscItems")</f>
        <v>MiscItems</v>
      </c>
      <c r="H197" s="113" t="e" cm="1">
        <f t="array" ref="H197">_xlfn.XLOOKUP($A197&amp;BasicProjectData!$G$18,Prices[Item '#]&amp;Prices[Location],Prices[Mean Price])</f>
        <v>#N/A</v>
      </c>
      <c r="I197" s="113" t="e" cm="1">
        <f t="array" ref="I197">_xlfn.XLOOKUP($A197&amp;"All Districts",Prices[Item '#]&amp;Prices[Location],Prices[Mean Price])</f>
        <v>#N/A</v>
      </c>
      <c r="Y197" s="38"/>
      <c r="Z197" s="38"/>
      <c r="AA197" s="38"/>
      <c r="AB197" s="38"/>
      <c r="AC197" s="38"/>
      <c r="AD197" s="38"/>
      <c r="AE197" s="38"/>
      <c r="AF197" s="38"/>
    </row>
    <row r="198" spans="1:32">
      <c r="A198" s="34">
        <f>MiscItems!N64</f>
        <v>0</v>
      </c>
      <c r="B198" s="29">
        <f>IF(ISERROR(RIGHT(MiscItems!D64,LEN(MiscItems!D64)-FIND(" ",MiscItems!D64))),MiscItems!F64,RIGHT(MiscItems!D64,LEN(MiscItems!D64)-FIND(" ",MiscItems!D64)))</f>
        <v>0</v>
      </c>
      <c r="C198" s="29" t="str">
        <f>MiscItems!G64</f>
        <v/>
      </c>
      <c r="D198" s="30">
        <f>MiscItems!I64</f>
        <v>0</v>
      </c>
      <c r="E198" s="27" t="str">
        <f>_xlfn.IFNA(MAX(I198,H198),MiscItems!H64)</f>
        <v/>
      </c>
      <c r="F198" s="555">
        <f t="shared" si="11"/>
        <v>0</v>
      </c>
      <c r="G198" s="584" t="str">
        <f>_xlfn.XLOOKUP(A198,PullFromCalcs[Item],PullFromCalcs[Sheet],"MiscItems")</f>
        <v>MiscItems</v>
      </c>
      <c r="H198" s="113" t="e" cm="1">
        <f t="array" ref="H198">_xlfn.XLOOKUP($A198&amp;BasicProjectData!$G$18,Prices[Item '#]&amp;Prices[Location],Prices[Mean Price])</f>
        <v>#N/A</v>
      </c>
      <c r="I198" s="113" t="e" cm="1">
        <f t="array" ref="I198">_xlfn.XLOOKUP($A198&amp;"All Districts",Prices[Item '#]&amp;Prices[Location],Prices[Mean Price])</f>
        <v>#N/A</v>
      </c>
      <c r="Y198" s="38"/>
      <c r="Z198" s="38"/>
      <c r="AA198" s="38"/>
      <c r="AB198" s="38"/>
      <c r="AC198" s="38"/>
      <c r="AD198" s="38"/>
      <c r="AE198" s="38"/>
      <c r="AF198" s="38"/>
    </row>
    <row r="199" spans="1:32">
      <c r="A199" s="34">
        <f>MiscItems!N65</f>
        <v>0</v>
      </c>
      <c r="B199" s="29">
        <f>IF(ISERROR(RIGHT(MiscItems!D65,LEN(MiscItems!D65)-FIND(" ",MiscItems!D65))),MiscItems!F65,RIGHT(MiscItems!D65,LEN(MiscItems!D65)-FIND(" ",MiscItems!D65)))</f>
        <v>0</v>
      </c>
      <c r="C199" s="29" t="str">
        <f>MiscItems!G65</f>
        <v/>
      </c>
      <c r="D199" s="30">
        <f>MiscItems!I65</f>
        <v>0</v>
      </c>
      <c r="E199" s="27" t="str">
        <f>_xlfn.IFNA(MAX(I199,H199),MiscItems!H65)</f>
        <v/>
      </c>
      <c r="F199" s="555">
        <f t="shared" si="11"/>
        <v>0</v>
      </c>
      <c r="G199" s="584" t="str">
        <f>_xlfn.XLOOKUP(A199,PullFromCalcs[Item],PullFromCalcs[Sheet],"MiscItems")</f>
        <v>MiscItems</v>
      </c>
      <c r="H199" s="113" t="e" cm="1">
        <f t="array" ref="H199">_xlfn.XLOOKUP($A199&amp;BasicProjectData!$G$18,Prices[Item '#]&amp;Prices[Location],Prices[Mean Price])</f>
        <v>#N/A</v>
      </c>
      <c r="I199" s="113" t="e" cm="1">
        <f t="array" ref="I199">_xlfn.XLOOKUP($A199&amp;"All Districts",Prices[Item '#]&amp;Prices[Location],Prices[Mean Price])</f>
        <v>#N/A</v>
      </c>
      <c r="Y199" s="38"/>
      <c r="Z199" s="38"/>
      <c r="AA199" s="38"/>
      <c r="AB199" s="38"/>
      <c r="AC199" s="38"/>
      <c r="AD199" s="38"/>
      <c r="AE199" s="38"/>
      <c r="AF199" s="38"/>
    </row>
    <row r="200" spans="1:32">
      <c r="A200" s="34">
        <f>MiscItems!N66</f>
        <v>0</v>
      </c>
      <c r="B200" s="29">
        <f>IF(ISERROR(RIGHT(MiscItems!D66,LEN(MiscItems!D66)-FIND(" ",MiscItems!D66))),MiscItems!F66,RIGHT(MiscItems!D66,LEN(MiscItems!D66)-FIND(" ",MiscItems!D66)))</f>
        <v>0</v>
      </c>
      <c r="C200" s="29" t="str">
        <f>MiscItems!G66</f>
        <v/>
      </c>
      <c r="D200" s="30">
        <f>MiscItems!I66</f>
        <v>0</v>
      </c>
      <c r="E200" s="27" t="str">
        <f>_xlfn.IFNA(MAX(I200,H200),MiscItems!H66)</f>
        <v/>
      </c>
      <c r="F200" s="555">
        <f t="shared" si="11"/>
        <v>0</v>
      </c>
      <c r="G200" s="584" t="str">
        <f>_xlfn.XLOOKUP(A200,PullFromCalcs[Item],PullFromCalcs[Sheet],"MiscItems")</f>
        <v>MiscItems</v>
      </c>
      <c r="H200" s="113" t="e" cm="1">
        <f t="array" ref="H200">_xlfn.XLOOKUP($A200&amp;BasicProjectData!$G$18,Prices[Item '#]&amp;Prices[Location],Prices[Mean Price])</f>
        <v>#N/A</v>
      </c>
      <c r="I200" s="113" t="e" cm="1">
        <f t="array" ref="I200">_xlfn.XLOOKUP($A200&amp;"All Districts",Prices[Item '#]&amp;Prices[Location],Prices[Mean Price])</f>
        <v>#N/A</v>
      </c>
      <c r="Y200" s="38"/>
      <c r="Z200" s="38"/>
      <c r="AA200" s="38"/>
      <c r="AB200" s="38"/>
      <c r="AC200" s="38"/>
      <c r="AD200" s="38"/>
      <c r="AE200" s="38"/>
      <c r="AF200" s="38"/>
    </row>
    <row r="201" spans="1:32">
      <c r="A201" s="34">
        <f>MiscItems!N67</f>
        <v>0</v>
      </c>
      <c r="B201" s="29">
        <f>IF(ISERROR(RIGHT(MiscItems!D67,LEN(MiscItems!D67)-FIND(" ",MiscItems!D67))),MiscItems!F67,RIGHT(MiscItems!D67,LEN(MiscItems!D67)-FIND(" ",MiscItems!D67)))</f>
        <v>0</v>
      </c>
      <c r="C201" s="29" t="str">
        <f>MiscItems!G67</f>
        <v/>
      </c>
      <c r="D201" s="30">
        <f>MiscItems!I67</f>
        <v>0</v>
      </c>
      <c r="E201" s="27" t="str">
        <f>_xlfn.IFNA(MAX(I201,H201),MiscItems!H67)</f>
        <v/>
      </c>
      <c r="F201" s="555">
        <f t="shared" si="11"/>
        <v>0</v>
      </c>
      <c r="G201" s="584" t="str">
        <f>_xlfn.XLOOKUP(A201,PullFromCalcs[Item],PullFromCalcs[Sheet],"MiscItems")</f>
        <v>MiscItems</v>
      </c>
      <c r="H201" s="113" t="e" cm="1">
        <f t="array" ref="H201">_xlfn.XLOOKUP($A201&amp;BasicProjectData!$G$18,Prices[Item '#]&amp;Prices[Location],Prices[Mean Price])</f>
        <v>#N/A</v>
      </c>
      <c r="I201" s="113" t="e" cm="1">
        <f t="array" ref="I201">_xlfn.XLOOKUP($A201&amp;"All Districts",Prices[Item '#]&amp;Prices[Location],Prices[Mean Price])</f>
        <v>#N/A</v>
      </c>
      <c r="Y201" s="38"/>
      <c r="Z201" s="38"/>
      <c r="AA201" s="38"/>
      <c r="AB201" s="38"/>
      <c r="AC201" s="38"/>
      <c r="AD201" s="38"/>
      <c r="AE201" s="38"/>
      <c r="AF201" s="38"/>
    </row>
    <row r="202" spans="1:32">
      <c r="A202" s="34">
        <f>MiscItems!N68</f>
        <v>0</v>
      </c>
      <c r="B202" s="29">
        <f>IF(ISERROR(RIGHT(MiscItems!D68,LEN(MiscItems!D68)-FIND(" ",MiscItems!D68))),MiscItems!F68,RIGHT(MiscItems!D68,LEN(MiscItems!D68)-FIND(" ",MiscItems!D68)))</f>
        <v>0</v>
      </c>
      <c r="C202" s="29" t="str">
        <f>MiscItems!G68</f>
        <v/>
      </c>
      <c r="D202" s="30">
        <f>MiscItems!I68</f>
        <v>0</v>
      </c>
      <c r="E202" s="27" t="str">
        <f>_xlfn.IFNA(MAX(I202,H202),MiscItems!H68)</f>
        <v/>
      </c>
      <c r="F202" s="555">
        <f t="shared" si="11"/>
        <v>0</v>
      </c>
      <c r="G202" s="584" t="str">
        <f>_xlfn.XLOOKUP(A202,PullFromCalcs[Item],PullFromCalcs[Sheet],"MiscItems")</f>
        <v>MiscItems</v>
      </c>
      <c r="H202" s="113" t="e" cm="1">
        <f t="array" ref="H202">_xlfn.XLOOKUP($A202&amp;BasicProjectData!$G$18,Prices[Item '#]&amp;Prices[Location],Prices[Mean Price])</f>
        <v>#N/A</v>
      </c>
      <c r="I202" s="113" t="e" cm="1">
        <f t="array" ref="I202">_xlfn.XLOOKUP($A202&amp;"All Districts",Prices[Item '#]&amp;Prices[Location],Prices[Mean Price])</f>
        <v>#N/A</v>
      </c>
      <c r="Y202" s="38"/>
      <c r="Z202" s="38"/>
      <c r="AA202" s="38"/>
      <c r="AB202" s="38"/>
      <c r="AC202" s="38"/>
      <c r="AD202" s="38"/>
      <c r="AE202" s="38"/>
      <c r="AF202" s="38"/>
    </row>
    <row r="203" spans="1:32">
      <c r="A203" s="34">
        <f>MiscItems!N69</f>
        <v>0</v>
      </c>
      <c r="B203" s="29">
        <f>IF(ISERROR(RIGHT(MiscItems!D69,LEN(MiscItems!D69)-FIND(" ",MiscItems!D69))),MiscItems!F69,RIGHT(MiscItems!D69,LEN(MiscItems!D69)-FIND(" ",MiscItems!D69)))</f>
        <v>0</v>
      </c>
      <c r="C203" s="29" t="str">
        <f>MiscItems!G69</f>
        <v/>
      </c>
      <c r="D203" s="30">
        <f>MiscItems!I69</f>
        <v>0</v>
      </c>
      <c r="E203" s="27" t="str">
        <f>_xlfn.IFNA(MAX(I203,H203),MiscItems!H69)</f>
        <v/>
      </c>
      <c r="F203" s="555">
        <f t="shared" si="11"/>
        <v>0</v>
      </c>
      <c r="G203" s="584" t="str">
        <f>_xlfn.XLOOKUP(A203,PullFromCalcs[Item],PullFromCalcs[Sheet],"MiscItems")</f>
        <v>MiscItems</v>
      </c>
      <c r="H203" s="113" t="e" cm="1">
        <f t="array" ref="H203">_xlfn.XLOOKUP($A203&amp;BasicProjectData!$G$18,Prices[Item '#]&amp;Prices[Location],Prices[Mean Price])</f>
        <v>#N/A</v>
      </c>
      <c r="I203" s="113" t="e" cm="1">
        <f t="array" ref="I203">_xlfn.XLOOKUP($A203&amp;"All Districts",Prices[Item '#]&amp;Prices[Location],Prices[Mean Price])</f>
        <v>#N/A</v>
      </c>
      <c r="Y203" s="38"/>
      <c r="Z203" s="38"/>
      <c r="AA203" s="38"/>
      <c r="AB203" s="38"/>
      <c r="AC203" s="38"/>
      <c r="AD203" s="38"/>
      <c r="AE203" s="38"/>
      <c r="AF203" s="38"/>
    </row>
    <row r="204" spans="1:32">
      <c r="A204" s="34">
        <f>MiscItems!N70</f>
        <v>0</v>
      </c>
      <c r="B204" s="29">
        <f>IF(ISERROR(RIGHT(MiscItems!D70,LEN(MiscItems!D70)-FIND(" ",MiscItems!D70))),MiscItems!F70,RIGHT(MiscItems!D70,LEN(MiscItems!D70)-FIND(" ",MiscItems!D70)))</f>
        <v>0</v>
      </c>
      <c r="C204" s="29" t="str">
        <f>MiscItems!G70</f>
        <v/>
      </c>
      <c r="D204" s="30">
        <f>MiscItems!I70</f>
        <v>0</v>
      </c>
      <c r="E204" s="27" t="str">
        <f>_xlfn.IFNA(MAX(I204,H204),MiscItems!H70)</f>
        <v/>
      </c>
      <c r="F204" s="555">
        <f t="shared" si="11"/>
        <v>0</v>
      </c>
      <c r="G204" s="584" t="str">
        <f>_xlfn.XLOOKUP(A204,PullFromCalcs[Item],PullFromCalcs[Sheet],"MiscItems")</f>
        <v>MiscItems</v>
      </c>
      <c r="H204" s="113" t="e" cm="1">
        <f t="array" ref="H204">_xlfn.XLOOKUP($A204&amp;BasicProjectData!$G$18,Prices[Item '#]&amp;Prices[Location],Prices[Mean Price])</f>
        <v>#N/A</v>
      </c>
      <c r="I204" s="113" t="e" cm="1">
        <f t="array" ref="I204">_xlfn.XLOOKUP($A204&amp;"All Districts",Prices[Item '#]&amp;Prices[Location],Prices[Mean Price])</f>
        <v>#N/A</v>
      </c>
      <c r="Y204" s="38"/>
      <c r="Z204" s="38"/>
      <c r="AA204" s="38"/>
      <c r="AB204" s="38"/>
      <c r="AC204" s="38"/>
      <c r="AD204" s="38"/>
      <c r="AE204" s="38"/>
      <c r="AF204" s="38"/>
    </row>
    <row r="205" spans="1:32">
      <c r="A205" s="34">
        <f>MiscItems!N71</f>
        <v>0</v>
      </c>
      <c r="B205" s="29">
        <f>IF(ISERROR(RIGHT(MiscItems!D71,LEN(MiscItems!D71)-FIND(" ",MiscItems!D71))),MiscItems!F71,RIGHT(MiscItems!D71,LEN(MiscItems!D71)-FIND(" ",MiscItems!D71)))</f>
        <v>0</v>
      </c>
      <c r="C205" s="29" t="str">
        <f>MiscItems!G71</f>
        <v/>
      </c>
      <c r="D205" s="30">
        <f>MiscItems!I71</f>
        <v>0</v>
      </c>
      <c r="E205" s="27" t="str">
        <f>_xlfn.IFNA(MAX(I205,H205),MiscItems!H71)</f>
        <v/>
      </c>
      <c r="F205" s="555">
        <f t="shared" si="11"/>
        <v>0</v>
      </c>
      <c r="G205" s="584" t="str">
        <f>_xlfn.XLOOKUP(A205,PullFromCalcs[Item],PullFromCalcs[Sheet],"MiscItems")</f>
        <v>MiscItems</v>
      </c>
      <c r="H205" s="113" t="e" cm="1">
        <f t="array" ref="H205">_xlfn.XLOOKUP($A205&amp;BasicProjectData!$G$18,Prices[Item '#]&amp;Prices[Location],Prices[Mean Price])</f>
        <v>#N/A</v>
      </c>
      <c r="I205" s="113" t="e" cm="1">
        <f t="array" ref="I205">_xlfn.XLOOKUP($A205&amp;"All Districts",Prices[Item '#]&amp;Prices[Location],Prices[Mean Price])</f>
        <v>#N/A</v>
      </c>
      <c r="Y205" s="38"/>
      <c r="Z205" s="38"/>
      <c r="AA205" s="38"/>
      <c r="AB205" s="38"/>
      <c r="AC205" s="38"/>
      <c r="AD205" s="38"/>
      <c r="AE205" s="38"/>
      <c r="AF205" s="38"/>
    </row>
    <row r="206" spans="1:32">
      <c r="A206" s="34">
        <f>MiscItems!N72</f>
        <v>0</v>
      </c>
      <c r="B206" s="29">
        <f>IF(ISERROR(RIGHT(MiscItems!D72,LEN(MiscItems!D72)-FIND(" ",MiscItems!D72))),MiscItems!F72,RIGHT(MiscItems!D72,LEN(MiscItems!D72)-FIND(" ",MiscItems!D72)))</f>
        <v>0</v>
      </c>
      <c r="C206" s="29" t="str">
        <f>MiscItems!G72</f>
        <v/>
      </c>
      <c r="D206" s="30">
        <f>MiscItems!I72</f>
        <v>0</v>
      </c>
      <c r="E206" s="27" t="str">
        <f>_xlfn.IFNA(MAX(I206,H206),MiscItems!H72)</f>
        <v/>
      </c>
      <c r="F206" s="555">
        <f t="shared" si="11"/>
        <v>0</v>
      </c>
      <c r="G206" s="584" t="str">
        <f>_xlfn.XLOOKUP(A206,PullFromCalcs[Item],PullFromCalcs[Sheet],"MiscItems")</f>
        <v>MiscItems</v>
      </c>
      <c r="H206" s="113" t="e" cm="1">
        <f t="array" ref="H206">_xlfn.XLOOKUP($A206&amp;BasicProjectData!$G$18,Prices[Item '#]&amp;Prices[Location],Prices[Mean Price])</f>
        <v>#N/A</v>
      </c>
      <c r="I206" s="113" t="e" cm="1">
        <f t="array" ref="I206">_xlfn.XLOOKUP($A206&amp;"All Districts",Prices[Item '#]&amp;Prices[Location],Prices[Mean Price])</f>
        <v>#N/A</v>
      </c>
      <c r="Y206" s="38"/>
      <c r="Z206" s="38"/>
      <c r="AA206" s="38"/>
      <c r="AB206" s="38"/>
      <c r="AC206" s="38"/>
      <c r="AD206" s="38"/>
      <c r="AE206" s="38"/>
      <c r="AF206" s="38"/>
    </row>
    <row r="207" spans="1:32">
      <c r="A207" s="34">
        <f>MiscItems!N73</f>
        <v>0</v>
      </c>
      <c r="B207" s="29">
        <f>IF(ISERROR(RIGHT(MiscItems!D73,LEN(MiscItems!D73)-FIND(" ",MiscItems!D73))),MiscItems!F73,RIGHT(MiscItems!D73,LEN(MiscItems!D73)-FIND(" ",MiscItems!D73)))</f>
        <v>0</v>
      </c>
      <c r="C207" s="29" t="str">
        <f>MiscItems!G73</f>
        <v/>
      </c>
      <c r="D207" s="30">
        <f>MiscItems!I73</f>
        <v>0</v>
      </c>
      <c r="E207" s="27" t="str">
        <f>_xlfn.IFNA(MAX(I207,H207),MiscItems!H73)</f>
        <v/>
      </c>
      <c r="F207" s="555">
        <f t="shared" si="11"/>
        <v>0</v>
      </c>
      <c r="G207" s="584" t="str">
        <f>_xlfn.XLOOKUP(A207,PullFromCalcs[Item],PullFromCalcs[Sheet],"MiscItems")</f>
        <v>MiscItems</v>
      </c>
      <c r="H207" s="113" t="e" cm="1">
        <f t="array" ref="H207">_xlfn.XLOOKUP($A207&amp;BasicProjectData!$G$18,Prices[Item '#]&amp;Prices[Location],Prices[Mean Price])</f>
        <v>#N/A</v>
      </c>
      <c r="I207" s="113" t="e" cm="1">
        <f t="array" ref="I207">_xlfn.XLOOKUP($A207&amp;"All Districts",Prices[Item '#]&amp;Prices[Location],Prices[Mean Price])</f>
        <v>#N/A</v>
      </c>
      <c r="Y207" s="38"/>
      <c r="Z207" s="38"/>
      <c r="AA207" s="38"/>
      <c r="AB207" s="38"/>
      <c r="AC207" s="38"/>
      <c r="AD207" s="38"/>
      <c r="AE207" s="38"/>
      <c r="AF207" s="38"/>
    </row>
    <row r="208" spans="1:32">
      <c r="A208" s="34">
        <f>MiscItems!N74</f>
        <v>0</v>
      </c>
      <c r="B208" s="29">
        <f>IF(ISERROR(RIGHT(MiscItems!D74,LEN(MiscItems!D74)-FIND(" ",MiscItems!D74))),MiscItems!F74,RIGHT(MiscItems!D74,LEN(MiscItems!D74)-FIND(" ",MiscItems!D74)))</f>
        <v>0</v>
      </c>
      <c r="C208" s="29" t="str">
        <f>MiscItems!G74</f>
        <v/>
      </c>
      <c r="D208" s="30">
        <f>MiscItems!I74</f>
        <v>0</v>
      </c>
      <c r="E208" s="27" t="str">
        <f>_xlfn.IFNA(MAX(I208,H208),MiscItems!H74)</f>
        <v/>
      </c>
      <c r="F208" s="555">
        <f t="shared" si="11"/>
        <v>0</v>
      </c>
      <c r="G208" s="584" t="str">
        <f>_xlfn.XLOOKUP(A208,PullFromCalcs[Item],PullFromCalcs[Sheet],"MiscItems")</f>
        <v>MiscItems</v>
      </c>
      <c r="H208" s="113" t="e" cm="1">
        <f t="array" ref="H208">_xlfn.XLOOKUP($A208&amp;BasicProjectData!$G$18,Prices[Item '#]&amp;Prices[Location],Prices[Mean Price])</f>
        <v>#N/A</v>
      </c>
      <c r="I208" s="113" t="e" cm="1">
        <f t="array" ref="I208">_xlfn.XLOOKUP($A208&amp;"All Districts",Prices[Item '#]&amp;Prices[Location],Prices[Mean Price])</f>
        <v>#N/A</v>
      </c>
      <c r="Y208" s="38"/>
      <c r="Z208" s="38"/>
      <c r="AA208" s="38"/>
      <c r="AB208" s="38"/>
      <c r="AC208" s="38"/>
      <c r="AD208" s="38"/>
      <c r="AE208" s="38"/>
      <c r="AF208" s="38"/>
    </row>
    <row r="209" spans="1:32">
      <c r="A209" s="34">
        <f>MiscItems!N75</f>
        <v>0</v>
      </c>
      <c r="B209" s="29">
        <f>IF(ISERROR(RIGHT(MiscItems!D75,LEN(MiscItems!D75)-FIND(" ",MiscItems!D75))),MiscItems!F75,RIGHT(MiscItems!D75,LEN(MiscItems!D75)-FIND(" ",MiscItems!D75)))</f>
        <v>0</v>
      </c>
      <c r="C209" s="29" t="str">
        <f>MiscItems!G75</f>
        <v/>
      </c>
      <c r="D209" s="30">
        <f>MiscItems!I75</f>
        <v>0</v>
      </c>
      <c r="E209" s="27" t="str">
        <f>_xlfn.IFNA(MAX(I209,H209),MiscItems!H75)</f>
        <v/>
      </c>
      <c r="F209" s="555">
        <f t="shared" si="11"/>
        <v>0</v>
      </c>
      <c r="G209" s="584" t="str">
        <f>_xlfn.XLOOKUP(A209,PullFromCalcs[Item],PullFromCalcs[Sheet],"MiscItems")</f>
        <v>MiscItems</v>
      </c>
      <c r="H209" s="113" t="e" cm="1">
        <f t="array" ref="H209">_xlfn.XLOOKUP($A209&amp;BasicProjectData!$G$18,Prices[Item '#]&amp;Prices[Location],Prices[Mean Price])</f>
        <v>#N/A</v>
      </c>
      <c r="I209" s="113" t="e" cm="1">
        <f t="array" ref="I209">_xlfn.XLOOKUP($A209&amp;"All Districts",Prices[Item '#]&amp;Prices[Location],Prices[Mean Price])</f>
        <v>#N/A</v>
      </c>
      <c r="Y209" s="38"/>
      <c r="Z209" s="38"/>
      <c r="AA209" s="38"/>
      <c r="AB209" s="38"/>
      <c r="AC209" s="38"/>
      <c r="AD209" s="38"/>
      <c r="AE209" s="38"/>
      <c r="AF209" s="38"/>
    </row>
    <row r="210" spans="1:32">
      <c r="A210" s="34">
        <f>MiscItems!N76</f>
        <v>0</v>
      </c>
      <c r="B210" s="29">
        <f>IF(ISERROR(RIGHT(MiscItems!D76,LEN(MiscItems!D76)-FIND(" ",MiscItems!D76))),MiscItems!F76,RIGHT(MiscItems!D76,LEN(MiscItems!D76)-FIND(" ",MiscItems!D76)))</f>
        <v>0</v>
      </c>
      <c r="C210" s="29" t="str">
        <f>MiscItems!G76</f>
        <v/>
      </c>
      <c r="D210" s="30">
        <f>MiscItems!I76</f>
        <v>0</v>
      </c>
      <c r="E210" s="27" t="str">
        <f>_xlfn.IFNA(MAX(I210,H210),MiscItems!H76)</f>
        <v/>
      </c>
      <c r="F210" s="555">
        <f t="shared" si="11"/>
        <v>0</v>
      </c>
      <c r="G210" s="584" t="str">
        <f>_xlfn.XLOOKUP(A210,PullFromCalcs[Item],PullFromCalcs[Sheet],"MiscItems")</f>
        <v>MiscItems</v>
      </c>
      <c r="H210" s="113" t="e" cm="1">
        <f t="array" ref="H210">_xlfn.XLOOKUP($A210&amp;BasicProjectData!$G$18,Prices[Item '#]&amp;Prices[Location],Prices[Mean Price])</f>
        <v>#N/A</v>
      </c>
      <c r="I210" s="113" t="e" cm="1">
        <f t="array" ref="I210">_xlfn.XLOOKUP($A210&amp;"All Districts",Prices[Item '#]&amp;Prices[Location],Prices[Mean Price])</f>
        <v>#N/A</v>
      </c>
      <c r="Y210" s="38"/>
      <c r="Z210" s="38"/>
      <c r="AA210" s="38"/>
      <c r="AB210" s="38"/>
      <c r="AC210" s="38"/>
      <c r="AD210" s="38"/>
      <c r="AE210" s="38"/>
      <c r="AF210" s="38"/>
    </row>
    <row r="211" spans="1:32">
      <c r="A211" s="34">
        <f>MiscItems!N77</f>
        <v>0</v>
      </c>
      <c r="B211" s="29">
        <f>IF(ISERROR(RIGHT(MiscItems!D77,LEN(MiscItems!D77)-FIND(" ",MiscItems!D77))),MiscItems!F77,RIGHT(MiscItems!D77,LEN(MiscItems!D77)-FIND(" ",MiscItems!D77)))</f>
        <v>0</v>
      </c>
      <c r="C211" s="29" t="str">
        <f>MiscItems!G77</f>
        <v/>
      </c>
      <c r="D211" s="30">
        <f>MiscItems!I77</f>
        <v>0</v>
      </c>
      <c r="E211" s="27" t="str">
        <f>_xlfn.IFNA(MAX(I211,H211),MiscItems!H77)</f>
        <v/>
      </c>
      <c r="F211" s="555">
        <f t="shared" ref="F211:F242" si="12">IFERROR(E211*D211,0)</f>
        <v>0</v>
      </c>
      <c r="G211" s="584" t="str">
        <f>_xlfn.XLOOKUP(A211,PullFromCalcs[Item],PullFromCalcs[Sheet],"MiscItems")</f>
        <v>MiscItems</v>
      </c>
      <c r="H211" s="113" t="e" cm="1">
        <f t="array" ref="H211">_xlfn.XLOOKUP($A211&amp;BasicProjectData!$G$18,Prices[Item '#]&amp;Prices[Location],Prices[Mean Price])</f>
        <v>#N/A</v>
      </c>
      <c r="I211" s="113" t="e" cm="1">
        <f t="array" ref="I211">_xlfn.XLOOKUP($A211&amp;"All Districts",Prices[Item '#]&amp;Prices[Location],Prices[Mean Price])</f>
        <v>#N/A</v>
      </c>
      <c r="Y211" s="38"/>
      <c r="Z211" s="38"/>
      <c r="AA211" s="38"/>
      <c r="AB211" s="38"/>
      <c r="AC211" s="38"/>
      <c r="AD211" s="38"/>
      <c r="AE211" s="38"/>
      <c r="AF211" s="38"/>
    </row>
    <row r="212" spans="1:32">
      <c r="A212" s="34">
        <f>MiscItems!N78</f>
        <v>0</v>
      </c>
      <c r="B212" s="29">
        <f>IF(ISERROR(RIGHT(MiscItems!D78,LEN(MiscItems!D78)-FIND(" ",MiscItems!D78))),MiscItems!F78,RIGHT(MiscItems!D78,LEN(MiscItems!D78)-FIND(" ",MiscItems!D78)))</f>
        <v>0</v>
      </c>
      <c r="C212" s="29" t="str">
        <f>MiscItems!G78</f>
        <v/>
      </c>
      <c r="D212" s="30">
        <f>MiscItems!I78</f>
        <v>0</v>
      </c>
      <c r="E212" s="27" t="str">
        <f>_xlfn.IFNA(MAX(I212,H212),MiscItems!H78)</f>
        <v/>
      </c>
      <c r="F212" s="555">
        <f t="shared" si="12"/>
        <v>0</v>
      </c>
      <c r="G212" s="584" t="str">
        <f>_xlfn.XLOOKUP(A212,PullFromCalcs[Item],PullFromCalcs[Sheet],"MiscItems")</f>
        <v>MiscItems</v>
      </c>
      <c r="H212" s="113" t="e" cm="1">
        <f t="array" ref="H212">_xlfn.XLOOKUP($A212&amp;BasicProjectData!$G$18,Prices[Item '#]&amp;Prices[Location],Prices[Mean Price])</f>
        <v>#N/A</v>
      </c>
      <c r="I212" s="113" t="e" cm="1">
        <f t="array" ref="I212">_xlfn.XLOOKUP($A212&amp;"All Districts",Prices[Item '#]&amp;Prices[Location],Prices[Mean Price])</f>
        <v>#N/A</v>
      </c>
      <c r="Y212" s="38"/>
      <c r="Z212" s="38"/>
      <c r="AA212" s="38"/>
      <c r="AB212" s="38"/>
      <c r="AC212" s="38"/>
      <c r="AD212" s="38"/>
      <c r="AE212" s="38"/>
      <c r="AF212" s="38"/>
    </row>
    <row r="213" spans="1:32">
      <c r="A213" s="34">
        <f>MiscItems!N79</f>
        <v>0</v>
      </c>
      <c r="B213" s="29">
        <f>IF(ISERROR(RIGHT(MiscItems!D79,LEN(MiscItems!D79)-FIND(" ",MiscItems!D79))),MiscItems!F79,RIGHT(MiscItems!D79,LEN(MiscItems!D79)-FIND(" ",MiscItems!D79)))</f>
        <v>0</v>
      </c>
      <c r="C213" s="29" t="str">
        <f>MiscItems!G79</f>
        <v/>
      </c>
      <c r="D213" s="30">
        <f>MiscItems!I79</f>
        <v>0</v>
      </c>
      <c r="E213" s="27" t="str">
        <f>_xlfn.IFNA(MAX(I213,H213),MiscItems!H79)</f>
        <v/>
      </c>
      <c r="F213" s="555">
        <f t="shared" si="12"/>
        <v>0</v>
      </c>
      <c r="G213" s="584" t="str">
        <f>_xlfn.XLOOKUP(A213,PullFromCalcs[Item],PullFromCalcs[Sheet],"MiscItems")</f>
        <v>MiscItems</v>
      </c>
      <c r="H213" s="113" t="e" cm="1">
        <f t="array" ref="H213">_xlfn.XLOOKUP($A213&amp;BasicProjectData!$G$18,Prices[Item '#]&amp;Prices[Location],Prices[Mean Price])</f>
        <v>#N/A</v>
      </c>
      <c r="I213" s="113" t="e" cm="1">
        <f t="array" ref="I213">_xlfn.XLOOKUP($A213&amp;"All Districts",Prices[Item '#]&amp;Prices[Location],Prices[Mean Price])</f>
        <v>#N/A</v>
      </c>
      <c r="Y213" s="38"/>
      <c r="Z213" s="38"/>
      <c r="AA213" s="38"/>
      <c r="AB213" s="38"/>
      <c r="AC213" s="38"/>
      <c r="AD213" s="38"/>
      <c r="AE213" s="38"/>
      <c r="AF213" s="38"/>
    </row>
    <row r="214" spans="1:32">
      <c r="A214" s="34">
        <f>MiscItems!N80</f>
        <v>0</v>
      </c>
      <c r="B214" s="29">
        <f>IF(ISERROR(RIGHT(MiscItems!D80,LEN(MiscItems!D80)-FIND(" ",MiscItems!D80))),MiscItems!F80,RIGHT(MiscItems!D80,LEN(MiscItems!D80)-FIND(" ",MiscItems!D80)))</f>
        <v>0</v>
      </c>
      <c r="C214" s="29" t="str">
        <f>MiscItems!G80</f>
        <v/>
      </c>
      <c r="D214" s="30">
        <f>MiscItems!I80</f>
        <v>0</v>
      </c>
      <c r="E214" s="27" t="str">
        <f>_xlfn.IFNA(MAX(I214,H214),MiscItems!H80)</f>
        <v/>
      </c>
      <c r="F214" s="555">
        <f t="shared" si="12"/>
        <v>0</v>
      </c>
      <c r="G214" s="584" t="str">
        <f>_xlfn.XLOOKUP(A214,PullFromCalcs[Item],PullFromCalcs[Sheet],"MiscItems")</f>
        <v>MiscItems</v>
      </c>
      <c r="H214" s="113" t="e" cm="1">
        <f t="array" ref="H214">_xlfn.XLOOKUP($A214&amp;BasicProjectData!$G$18,Prices[Item '#]&amp;Prices[Location],Prices[Mean Price])</f>
        <v>#N/A</v>
      </c>
      <c r="I214" s="113" t="e" cm="1">
        <f t="array" ref="I214">_xlfn.XLOOKUP($A214&amp;"All Districts",Prices[Item '#]&amp;Prices[Location],Prices[Mean Price])</f>
        <v>#N/A</v>
      </c>
      <c r="Y214" s="38"/>
      <c r="Z214" s="38"/>
      <c r="AA214" s="38"/>
      <c r="AB214" s="38"/>
      <c r="AC214" s="38"/>
      <c r="AD214" s="38"/>
      <c r="AE214" s="38"/>
      <c r="AF214" s="38"/>
    </row>
    <row r="215" spans="1:32">
      <c r="A215" s="34">
        <f>MiscItems!N81</f>
        <v>0</v>
      </c>
      <c r="B215" s="29">
        <f>IF(ISERROR(RIGHT(MiscItems!D81,LEN(MiscItems!D81)-FIND(" ",MiscItems!D81))),MiscItems!F81,RIGHT(MiscItems!D81,LEN(MiscItems!D81)-FIND(" ",MiscItems!D81)))</f>
        <v>0</v>
      </c>
      <c r="C215" s="29" t="str">
        <f>MiscItems!G81</f>
        <v/>
      </c>
      <c r="D215" s="30">
        <f>MiscItems!I81</f>
        <v>0</v>
      </c>
      <c r="E215" s="27" t="str">
        <f>_xlfn.IFNA(MAX(I215,H215),MiscItems!H81)</f>
        <v/>
      </c>
      <c r="F215" s="555">
        <f t="shared" si="12"/>
        <v>0</v>
      </c>
      <c r="G215" s="584" t="str">
        <f>_xlfn.XLOOKUP(A215,PullFromCalcs[Item],PullFromCalcs[Sheet],"MiscItems")</f>
        <v>MiscItems</v>
      </c>
      <c r="H215" s="113" t="e" cm="1">
        <f t="array" ref="H215">_xlfn.XLOOKUP($A215&amp;BasicProjectData!$G$18,Prices[Item '#]&amp;Prices[Location],Prices[Mean Price])</f>
        <v>#N/A</v>
      </c>
      <c r="I215" s="113" t="e" cm="1">
        <f t="array" ref="I215">_xlfn.XLOOKUP($A215&amp;"All Districts",Prices[Item '#]&amp;Prices[Location],Prices[Mean Price])</f>
        <v>#N/A</v>
      </c>
      <c r="Y215" s="38"/>
      <c r="Z215" s="38"/>
      <c r="AA215" s="38"/>
      <c r="AB215" s="38"/>
      <c r="AC215" s="38"/>
      <c r="AD215" s="38"/>
      <c r="AE215" s="38"/>
      <c r="AF215" s="38"/>
    </row>
    <row r="216" spans="1:32">
      <c r="A216" s="34">
        <f>MiscItems!N82</f>
        <v>0</v>
      </c>
      <c r="B216" s="29">
        <f>IF(ISERROR(RIGHT(MiscItems!D82,LEN(MiscItems!D82)-FIND(" ",MiscItems!D82))),MiscItems!F82,RIGHT(MiscItems!D82,LEN(MiscItems!D82)-FIND(" ",MiscItems!D82)))</f>
        <v>0</v>
      </c>
      <c r="C216" s="29" t="str">
        <f>MiscItems!G82</f>
        <v/>
      </c>
      <c r="D216" s="30">
        <f>MiscItems!I82</f>
        <v>0</v>
      </c>
      <c r="E216" s="27" t="str">
        <f>_xlfn.IFNA(MAX(I216,H216),MiscItems!H82)</f>
        <v/>
      </c>
      <c r="F216" s="555">
        <f t="shared" si="12"/>
        <v>0</v>
      </c>
      <c r="G216" s="584" t="str">
        <f>_xlfn.XLOOKUP(A216,PullFromCalcs[Item],PullFromCalcs[Sheet],"MiscItems")</f>
        <v>MiscItems</v>
      </c>
      <c r="H216" s="113" t="e" cm="1">
        <f t="array" ref="H216">_xlfn.XLOOKUP($A216&amp;BasicProjectData!$G$18,Prices[Item '#]&amp;Prices[Location],Prices[Mean Price])</f>
        <v>#N/A</v>
      </c>
      <c r="I216" s="113" t="e" cm="1">
        <f t="array" ref="I216">_xlfn.XLOOKUP($A216&amp;"All Districts",Prices[Item '#]&amp;Prices[Location],Prices[Mean Price])</f>
        <v>#N/A</v>
      </c>
      <c r="Y216" s="38"/>
      <c r="Z216" s="38"/>
      <c r="AA216" s="38"/>
      <c r="AB216" s="38"/>
      <c r="AC216" s="38"/>
      <c r="AD216" s="38"/>
      <c r="AE216" s="38"/>
      <c r="AF216" s="38"/>
    </row>
    <row r="217" spans="1:32">
      <c r="A217" s="34">
        <f>MiscItems!N83</f>
        <v>0</v>
      </c>
      <c r="B217" s="29">
        <f>IF(ISERROR(RIGHT(MiscItems!D83,LEN(MiscItems!D83)-FIND(" ",MiscItems!D83))),MiscItems!F83,RIGHT(MiscItems!D83,LEN(MiscItems!D83)-FIND(" ",MiscItems!D83)))</f>
        <v>0</v>
      </c>
      <c r="C217" s="29" t="str">
        <f>MiscItems!G83</f>
        <v/>
      </c>
      <c r="D217" s="30">
        <f>MiscItems!I83</f>
        <v>0</v>
      </c>
      <c r="E217" s="27" t="str">
        <f>_xlfn.IFNA(MAX(I217,H217),MiscItems!H83)</f>
        <v/>
      </c>
      <c r="F217" s="555">
        <f t="shared" si="12"/>
        <v>0</v>
      </c>
      <c r="G217" s="584" t="str">
        <f>_xlfn.XLOOKUP(A217,PullFromCalcs[Item],PullFromCalcs[Sheet],"MiscItems")</f>
        <v>MiscItems</v>
      </c>
      <c r="H217" s="113" t="e" cm="1">
        <f t="array" ref="H217">_xlfn.XLOOKUP($A217&amp;BasicProjectData!$G$18,Prices[Item '#]&amp;Prices[Location],Prices[Mean Price])</f>
        <v>#N/A</v>
      </c>
      <c r="I217" s="113" t="e" cm="1">
        <f t="array" ref="I217">_xlfn.XLOOKUP($A217&amp;"All Districts",Prices[Item '#]&amp;Prices[Location],Prices[Mean Price])</f>
        <v>#N/A</v>
      </c>
      <c r="Y217" s="38"/>
      <c r="Z217" s="38"/>
      <c r="AA217" s="38"/>
      <c r="AB217" s="38"/>
      <c r="AC217" s="38"/>
      <c r="AD217" s="38"/>
      <c r="AE217" s="38"/>
      <c r="AF217" s="38"/>
    </row>
    <row r="218" spans="1:32">
      <c r="A218" s="34">
        <f>MiscItems!N84</f>
        <v>0</v>
      </c>
      <c r="B218" s="29">
        <f>IF(ISERROR(RIGHT(MiscItems!D84,LEN(MiscItems!D84)-FIND(" ",MiscItems!D84))),MiscItems!F84,RIGHT(MiscItems!D84,LEN(MiscItems!D84)-FIND(" ",MiscItems!D84)))</f>
        <v>0</v>
      </c>
      <c r="C218" s="29" t="str">
        <f>MiscItems!G84</f>
        <v/>
      </c>
      <c r="D218" s="30">
        <f>MiscItems!I84</f>
        <v>0</v>
      </c>
      <c r="E218" s="27" t="str">
        <f>_xlfn.IFNA(MAX(I218,H218),MiscItems!H84)</f>
        <v/>
      </c>
      <c r="F218" s="555">
        <f t="shared" si="12"/>
        <v>0</v>
      </c>
      <c r="G218" s="584" t="str">
        <f>_xlfn.XLOOKUP(A218,PullFromCalcs[Item],PullFromCalcs[Sheet],"MiscItems")</f>
        <v>MiscItems</v>
      </c>
      <c r="H218" s="113" t="e" cm="1">
        <f t="array" ref="H218">_xlfn.XLOOKUP($A218&amp;BasicProjectData!$G$18,Prices[Item '#]&amp;Prices[Location],Prices[Mean Price])</f>
        <v>#N/A</v>
      </c>
      <c r="I218" s="113" t="e" cm="1">
        <f t="array" ref="I218">_xlfn.XLOOKUP($A218&amp;"All Districts",Prices[Item '#]&amp;Prices[Location],Prices[Mean Price])</f>
        <v>#N/A</v>
      </c>
      <c r="Y218" s="38"/>
      <c r="Z218" s="38"/>
      <c r="AA218" s="38"/>
      <c r="AB218" s="38"/>
      <c r="AC218" s="38"/>
      <c r="AD218" s="38"/>
      <c r="AE218" s="38"/>
      <c r="AF218" s="38"/>
    </row>
    <row r="219" spans="1:32">
      <c r="A219" s="34">
        <f>MiscItems!N85</f>
        <v>0</v>
      </c>
      <c r="B219" s="29">
        <f>IF(ISERROR(RIGHT(MiscItems!D85,LEN(MiscItems!D85)-FIND(" ",MiscItems!D85))),MiscItems!F85,RIGHT(MiscItems!D85,LEN(MiscItems!D85)-FIND(" ",MiscItems!D85)))</f>
        <v>0</v>
      </c>
      <c r="C219" s="29" t="str">
        <f>MiscItems!G85</f>
        <v/>
      </c>
      <c r="D219" s="30">
        <f>MiscItems!I85</f>
        <v>0</v>
      </c>
      <c r="E219" s="27" t="str">
        <f>_xlfn.IFNA(MAX(I219,H219),MiscItems!H85)</f>
        <v/>
      </c>
      <c r="F219" s="555">
        <f t="shared" si="12"/>
        <v>0</v>
      </c>
      <c r="G219" s="584" t="str">
        <f>_xlfn.XLOOKUP(A219,PullFromCalcs[Item],PullFromCalcs[Sheet],"MiscItems")</f>
        <v>MiscItems</v>
      </c>
      <c r="H219" s="113" t="e" cm="1">
        <f t="array" ref="H219">_xlfn.XLOOKUP($A219&amp;BasicProjectData!$G$18,Prices[Item '#]&amp;Prices[Location],Prices[Mean Price])</f>
        <v>#N/A</v>
      </c>
      <c r="I219" s="113" t="e" cm="1">
        <f t="array" ref="I219">_xlfn.XLOOKUP($A219&amp;"All Districts",Prices[Item '#]&amp;Prices[Location],Prices[Mean Price])</f>
        <v>#N/A</v>
      </c>
      <c r="Y219" s="38"/>
      <c r="Z219" s="38"/>
      <c r="AA219" s="38"/>
      <c r="AB219" s="38"/>
      <c r="AC219" s="38"/>
      <c r="AD219" s="38"/>
      <c r="AE219" s="38"/>
      <c r="AF219" s="38"/>
    </row>
    <row r="220" spans="1:32">
      <c r="A220" s="34">
        <f>MiscItems!N86</f>
        <v>0</v>
      </c>
      <c r="B220" s="29">
        <f>IF(ISERROR(RIGHT(MiscItems!D86,LEN(MiscItems!D86)-FIND(" ",MiscItems!D86))),MiscItems!F86,RIGHT(MiscItems!D86,LEN(MiscItems!D86)-FIND(" ",MiscItems!D86)))</f>
        <v>0</v>
      </c>
      <c r="C220" s="29" t="str">
        <f>MiscItems!G86</f>
        <v/>
      </c>
      <c r="D220" s="30">
        <f>MiscItems!I86</f>
        <v>0</v>
      </c>
      <c r="E220" s="27" t="str">
        <f>_xlfn.IFNA(MAX(I220,H220),MiscItems!H86)</f>
        <v/>
      </c>
      <c r="F220" s="555">
        <f t="shared" si="12"/>
        <v>0</v>
      </c>
      <c r="G220" s="584" t="str">
        <f>_xlfn.XLOOKUP(A220,PullFromCalcs[Item],PullFromCalcs[Sheet],"MiscItems")</f>
        <v>MiscItems</v>
      </c>
      <c r="H220" s="113" t="e" cm="1">
        <f t="array" ref="H220">_xlfn.XLOOKUP($A220&amp;BasicProjectData!$G$18,Prices[Item '#]&amp;Prices[Location],Prices[Mean Price])</f>
        <v>#N/A</v>
      </c>
      <c r="I220" s="113" t="e" cm="1">
        <f t="array" ref="I220">_xlfn.XLOOKUP($A220&amp;"All Districts",Prices[Item '#]&amp;Prices[Location],Prices[Mean Price])</f>
        <v>#N/A</v>
      </c>
      <c r="Y220" s="38"/>
      <c r="Z220" s="38"/>
      <c r="AA220" s="38"/>
      <c r="AB220" s="38"/>
      <c r="AC220" s="38"/>
      <c r="AD220" s="38"/>
      <c r="AE220" s="38"/>
      <c r="AF220" s="38"/>
    </row>
    <row r="221" spans="1:32">
      <c r="A221" s="34">
        <f>MiscItems!N87</f>
        <v>0</v>
      </c>
      <c r="B221" s="29">
        <f>IF(ISERROR(RIGHT(MiscItems!D87,LEN(MiscItems!D87)-FIND(" ",MiscItems!D87))),MiscItems!F87,RIGHT(MiscItems!D87,LEN(MiscItems!D87)-FIND(" ",MiscItems!D87)))</f>
        <v>0</v>
      </c>
      <c r="C221" s="29" t="str">
        <f>MiscItems!G87</f>
        <v/>
      </c>
      <c r="D221" s="30">
        <f>MiscItems!I87</f>
        <v>0</v>
      </c>
      <c r="E221" s="27" t="str">
        <f>_xlfn.IFNA(MAX(I221,H221),MiscItems!H87)</f>
        <v/>
      </c>
      <c r="F221" s="555">
        <f t="shared" si="12"/>
        <v>0</v>
      </c>
      <c r="G221" s="584" t="str">
        <f>_xlfn.XLOOKUP(A221,PullFromCalcs[Item],PullFromCalcs[Sheet],"MiscItems")</f>
        <v>MiscItems</v>
      </c>
      <c r="H221" s="113" t="e" cm="1">
        <f t="array" ref="H221">_xlfn.XLOOKUP($A221&amp;BasicProjectData!$G$18,Prices[Item '#]&amp;Prices[Location],Prices[Mean Price])</f>
        <v>#N/A</v>
      </c>
      <c r="I221" s="113" t="e" cm="1">
        <f t="array" ref="I221">_xlfn.XLOOKUP($A221&amp;"All Districts",Prices[Item '#]&amp;Prices[Location],Prices[Mean Price])</f>
        <v>#N/A</v>
      </c>
      <c r="Y221" s="38"/>
      <c r="Z221" s="38"/>
      <c r="AA221" s="38"/>
      <c r="AB221" s="38"/>
      <c r="AC221" s="38"/>
      <c r="AD221" s="38"/>
      <c r="AE221" s="38"/>
      <c r="AF221" s="38"/>
    </row>
    <row r="222" spans="1:32">
      <c r="A222" s="34">
        <f>MiscItems!N88</f>
        <v>0</v>
      </c>
      <c r="B222" s="29">
        <f>IF(ISERROR(RIGHT(MiscItems!D88,LEN(MiscItems!D88)-FIND(" ",MiscItems!D88))),MiscItems!F88,RIGHT(MiscItems!D88,LEN(MiscItems!D88)-FIND(" ",MiscItems!D88)))</f>
        <v>0</v>
      </c>
      <c r="C222" s="29" t="str">
        <f>MiscItems!G88</f>
        <v/>
      </c>
      <c r="D222" s="30">
        <f>MiscItems!I88</f>
        <v>0</v>
      </c>
      <c r="E222" s="27" t="str">
        <f>_xlfn.IFNA(MAX(I222,H222),MiscItems!H88)</f>
        <v/>
      </c>
      <c r="F222" s="555">
        <f t="shared" si="12"/>
        <v>0</v>
      </c>
      <c r="G222" s="584" t="str">
        <f>_xlfn.XLOOKUP(A222,PullFromCalcs[Item],PullFromCalcs[Sheet],"MiscItems")</f>
        <v>MiscItems</v>
      </c>
      <c r="H222" s="113" t="e" cm="1">
        <f t="array" ref="H222">_xlfn.XLOOKUP($A222&amp;BasicProjectData!$G$18,Prices[Item '#]&amp;Prices[Location],Prices[Mean Price])</f>
        <v>#N/A</v>
      </c>
      <c r="I222" s="113" t="e" cm="1">
        <f t="array" ref="I222">_xlfn.XLOOKUP($A222&amp;"All Districts",Prices[Item '#]&amp;Prices[Location],Prices[Mean Price])</f>
        <v>#N/A</v>
      </c>
      <c r="Y222" s="38"/>
      <c r="Z222" s="38"/>
      <c r="AA222" s="38"/>
      <c r="AB222" s="38"/>
      <c r="AC222" s="38"/>
      <c r="AD222" s="38"/>
      <c r="AE222" s="38"/>
      <c r="AF222" s="38"/>
    </row>
    <row r="223" spans="1:32">
      <c r="A223" s="34">
        <f>MiscItems!N89</f>
        <v>0</v>
      </c>
      <c r="B223" s="29">
        <f>IF(ISERROR(RIGHT(MiscItems!D89,LEN(MiscItems!D89)-FIND(" ",MiscItems!D89))),MiscItems!F89,RIGHT(MiscItems!D89,LEN(MiscItems!D89)-FIND(" ",MiscItems!D89)))</f>
        <v>0</v>
      </c>
      <c r="C223" s="29" t="str">
        <f>MiscItems!G89</f>
        <v/>
      </c>
      <c r="D223" s="30">
        <f>MiscItems!I89</f>
        <v>0</v>
      </c>
      <c r="E223" s="27" t="str">
        <f>_xlfn.IFNA(MAX(I223,H223),MiscItems!H89)</f>
        <v/>
      </c>
      <c r="F223" s="555">
        <f t="shared" si="12"/>
        <v>0</v>
      </c>
      <c r="G223" s="584" t="str">
        <f>_xlfn.XLOOKUP(A223,PullFromCalcs[Item],PullFromCalcs[Sheet],"MiscItems")</f>
        <v>MiscItems</v>
      </c>
      <c r="H223" s="113" t="e" cm="1">
        <f t="array" ref="H223">_xlfn.XLOOKUP($A223&amp;BasicProjectData!$G$18,Prices[Item '#]&amp;Prices[Location],Prices[Mean Price])</f>
        <v>#N/A</v>
      </c>
      <c r="I223" s="113" t="e" cm="1">
        <f t="array" ref="I223">_xlfn.XLOOKUP($A223&amp;"All Districts",Prices[Item '#]&amp;Prices[Location],Prices[Mean Price])</f>
        <v>#N/A</v>
      </c>
      <c r="Y223" s="38"/>
      <c r="Z223" s="38"/>
      <c r="AA223" s="38"/>
      <c r="AB223" s="38"/>
      <c r="AC223" s="38"/>
      <c r="AD223" s="38"/>
      <c r="AE223" s="38"/>
      <c r="AF223" s="38"/>
    </row>
    <row r="224" spans="1:32">
      <c r="A224" s="34">
        <f>MiscItems!N90</f>
        <v>0</v>
      </c>
      <c r="B224" s="29">
        <f>IF(ISERROR(RIGHT(MiscItems!D90,LEN(MiscItems!D90)-FIND(" ",MiscItems!D90))),MiscItems!F90,RIGHT(MiscItems!D90,LEN(MiscItems!D90)-FIND(" ",MiscItems!D90)))</f>
        <v>0</v>
      </c>
      <c r="C224" s="29" t="str">
        <f>MiscItems!G90</f>
        <v/>
      </c>
      <c r="D224" s="30">
        <f>MiscItems!I90</f>
        <v>0</v>
      </c>
      <c r="E224" s="27" t="str">
        <f>_xlfn.IFNA(MAX(I224,H224),MiscItems!H90)</f>
        <v/>
      </c>
      <c r="F224" s="555">
        <f t="shared" si="12"/>
        <v>0</v>
      </c>
      <c r="G224" s="584" t="str">
        <f>_xlfn.XLOOKUP(A224,PullFromCalcs[Item],PullFromCalcs[Sheet],"MiscItems")</f>
        <v>MiscItems</v>
      </c>
      <c r="H224" s="113" t="e" cm="1">
        <f t="array" ref="H224">_xlfn.XLOOKUP($A224&amp;BasicProjectData!$G$18,Prices[Item '#]&amp;Prices[Location],Prices[Mean Price])</f>
        <v>#N/A</v>
      </c>
      <c r="I224" s="113" t="e" cm="1">
        <f t="array" ref="I224">_xlfn.XLOOKUP($A224&amp;"All Districts",Prices[Item '#]&amp;Prices[Location],Prices[Mean Price])</f>
        <v>#N/A</v>
      </c>
      <c r="Y224" s="38"/>
      <c r="Z224" s="38"/>
      <c r="AA224" s="38"/>
      <c r="AB224" s="38"/>
      <c r="AC224" s="38"/>
      <c r="AD224" s="38"/>
      <c r="AE224" s="38"/>
      <c r="AF224" s="38"/>
    </row>
    <row r="225" spans="1:32">
      <c r="A225" s="34">
        <f>MiscItems!N91</f>
        <v>0</v>
      </c>
      <c r="B225" s="29">
        <f>IF(ISERROR(RIGHT(MiscItems!D91,LEN(MiscItems!D91)-FIND(" ",MiscItems!D91))),MiscItems!F91,RIGHT(MiscItems!D91,LEN(MiscItems!D91)-FIND(" ",MiscItems!D91)))</f>
        <v>0</v>
      </c>
      <c r="C225" s="29" t="str">
        <f>MiscItems!G91</f>
        <v/>
      </c>
      <c r="D225" s="30">
        <f>MiscItems!I91</f>
        <v>0</v>
      </c>
      <c r="E225" s="27" t="str">
        <f>_xlfn.IFNA(MAX(I225,H225),MiscItems!H91)</f>
        <v/>
      </c>
      <c r="F225" s="555">
        <f t="shared" si="12"/>
        <v>0</v>
      </c>
      <c r="G225" s="584" t="str">
        <f>_xlfn.XLOOKUP(A225,PullFromCalcs[Item],PullFromCalcs[Sheet],"MiscItems")</f>
        <v>MiscItems</v>
      </c>
      <c r="H225" s="113" t="e" cm="1">
        <f t="array" ref="H225">_xlfn.XLOOKUP($A225&amp;BasicProjectData!$G$18,Prices[Item '#]&amp;Prices[Location],Prices[Mean Price])</f>
        <v>#N/A</v>
      </c>
      <c r="I225" s="113" t="e" cm="1">
        <f t="array" ref="I225">_xlfn.XLOOKUP($A225&amp;"All Districts",Prices[Item '#]&amp;Prices[Location],Prices[Mean Price])</f>
        <v>#N/A</v>
      </c>
      <c r="Y225" s="38"/>
      <c r="Z225" s="38"/>
      <c r="AA225" s="38"/>
      <c r="AB225" s="38"/>
      <c r="AC225" s="38"/>
      <c r="AD225" s="38"/>
      <c r="AE225" s="38"/>
      <c r="AF225" s="38"/>
    </row>
    <row r="226" spans="1:32">
      <c r="A226" s="34">
        <f>MiscItems!N92</f>
        <v>0</v>
      </c>
      <c r="B226" s="29">
        <f>IF(ISERROR(RIGHT(MiscItems!D92,LEN(MiscItems!D92)-FIND(" ",MiscItems!D92))),MiscItems!F92,RIGHT(MiscItems!D92,LEN(MiscItems!D92)-FIND(" ",MiscItems!D92)))</f>
        <v>0</v>
      </c>
      <c r="C226" s="29" t="str">
        <f>MiscItems!G92</f>
        <v/>
      </c>
      <c r="D226" s="30">
        <f>MiscItems!I92</f>
        <v>0</v>
      </c>
      <c r="E226" s="27" t="str">
        <f>_xlfn.IFNA(MAX(I226,H226),MiscItems!H92)</f>
        <v/>
      </c>
      <c r="F226" s="555">
        <f t="shared" si="12"/>
        <v>0</v>
      </c>
      <c r="G226" s="584" t="str">
        <f>_xlfn.XLOOKUP(A226,PullFromCalcs[Item],PullFromCalcs[Sheet],"MiscItems")</f>
        <v>MiscItems</v>
      </c>
      <c r="H226" s="113" t="e" cm="1">
        <f t="array" ref="H226">_xlfn.XLOOKUP($A226&amp;BasicProjectData!$G$18,Prices[Item '#]&amp;Prices[Location],Prices[Mean Price])</f>
        <v>#N/A</v>
      </c>
      <c r="I226" s="113" t="e" cm="1">
        <f t="array" ref="I226">_xlfn.XLOOKUP($A226&amp;"All Districts",Prices[Item '#]&amp;Prices[Location],Prices[Mean Price])</f>
        <v>#N/A</v>
      </c>
      <c r="Y226" s="38"/>
      <c r="Z226" s="38"/>
      <c r="AA226" s="38"/>
      <c r="AB226" s="38"/>
      <c r="AC226" s="38"/>
      <c r="AD226" s="38"/>
      <c r="AE226" s="38"/>
      <c r="AF226" s="38"/>
    </row>
    <row r="227" spans="1:32">
      <c r="A227" s="34">
        <f>MiscItems!N93</f>
        <v>0</v>
      </c>
      <c r="B227" s="29">
        <f>IF(ISERROR(RIGHT(MiscItems!D93,LEN(MiscItems!D93)-FIND(" ",MiscItems!D93))),MiscItems!F93,RIGHT(MiscItems!D93,LEN(MiscItems!D93)-FIND(" ",MiscItems!D93)))</f>
        <v>0</v>
      </c>
      <c r="C227" s="29" t="str">
        <f>MiscItems!G93</f>
        <v/>
      </c>
      <c r="D227" s="30">
        <f>MiscItems!I93</f>
        <v>0</v>
      </c>
      <c r="E227" s="27" t="str">
        <f>_xlfn.IFNA(MAX(I227,H227),MiscItems!H93)</f>
        <v/>
      </c>
      <c r="F227" s="555">
        <f t="shared" si="12"/>
        <v>0</v>
      </c>
      <c r="G227" s="584" t="str">
        <f>_xlfn.XLOOKUP(A227,PullFromCalcs[Item],PullFromCalcs[Sheet],"MiscItems")</f>
        <v>MiscItems</v>
      </c>
      <c r="H227" s="113" t="e" cm="1">
        <f t="array" ref="H227">_xlfn.XLOOKUP($A227&amp;BasicProjectData!$G$18,Prices[Item '#]&amp;Prices[Location],Prices[Mean Price])</f>
        <v>#N/A</v>
      </c>
      <c r="I227" s="113" t="e" cm="1">
        <f t="array" ref="I227">_xlfn.XLOOKUP($A227&amp;"All Districts",Prices[Item '#]&amp;Prices[Location],Prices[Mean Price])</f>
        <v>#N/A</v>
      </c>
      <c r="Y227" s="38"/>
      <c r="Z227" s="38"/>
      <c r="AA227" s="38"/>
      <c r="AB227" s="38"/>
      <c r="AC227" s="38"/>
      <c r="AD227" s="38"/>
      <c r="AE227" s="38"/>
      <c r="AF227" s="38"/>
    </row>
    <row r="228" spans="1:32">
      <c r="A228" s="34">
        <f>MiscItems!N94</f>
        <v>0</v>
      </c>
      <c r="B228" s="29">
        <f>IF(ISERROR(RIGHT(MiscItems!D94,LEN(MiscItems!D94)-FIND(" ",MiscItems!D94))),MiscItems!F94,RIGHT(MiscItems!D94,LEN(MiscItems!D94)-FIND(" ",MiscItems!D94)))</f>
        <v>0</v>
      </c>
      <c r="C228" s="29" t="str">
        <f>MiscItems!G94</f>
        <v/>
      </c>
      <c r="D228" s="30">
        <f>MiscItems!I94</f>
        <v>0</v>
      </c>
      <c r="E228" s="27" t="str">
        <f>_xlfn.IFNA(MAX(I228,H228),MiscItems!H94)</f>
        <v/>
      </c>
      <c r="F228" s="555">
        <f t="shared" si="12"/>
        <v>0</v>
      </c>
      <c r="G228" s="584" t="str">
        <f>_xlfn.XLOOKUP(A228,PullFromCalcs[Item],PullFromCalcs[Sheet],"MiscItems")</f>
        <v>MiscItems</v>
      </c>
      <c r="H228" s="113" t="e" cm="1">
        <f t="array" ref="H228">_xlfn.XLOOKUP($A228&amp;BasicProjectData!$G$18,Prices[Item '#]&amp;Prices[Location],Prices[Mean Price])</f>
        <v>#N/A</v>
      </c>
      <c r="I228" s="113" t="e" cm="1">
        <f t="array" ref="I228">_xlfn.XLOOKUP($A228&amp;"All Districts",Prices[Item '#]&amp;Prices[Location],Prices[Mean Price])</f>
        <v>#N/A</v>
      </c>
      <c r="Y228" s="38"/>
      <c r="Z228" s="38"/>
      <c r="AA228" s="38"/>
      <c r="AB228" s="38"/>
      <c r="AC228" s="38"/>
      <c r="AD228" s="38"/>
      <c r="AE228" s="38"/>
      <c r="AF228" s="38"/>
    </row>
    <row r="229" spans="1:32">
      <c r="A229" s="34">
        <f>MiscItems!N95</f>
        <v>0</v>
      </c>
      <c r="B229" s="29">
        <f>IF(ISERROR(RIGHT(MiscItems!D95,LEN(MiscItems!D95)-FIND(" ",MiscItems!D95))),MiscItems!F95,RIGHT(MiscItems!D95,LEN(MiscItems!D95)-FIND(" ",MiscItems!D95)))</f>
        <v>0</v>
      </c>
      <c r="C229" s="29" t="str">
        <f>MiscItems!G95</f>
        <v/>
      </c>
      <c r="D229" s="30">
        <f>MiscItems!I95</f>
        <v>0</v>
      </c>
      <c r="E229" s="27" t="str">
        <f>_xlfn.IFNA(MAX(I229,H229),MiscItems!H95)</f>
        <v/>
      </c>
      <c r="F229" s="555">
        <f t="shared" si="12"/>
        <v>0</v>
      </c>
      <c r="G229" s="584" t="str">
        <f>_xlfn.XLOOKUP(A229,PullFromCalcs[Item],PullFromCalcs[Sheet],"MiscItems")</f>
        <v>MiscItems</v>
      </c>
      <c r="H229" s="113" t="e" cm="1">
        <f t="array" ref="H229">_xlfn.XLOOKUP($A229&amp;BasicProjectData!$G$18,Prices[Item '#]&amp;Prices[Location],Prices[Mean Price])</f>
        <v>#N/A</v>
      </c>
      <c r="I229" s="113" t="e" cm="1">
        <f t="array" ref="I229">_xlfn.XLOOKUP($A229&amp;"All Districts",Prices[Item '#]&amp;Prices[Location],Prices[Mean Price])</f>
        <v>#N/A</v>
      </c>
      <c r="Y229" s="38"/>
      <c r="Z229" s="38"/>
      <c r="AA229" s="38"/>
      <c r="AB229" s="38"/>
      <c r="AC229" s="38"/>
      <c r="AD229" s="38"/>
      <c r="AE229" s="38"/>
      <c r="AF229" s="38"/>
    </row>
    <row r="230" spans="1:32">
      <c r="A230" s="34">
        <f>MiscItems!N96</f>
        <v>0</v>
      </c>
      <c r="B230" s="29">
        <f>IF(ISERROR(RIGHT(MiscItems!D96,LEN(MiscItems!D96)-FIND(" ",MiscItems!D96))),MiscItems!F96,RIGHT(MiscItems!D96,LEN(MiscItems!D96)-FIND(" ",MiscItems!D96)))</f>
        <v>0</v>
      </c>
      <c r="C230" s="29" t="str">
        <f>MiscItems!G96</f>
        <v/>
      </c>
      <c r="D230" s="30">
        <f>MiscItems!I96</f>
        <v>0</v>
      </c>
      <c r="E230" s="27" t="str">
        <f>_xlfn.IFNA(MAX(I230,H230),MiscItems!H96)</f>
        <v/>
      </c>
      <c r="F230" s="555">
        <f t="shared" si="12"/>
        <v>0</v>
      </c>
      <c r="G230" s="584" t="str">
        <f>_xlfn.XLOOKUP(A230,PullFromCalcs[Item],PullFromCalcs[Sheet],"MiscItems")</f>
        <v>MiscItems</v>
      </c>
      <c r="H230" s="113" t="e" cm="1">
        <f t="array" ref="H230">_xlfn.XLOOKUP($A230&amp;BasicProjectData!$G$18,Prices[Item '#]&amp;Prices[Location],Prices[Mean Price])</f>
        <v>#N/A</v>
      </c>
      <c r="I230" s="113" t="e" cm="1">
        <f t="array" ref="I230">_xlfn.XLOOKUP($A230&amp;"All Districts",Prices[Item '#]&amp;Prices[Location],Prices[Mean Price])</f>
        <v>#N/A</v>
      </c>
      <c r="Y230" s="38"/>
      <c r="Z230" s="38"/>
      <c r="AA230" s="38"/>
      <c r="AB230" s="38"/>
      <c r="AC230" s="38"/>
      <c r="AD230" s="38"/>
      <c r="AE230" s="38"/>
      <c r="AF230" s="38"/>
    </row>
    <row r="231" spans="1:32">
      <c r="A231" s="34">
        <f>MiscItems!N97</f>
        <v>0</v>
      </c>
      <c r="B231" s="29">
        <f>IF(ISERROR(RIGHT(MiscItems!D97,LEN(MiscItems!D97)-FIND(" ",MiscItems!D97))),MiscItems!F97,RIGHT(MiscItems!D97,LEN(MiscItems!D97)-FIND(" ",MiscItems!D97)))</f>
        <v>0</v>
      </c>
      <c r="C231" s="29" t="str">
        <f>MiscItems!G97</f>
        <v/>
      </c>
      <c r="D231" s="30">
        <f>MiscItems!I97</f>
        <v>0</v>
      </c>
      <c r="E231" s="27" t="str">
        <f>_xlfn.IFNA(MAX(I231,H231),MiscItems!H97)</f>
        <v/>
      </c>
      <c r="F231" s="555">
        <f t="shared" si="12"/>
        <v>0</v>
      </c>
      <c r="G231" s="584" t="str">
        <f>_xlfn.XLOOKUP(A231,PullFromCalcs[Item],PullFromCalcs[Sheet],"MiscItems")</f>
        <v>MiscItems</v>
      </c>
      <c r="H231" s="113" t="e" cm="1">
        <f t="array" ref="H231">_xlfn.XLOOKUP($A231&amp;BasicProjectData!$G$18,Prices[Item '#]&amp;Prices[Location],Prices[Mean Price])</f>
        <v>#N/A</v>
      </c>
      <c r="I231" s="113" t="e" cm="1">
        <f t="array" ref="I231">_xlfn.XLOOKUP($A231&amp;"All Districts",Prices[Item '#]&amp;Prices[Location],Prices[Mean Price])</f>
        <v>#N/A</v>
      </c>
      <c r="Y231" s="38"/>
      <c r="Z231" s="38"/>
      <c r="AA231" s="38"/>
      <c r="AB231" s="38"/>
      <c r="AC231" s="38"/>
      <c r="AD231" s="38"/>
      <c r="AE231" s="38"/>
      <c r="AF231" s="38"/>
    </row>
    <row r="232" spans="1:32">
      <c r="A232" s="34">
        <f>MiscItems!N98</f>
        <v>0</v>
      </c>
      <c r="B232" s="29">
        <f>IF(ISERROR(RIGHT(MiscItems!D98,LEN(MiscItems!D98)-FIND(" ",MiscItems!D98))),MiscItems!F98,RIGHT(MiscItems!D98,LEN(MiscItems!D98)-FIND(" ",MiscItems!D98)))</f>
        <v>0</v>
      </c>
      <c r="C232" s="29" t="str">
        <f>MiscItems!G98</f>
        <v/>
      </c>
      <c r="D232" s="30">
        <f>MiscItems!I98</f>
        <v>0</v>
      </c>
      <c r="E232" s="27" t="str">
        <f>_xlfn.IFNA(MAX(I232,H232),MiscItems!H98)</f>
        <v/>
      </c>
      <c r="F232" s="555">
        <f t="shared" si="12"/>
        <v>0</v>
      </c>
      <c r="G232" s="584" t="str">
        <f>_xlfn.XLOOKUP(A232,PullFromCalcs[Item],PullFromCalcs[Sheet],"MiscItems")</f>
        <v>MiscItems</v>
      </c>
      <c r="H232" s="113" t="e" cm="1">
        <f t="array" ref="H232">_xlfn.XLOOKUP($A232&amp;BasicProjectData!$G$18,Prices[Item '#]&amp;Prices[Location],Prices[Mean Price])</f>
        <v>#N/A</v>
      </c>
      <c r="I232" s="113" t="e" cm="1">
        <f t="array" ref="I232">_xlfn.XLOOKUP($A232&amp;"All Districts",Prices[Item '#]&amp;Prices[Location],Prices[Mean Price])</f>
        <v>#N/A</v>
      </c>
      <c r="Y232" s="38"/>
      <c r="Z232" s="38"/>
      <c r="AA232" s="38"/>
      <c r="AB232" s="38"/>
      <c r="AC232" s="38"/>
      <c r="AD232" s="38"/>
      <c r="AE232" s="38"/>
      <c r="AF232" s="38"/>
    </row>
    <row r="233" spans="1:32">
      <c r="A233" s="34">
        <f>MiscItems!N99</f>
        <v>0</v>
      </c>
      <c r="B233" s="29">
        <f>IF(ISERROR(RIGHT(MiscItems!D99,LEN(MiscItems!D99)-FIND(" ",MiscItems!D99))),MiscItems!F99,RIGHT(MiscItems!D99,LEN(MiscItems!D99)-FIND(" ",MiscItems!D99)))</f>
        <v>0</v>
      </c>
      <c r="C233" s="29" t="str">
        <f>MiscItems!G99</f>
        <v/>
      </c>
      <c r="D233" s="30">
        <f>MiscItems!I99</f>
        <v>0</v>
      </c>
      <c r="E233" s="27" t="str">
        <f>_xlfn.IFNA(MAX(I233,H233),MiscItems!H99)</f>
        <v/>
      </c>
      <c r="F233" s="555">
        <f t="shared" si="12"/>
        <v>0</v>
      </c>
      <c r="G233" s="584" t="str">
        <f>_xlfn.XLOOKUP(A233,PullFromCalcs[Item],PullFromCalcs[Sheet],"MiscItems")</f>
        <v>MiscItems</v>
      </c>
      <c r="H233" s="113" t="e" cm="1">
        <f t="array" ref="H233">_xlfn.XLOOKUP($A233&amp;BasicProjectData!$G$18,Prices[Item '#]&amp;Prices[Location],Prices[Mean Price])</f>
        <v>#N/A</v>
      </c>
      <c r="I233" s="113" t="e" cm="1">
        <f t="array" ref="I233">_xlfn.XLOOKUP($A233&amp;"All Districts",Prices[Item '#]&amp;Prices[Location],Prices[Mean Price])</f>
        <v>#N/A</v>
      </c>
      <c r="Y233" s="38"/>
      <c r="Z233" s="38"/>
      <c r="AA233" s="38"/>
      <c r="AB233" s="38"/>
      <c r="AC233" s="38"/>
      <c r="AD233" s="38"/>
      <c r="AE233" s="38"/>
      <c r="AF233" s="38"/>
    </row>
    <row r="234" spans="1:32">
      <c r="A234" s="34">
        <f>MiscItems!N100</f>
        <v>0</v>
      </c>
      <c r="B234" s="29">
        <f>IF(ISERROR(RIGHT(MiscItems!D100,LEN(MiscItems!D100)-FIND(" ",MiscItems!D100))),MiscItems!F100,RIGHT(MiscItems!D100,LEN(MiscItems!D100)-FIND(" ",MiscItems!D100)))</f>
        <v>0</v>
      </c>
      <c r="C234" s="29" t="str">
        <f>MiscItems!G100</f>
        <v/>
      </c>
      <c r="D234" s="30">
        <f>MiscItems!I100</f>
        <v>0</v>
      </c>
      <c r="E234" s="27" t="str">
        <f>_xlfn.IFNA(MAX(I234,H234),MiscItems!H100)</f>
        <v/>
      </c>
      <c r="F234" s="555">
        <f t="shared" si="12"/>
        <v>0</v>
      </c>
      <c r="G234" s="584" t="str">
        <f>_xlfn.XLOOKUP(A234,PullFromCalcs[Item],PullFromCalcs[Sheet],"MiscItems")</f>
        <v>MiscItems</v>
      </c>
      <c r="H234" s="113" t="e" cm="1">
        <f t="array" ref="H234">_xlfn.XLOOKUP($A234&amp;BasicProjectData!$G$18,Prices[Item '#]&amp;Prices[Location],Prices[Mean Price])</f>
        <v>#N/A</v>
      </c>
      <c r="I234" s="113" t="e" cm="1">
        <f t="array" ref="I234">_xlfn.XLOOKUP($A234&amp;"All Districts",Prices[Item '#]&amp;Prices[Location],Prices[Mean Price])</f>
        <v>#N/A</v>
      </c>
      <c r="Y234" s="38"/>
      <c r="Z234" s="38"/>
      <c r="AA234" s="38"/>
      <c r="AB234" s="38"/>
      <c r="AC234" s="38"/>
      <c r="AD234" s="38"/>
      <c r="AE234" s="38"/>
      <c r="AF234" s="38"/>
    </row>
    <row r="235" spans="1:32">
      <c r="A235" s="34">
        <f>MiscItems!N101</f>
        <v>0</v>
      </c>
      <c r="B235" s="29">
        <f>IF(ISERROR(RIGHT(MiscItems!D101,LEN(MiscItems!D101)-FIND(" ",MiscItems!D101))),MiscItems!F101,RIGHT(MiscItems!D101,LEN(MiscItems!D101)-FIND(" ",MiscItems!D101)))</f>
        <v>0</v>
      </c>
      <c r="C235" s="29" t="str">
        <f>MiscItems!G101</f>
        <v/>
      </c>
      <c r="D235" s="30">
        <f>MiscItems!I101</f>
        <v>0</v>
      </c>
      <c r="E235" s="27" t="str">
        <f>_xlfn.IFNA(MAX(I235,H235),MiscItems!H101)</f>
        <v/>
      </c>
      <c r="F235" s="555">
        <f t="shared" si="12"/>
        <v>0</v>
      </c>
      <c r="G235" s="584" t="str">
        <f>_xlfn.XLOOKUP(A235,PullFromCalcs[Item],PullFromCalcs[Sheet],"MiscItems")</f>
        <v>MiscItems</v>
      </c>
      <c r="H235" s="113" t="e" cm="1">
        <f t="array" ref="H235">_xlfn.XLOOKUP($A235&amp;BasicProjectData!$G$18,Prices[Item '#]&amp;Prices[Location],Prices[Mean Price])</f>
        <v>#N/A</v>
      </c>
      <c r="I235" s="113" t="e" cm="1">
        <f t="array" ref="I235">_xlfn.XLOOKUP($A235&amp;"All Districts",Prices[Item '#]&amp;Prices[Location],Prices[Mean Price])</f>
        <v>#N/A</v>
      </c>
      <c r="Y235" s="38"/>
      <c r="Z235" s="38"/>
      <c r="AA235" s="38"/>
      <c r="AB235" s="38"/>
      <c r="AC235" s="38"/>
      <c r="AD235" s="38"/>
      <c r="AE235" s="38"/>
      <c r="AF235" s="38"/>
    </row>
    <row r="236" spans="1:32">
      <c r="A236" s="34">
        <f>MiscItems!N102</f>
        <v>0</v>
      </c>
      <c r="B236" s="29">
        <f>IF(ISERROR(RIGHT(MiscItems!D102,LEN(MiscItems!D102)-FIND(" ",MiscItems!D102))),MiscItems!F102,RIGHT(MiscItems!D102,LEN(MiscItems!D102)-FIND(" ",MiscItems!D102)))</f>
        <v>0</v>
      </c>
      <c r="C236" s="29" t="str">
        <f>MiscItems!G102</f>
        <v/>
      </c>
      <c r="D236" s="30">
        <f>MiscItems!I102</f>
        <v>0</v>
      </c>
      <c r="E236" s="27" t="str">
        <f>_xlfn.IFNA(MAX(I236,H236),MiscItems!H102)</f>
        <v/>
      </c>
      <c r="F236" s="555">
        <f t="shared" si="12"/>
        <v>0</v>
      </c>
      <c r="G236" s="584" t="str">
        <f>_xlfn.XLOOKUP(A236,PullFromCalcs[Item],PullFromCalcs[Sheet],"MiscItems")</f>
        <v>MiscItems</v>
      </c>
      <c r="H236" s="113" t="e" cm="1">
        <f t="array" ref="H236">_xlfn.XLOOKUP($A236&amp;BasicProjectData!$G$18,Prices[Item '#]&amp;Prices[Location],Prices[Mean Price])</f>
        <v>#N/A</v>
      </c>
      <c r="I236" s="113" t="e" cm="1">
        <f t="array" ref="I236">_xlfn.XLOOKUP($A236&amp;"All Districts",Prices[Item '#]&amp;Prices[Location],Prices[Mean Price])</f>
        <v>#N/A</v>
      </c>
      <c r="Y236" s="38"/>
      <c r="Z236" s="38"/>
      <c r="AA236" s="38"/>
      <c r="AB236" s="38"/>
      <c r="AC236" s="38"/>
      <c r="AD236" s="38"/>
      <c r="AE236" s="38"/>
      <c r="AF236" s="38"/>
    </row>
    <row r="237" spans="1:32">
      <c r="A237" s="34">
        <f>MiscItems!N103</f>
        <v>0</v>
      </c>
      <c r="B237" s="29">
        <f>IF(ISERROR(RIGHT(MiscItems!D103,LEN(MiscItems!D103)-FIND(" ",MiscItems!D103))),MiscItems!F103,RIGHT(MiscItems!D103,LEN(MiscItems!D103)-FIND(" ",MiscItems!D103)))</f>
        <v>0</v>
      </c>
      <c r="C237" s="29" t="str">
        <f>MiscItems!G103</f>
        <v/>
      </c>
      <c r="D237" s="30">
        <f>MiscItems!I103</f>
        <v>0</v>
      </c>
      <c r="E237" s="27" t="str">
        <f>_xlfn.IFNA(MAX(I237,H237),MiscItems!H103)</f>
        <v/>
      </c>
      <c r="F237" s="555">
        <f t="shared" si="12"/>
        <v>0</v>
      </c>
      <c r="G237" s="584" t="str">
        <f>_xlfn.XLOOKUP(A237,PullFromCalcs[Item],PullFromCalcs[Sheet],"MiscItems")</f>
        <v>MiscItems</v>
      </c>
      <c r="H237" s="113" t="e" cm="1">
        <f t="array" ref="H237">_xlfn.XLOOKUP($A237&amp;BasicProjectData!$G$18,Prices[Item '#]&amp;Prices[Location],Prices[Mean Price])</f>
        <v>#N/A</v>
      </c>
      <c r="I237" s="113" t="e" cm="1">
        <f t="array" ref="I237">_xlfn.XLOOKUP($A237&amp;"All Districts",Prices[Item '#]&amp;Prices[Location],Prices[Mean Price])</f>
        <v>#N/A</v>
      </c>
      <c r="Y237" s="38"/>
      <c r="Z237" s="38"/>
      <c r="AA237" s="38"/>
      <c r="AB237" s="38"/>
      <c r="AC237" s="38"/>
      <c r="AD237" s="38"/>
      <c r="AE237" s="38"/>
      <c r="AF237" s="38"/>
    </row>
    <row r="238" spans="1:32">
      <c r="A238" s="34">
        <f>MiscItems!N104</f>
        <v>0</v>
      </c>
      <c r="B238" s="29">
        <f>IF(ISERROR(RIGHT(MiscItems!D104,LEN(MiscItems!D104)-FIND(" ",MiscItems!D104))),MiscItems!F104,RIGHT(MiscItems!D104,LEN(MiscItems!D104)-FIND(" ",MiscItems!D104)))</f>
        <v>0</v>
      </c>
      <c r="C238" s="29" t="str">
        <f>MiscItems!G104</f>
        <v/>
      </c>
      <c r="D238" s="30">
        <f>MiscItems!I104</f>
        <v>0</v>
      </c>
      <c r="E238" s="27" t="str">
        <f>_xlfn.IFNA(MAX(I238,H238),MiscItems!H104)</f>
        <v/>
      </c>
      <c r="F238" s="555">
        <f t="shared" si="12"/>
        <v>0</v>
      </c>
      <c r="G238" s="584" t="str">
        <f>_xlfn.XLOOKUP(A238,PullFromCalcs[Item],PullFromCalcs[Sheet],"MiscItems")</f>
        <v>MiscItems</v>
      </c>
      <c r="H238" s="113" t="e" cm="1">
        <f t="array" ref="H238">_xlfn.XLOOKUP($A238&amp;BasicProjectData!$G$18,Prices[Item '#]&amp;Prices[Location],Prices[Mean Price])</f>
        <v>#N/A</v>
      </c>
      <c r="I238" s="113" t="e" cm="1">
        <f t="array" ref="I238">_xlfn.XLOOKUP($A238&amp;"All Districts",Prices[Item '#]&amp;Prices[Location],Prices[Mean Price])</f>
        <v>#N/A</v>
      </c>
      <c r="Y238" s="38"/>
      <c r="Z238" s="38"/>
      <c r="AA238" s="38"/>
      <c r="AB238" s="38"/>
      <c r="AC238" s="38"/>
      <c r="AD238" s="38"/>
      <c r="AE238" s="38"/>
      <c r="AF238" s="38"/>
    </row>
    <row r="239" spans="1:32">
      <c r="A239" s="34">
        <f>MiscItems!N105</f>
        <v>0</v>
      </c>
      <c r="B239" s="29">
        <f>IF(ISERROR(RIGHT(MiscItems!D105,LEN(MiscItems!D105)-FIND(" ",MiscItems!D105))),MiscItems!F105,RIGHT(MiscItems!D105,LEN(MiscItems!D105)-FIND(" ",MiscItems!D105)))</f>
        <v>0</v>
      </c>
      <c r="C239" s="29" t="str">
        <f>MiscItems!G105</f>
        <v/>
      </c>
      <c r="D239" s="30">
        <f>MiscItems!I105</f>
        <v>0</v>
      </c>
      <c r="E239" s="27" t="str">
        <f>_xlfn.IFNA(MAX(I239,H239),MiscItems!H105)</f>
        <v/>
      </c>
      <c r="F239" s="555">
        <f t="shared" si="12"/>
        <v>0</v>
      </c>
      <c r="G239" s="584" t="str">
        <f>_xlfn.XLOOKUP(A239,PullFromCalcs[Item],PullFromCalcs[Sheet],"MiscItems")</f>
        <v>MiscItems</v>
      </c>
      <c r="H239" s="113" t="e" cm="1">
        <f t="array" ref="H239">_xlfn.XLOOKUP($A239&amp;BasicProjectData!$G$18,Prices[Item '#]&amp;Prices[Location],Prices[Mean Price])</f>
        <v>#N/A</v>
      </c>
      <c r="I239" s="113" t="e" cm="1">
        <f t="array" ref="I239">_xlfn.XLOOKUP($A239&amp;"All Districts",Prices[Item '#]&amp;Prices[Location],Prices[Mean Price])</f>
        <v>#N/A</v>
      </c>
      <c r="Y239" s="38"/>
      <c r="Z239" s="38"/>
      <c r="AA239" s="38"/>
      <c r="AB239" s="38"/>
      <c r="AC239" s="38"/>
      <c r="AD239" s="38"/>
      <c r="AE239" s="38"/>
      <c r="AF239" s="38"/>
    </row>
    <row r="240" spans="1:32">
      <c r="A240" s="34">
        <f>MiscItems!N106</f>
        <v>0</v>
      </c>
      <c r="B240" s="29">
        <f>IF(ISERROR(RIGHT(MiscItems!D106,LEN(MiscItems!D106)-FIND(" ",MiscItems!D106))),MiscItems!F106,RIGHT(MiscItems!D106,LEN(MiscItems!D106)-FIND(" ",MiscItems!D106)))</f>
        <v>0</v>
      </c>
      <c r="C240" s="29" t="str">
        <f>MiscItems!G106</f>
        <v/>
      </c>
      <c r="D240" s="30">
        <f>MiscItems!I106</f>
        <v>0</v>
      </c>
      <c r="E240" s="27" t="str">
        <f>_xlfn.IFNA(MAX(I240,H240),MiscItems!H106)</f>
        <v/>
      </c>
      <c r="F240" s="555">
        <f t="shared" si="12"/>
        <v>0</v>
      </c>
      <c r="G240" s="584" t="str">
        <f>_xlfn.XLOOKUP(A240,PullFromCalcs[Item],PullFromCalcs[Sheet],"MiscItems")</f>
        <v>MiscItems</v>
      </c>
      <c r="H240" s="113" t="e" cm="1">
        <f t="array" ref="H240">_xlfn.XLOOKUP($A240&amp;BasicProjectData!$G$18,Prices[Item '#]&amp;Prices[Location],Prices[Mean Price])</f>
        <v>#N/A</v>
      </c>
      <c r="I240" s="113" t="e" cm="1">
        <f t="array" ref="I240">_xlfn.XLOOKUP($A240&amp;"All Districts",Prices[Item '#]&amp;Prices[Location],Prices[Mean Price])</f>
        <v>#N/A</v>
      </c>
      <c r="Y240" s="38"/>
      <c r="Z240" s="38"/>
      <c r="AA240" s="38"/>
      <c r="AB240" s="38"/>
      <c r="AC240" s="38"/>
      <c r="AD240" s="38"/>
      <c r="AE240" s="38"/>
      <c r="AF240" s="38"/>
    </row>
    <row r="241" spans="1:32">
      <c r="A241" s="34">
        <f>MiscItems!N107</f>
        <v>0</v>
      </c>
      <c r="B241" s="29">
        <f>IF(ISERROR(RIGHT(MiscItems!D107,LEN(MiscItems!D107)-FIND(" ",MiscItems!D107))),MiscItems!F107,RIGHT(MiscItems!D107,LEN(MiscItems!D107)-FIND(" ",MiscItems!D107)))</f>
        <v>0</v>
      </c>
      <c r="C241" s="29" t="str">
        <f>MiscItems!G107</f>
        <v/>
      </c>
      <c r="D241" s="30">
        <f>MiscItems!I107</f>
        <v>0</v>
      </c>
      <c r="E241" s="27" t="str">
        <f>_xlfn.IFNA(MAX(I241,H241),MiscItems!H107)</f>
        <v/>
      </c>
      <c r="F241" s="555">
        <f t="shared" si="12"/>
        <v>0</v>
      </c>
      <c r="G241" s="584" t="str">
        <f>_xlfn.XLOOKUP(A241,PullFromCalcs[Item],PullFromCalcs[Sheet],"MiscItems")</f>
        <v>MiscItems</v>
      </c>
      <c r="H241" s="113" t="e" cm="1">
        <f t="array" ref="H241">_xlfn.XLOOKUP($A241&amp;BasicProjectData!$G$18,Prices[Item '#]&amp;Prices[Location],Prices[Mean Price])</f>
        <v>#N/A</v>
      </c>
      <c r="I241" s="113" t="e" cm="1">
        <f t="array" ref="I241">_xlfn.XLOOKUP($A241&amp;"All Districts",Prices[Item '#]&amp;Prices[Location],Prices[Mean Price])</f>
        <v>#N/A</v>
      </c>
      <c r="Y241" s="38"/>
      <c r="Z241" s="38"/>
      <c r="AA241" s="38"/>
      <c r="AB241" s="38"/>
      <c r="AC241" s="38"/>
      <c r="AD241" s="38"/>
      <c r="AE241" s="38"/>
      <c r="AF241" s="38"/>
    </row>
    <row r="242" spans="1:32">
      <c r="A242" s="34">
        <f>MiscItems!N108</f>
        <v>0</v>
      </c>
      <c r="B242" s="29">
        <f>IF(ISERROR(RIGHT(MiscItems!D108,LEN(MiscItems!D108)-FIND(" ",MiscItems!D108))),MiscItems!F108,RIGHT(MiscItems!D108,LEN(MiscItems!D108)-FIND(" ",MiscItems!D108)))</f>
        <v>0</v>
      </c>
      <c r="C242" s="29" t="str">
        <f>MiscItems!G108</f>
        <v/>
      </c>
      <c r="D242" s="30">
        <f>MiscItems!I108</f>
        <v>0</v>
      </c>
      <c r="E242" s="27" t="str">
        <f>_xlfn.IFNA(MAX(I242,H242),MiscItems!H108)</f>
        <v/>
      </c>
      <c r="F242" s="555">
        <f t="shared" si="12"/>
        <v>0</v>
      </c>
      <c r="G242" s="584" t="str">
        <f>_xlfn.XLOOKUP(A242,PullFromCalcs[Item],PullFromCalcs[Sheet],"MiscItems")</f>
        <v>MiscItems</v>
      </c>
      <c r="H242" s="113" t="e" cm="1">
        <f t="array" ref="H242">_xlfn.XLOOKUP($A242&amp;BasicProjectData!$G$18,Prices[Item '#]&amp;Prices[Location],Prices[Mean Price])</f>
        <v>#N/A</v>
      </c>
      <c r="I242" s="113" t="e" cm="1">
        <f t="array" ref="I242">_xlfn.XLOOKUP($A242&amp;"All Districts",Prices[Item '#]&amp;Prices[Location],Prices[Mean Price])</f>
        <v>#N/A</v>
      </c>
      <c r="Y242" s="38"/>
      <c r="Z242" s="38"/>
      <c r="AA242" s="38"/>
      <c r="AB242" s="38"/>
      <c r="AC242" s="38"/>
      <c r="AD242" s="38"/>
      <c r="AE242" s="38"/>
      <c r="AF242" s="38"/>
    </row>
    <row r="243" spans="1:32">
      <c r="A243" s="34">
        <f>MiscItems!N109</f>
        <v>0</v>
      </c>
      <c r="B243" s="29">
        <f>IF(ISERROR(RIGHT(MiscItems!D109,LEN(MiscItems!D109)-FIND(" ",MiscItems!D109))),MiscItems!F109,RIGHT(MiscItems!D109,LEN(MiscItems!D109)-FIND(" ",MiscItems!D109)))</f>
        <v>0</v>
      </c>
      <c r="C243" s="29" t="str">
        <f>MiscItems!G109</f>
        <v/>
      </c>
      <c r="D243" s="30">
        <f>MiscItems!I109</f>
        <v>0</v>
      </c>
      <c r="E243" s="27" t="str">
        <f>_xlfn.IFNA(MAX(I243,H243),MiscItems!H109)</f>
        <v/>
      </c>
      <c r="F243" s="555">
        <f>IFERROR(E243*D243,0)</f>
        <v>0</v>
      </c>
      <c r="G243" s="584" t="str">
        <f>_xlfn.XLOOKUP(A243,PullFromCalcs[Item],PullFromCalcs[Sheet],"MiscItems")</f>
        <v>MiscItems</v>
      </c>
      <c r="H243" s="113" t="e" cm="1">
        <f t="array" ref="H243">_xlfn.XLOOKUP($A243&amp;BasicProjectData!$G$18,Prices[Item '#]&amp;Prices[Location],Prices[Mean Price])</f>
        <v>#N/A</v>
      </c>
      <c r="I243" s="113" t="e" cm="1">
        <f t="array" ref="I243">_xlfn.XLOOKUP($A243&amp;"All Districts",Prices[Item '#]&amp;Prices[Location],Prices[Mean Price])</f>
        <v>#N/A</v>
      </c>
      <c r="Y243" s="38"/>
      <c r="Z243" s="38"/>
      <c r="AA243" s="38"/>
      <c r="AB243" s="38"/>
      <c r="AC243" s="38"/>
      <c r="AD243" s="38"/>
      <c r="AE243" s="38"/>
      <c r="AF243" s="38"/>
    </row>
    <row r="244" spans="1:32">
      <c r="A244" s="34">
        <f>MiscItems!N110</f>
        <v>0</v>
      </c>
      <c r="B244" s="29">
        <f>IF(ISERROR(RIGHT(MiscItems!D110,LEN(MiscItems!D110)-FIND(" ",MiscItems!D110))),MiscItems!F110,RIGHT(MiscItems!D110,LEN(MiscItems!D110)-FIND(" ",MiscItems!D110)))</f>
        <v>0</v>
      </c>
      <c r="C244" s="29" t="str">
        <f>MiscItems!G110</f>
        <v/>
      </c>
      <c r="D244" s="30">
        <f>MiscItems!I110</f>
        <v>0</v>
      </c>
      <c r="E244" s="27" t="str">
        <f>_xlfn.IFNA(MAX(I244,H244),MiscItems!H110)</f>
        <v/>
      </c>
      <c r="F244" s="555">
        <f>IFERROR(E244*D244,0)</f>
        <v>0</v>
      </c>
      <c r="G244" s="584" t="str">
        <f>_xlfn.XLOOKUP(A244,PullFromCalcs[Item],PullFromCalcs[Sheet],"MiscItems")</f>
        <v>MiscItems</v>
      </c>
      <c r="H244" s="113" t="e" cm="1">
        <f t="array" ref="H244">_xlfn.XLOOKUP($A244&amp;BasicProjectData!$G$18,Prices[Item '#]&amp;Prices[Location],Prices[Mean Price])</f>
        <v>#N/A</v>
      </c>
      <c r="I244" s="113" t="e" cm="1">
        <f t="array" ref="I244">_xlfn.XLOOKUP($A244&amp;"All Districts",Prices[Item '#]&amp;Prices[Location],Prices[Mean Price])</f>
        <v>#N/A</v>
      </c>
      <c r="Y244" s="38"/>
      <c r="Z244" s="38"/>
      <c r="AA244" s="38"/>
      <c r="AB244" s="38"/>
      <c r="AC244" s="38"/>
      <c r="AD244" s="38"/>
      <c r="AE244" s="38"/>
      <c r="AF244" s="38"/>
    </row>
    <row r="245" spans="1:32">
      <c r="A245" s="34">
        <f>MiscItems!N111</f>
        <v>0</v>
      </c>
      <c r="B245" s="29">
        <f>IF(ISERROR(RIGHT(MiscItems!D111,LEN(MiscItems!D111)-FIND(" ",MiscItems!D111))),MiscItems!F111,RIGHT(MiscItems!D111,LEN(MiscItems!D111)-FIND(" ",MiscItems!D111)))</f>
        <v>0</v>
      </c>
      <c r="C245" s="29" t="str">
        <f>MiscItems!G111</f>
        <v/>
      </c>
      <c r="D245" s="30">
        <f>MiscItems!I111</f>
        <v>0</v>
      </c>
      <c r="E245" s="27" t="str">
        <f>_xlfn.IFNA(MAX(I245,H245),MiscItems!H111)</f>
        <v/>
      </c>
      <c r="F245" s="555">
        <f>IFERROR(E245*D245,0)</f>
        <v>0</v>
      </c>
      <c r="G245" s="584" t="str">
        <f>_xlfn.XLOOKUP(A245,PullFromCalcs[Item],PullFromCalcs[Sheet],"MiscItems")</f>
        <v>MiscItems</v>
      </c>
      <c r="H245" s="113" t="e" cm="1">
        <f t="array" ref="H245">_xlfn.XLOOKUP($A245&amp;BasicProjectData!$G$18,Prices[Item '#]&amp;Prices[Location],Prices[Mean Price])</f>
        <v>#N/A</v>
      </c>
      <c r="I245" s="113" t="e" cm="1">
        <f t="array" ref="I245">_xlfn.XLOOKUP($A245&amp;"All Districts",Prices[Item '#]&amp;Prices[Location],Prices[Mean Price])</f>
        <v>#N/A</v>
      </c>
      <c r="Y245" s="38"/>
      <c r="Z245" s="38"/>
      <c r="AA245" s="38"/>
      <c r="AB245" s="38"/>
      <c r="AC245" s="38"/>
      <c r="AD245" s="38"/>
      <c r="AE245" s="38"/>
      <c r="AF245" s="38"/>
    </row>
    <row r="246" spans="1:32">
      <c r="A246" s="34">
        <f>MiscItems!N112</f>
        <v>0</v>
      </c>
      <c r="B246" s="29">
        <f>IF(ISERROR(RIGHT(MiscItems!D112,LEN(MiscItems!D112)-FIND(" ",MiscItems!D112))),MiscItems!F112,RIGHT(MiscItems!D112,LEN(MiscItems!D112)-FIND(" ",MiscItems!D112)))</f>
        <v>0</v>
      </c>
      <c r="C246" s="29" t="str">
        <f>MiscItems!G112</f>
        <v/>
      </c>
      <c r="D246" s="30">
        <f>MiscItems!I112</f>
        <v>0</v>
      </c>
      <c r="E246" s="27" t="str">
        <f>_xlfn.IFNA(MAX(I246,H246),MiscItems!H112)</f>
        <v/>
      </c>
      <c r="F246" s="555">
        <f>IFERROR(E246*D246,0)</f>
        <v>0</v>
      </c>
      <c r="G246" s="584" t="str">
        <f>_xlfn.XLOOKUP(A246,PullFromCalcs[Item],PullFromCalcs[Sheet],"MiscItems")</f>
        <v>MiscItems</v>
      </c>
      <c r="H246" s="113" t="e" cm="1">
        <f t="array" ref="H246">_xlfn.XLOOKUP($A246&amp;BasicProjectData!$G$18,Prices[Item '#]&amp;Prices[Location],Prices[Mean Price])</f>
        <v>#N/A</v>
      </c>
      <c r="I246" s="113" t="e" cm="1">
        <f t="array" ref="I246">_xlfn.XLOOKUP($A246&amp;"All Districts",Prices[Item '#]&amp;Prices[Location],Prices[Mean Price])</f>
        <v>#N/A</v>
      </c>
      <c r="Y246" s="38"/>
      <c r="Z246" s="38"/>
      <c r="AA246" s="38"/>
      <c r="AB246" s="38"/>
      <c r="AC246" s="38"/>
      <c r="AD246" s="38"/>
      <c r="AE246" s="38"/>
      <c r="AF246" s="38"/>
    </row>
    <row r="247" spans="1:32">
      <c r="A247" s="34">
        <f>MiscItems!N113</f>
        <v>0</v>
      </c>
      <c r="B247" s="29">
        <f>IF(ISERROR(RIGHT(MiscItems!D113,LEN(MiscItems!D113)-FIND(" ",MiscItems!D113))),MiscItems!F113,RIGHT(MiscItems!D113,LEN(MiscItems!D113)-FIND(" ",MiscItems!D113)))</f>
        <v>0</v>
      </c>
      <c r="C247" s="29" t="str">
        <f>MiscItems!G113</f>
        <v/>
      </c>
      <c r="D247" s="30">
        <f>MiscItems!I113</f>
        <v>0</v>
      </c>
      <c r="E247" s="27" t="str">
        <f>_xlfn.IFNA(MAX(I247,H247),MiscItems!H113)</f>
        <v/>
      </c>
      <c r="F247" s="555">
        <f>IFERROR(E247*D247,0)</f>
        <v>0</v>
      </c>
      <c r="G247" s="584" t="str">
        <f>_xlfn.XLOOKUP(A247,PullFromCalcs[Item],PullFromCalcs[Sheet],"MiscItems")</f>
        <v>MiscItems</v>
      </c>
      <c r="H247" s="113" t="e" cm="1">
        <f t="array" ref="H247">_xlfn.XLOOKUP($A247&amp;BasicProjectData!$G$18,Prices[Item '#]&amp;Prices[Location],Prices[Mean Price])</f>
        <v>#N/A</v>
      </c>
      <c r="I247" s="113" t="e" cm="1">
        <f t="array" ref="I247">_xlfn.XLOOKUP($A247&amp;"All Districts",Prices[Item '#]&amp;Prices[Location],Prices[Mean Price])</f>
        <v>#N/A</v>
      </c>
      <c r="Y247" s="38"/>
      <c r="Z247" s="38"/>
      <c r="AA247" s="38"/>
      <c r="AB247" s="38"/>
      <c r="AC247" s="38"/>
      <c r="AD247" s="38"/>
      <c r="AE247" s="38"/>
      <c r="AF247" s="38"/>
    </row>
    <row r="248" spans="1:32" s="491" customFormat="1">
      <c r="A248" s="498"/>
      <c r="B248" s="499"/>
      <c r="C248" s="499"/>
      <c r="D248" s="500"/>
      <c r="E248" s="501"/>
      <c r="H248" s="501"/>
      <c r="I248" s="501"/>
      <c r="Y248" s="38"/>
      <c r="Z248" s="38"/>
      <c r="AA248" s="38"/>
      <c r="AB248" s="38"/>
      <c r="AC248" s="38"/>
      <c r="AD248" s="38"/>
      <c r="AE248" s="38"/>
      <c r="AF248" s="38"/>
    </row>
    <row r="249" spans="1:32" s="491" customFormat="1">
      <c r="A249" s="498"/>
      <c r="B249" s="499"/>
      <c r="C249" s="499"/>
      <c r="D249" s="500"/>
      <c r="E249" s="501"/>
      <c r="H249" s="501"/>
      <c r="I249" s="501"/>
      <c r="Y249" s="38"/>
      <c r="Z249" s="38"/>
      <c r="AA249" s="38"/>
      <c r="AB249" s="38"/>
      <c r="AC249" s="38"/>
      <c r="AD249" s="38"/>
      <c r="AE249" s="38"/>
      <c r="AF249" s="38"/>
    </row>
    <row r="250" spans="1:32" s="491" customFormat="1">
      <c r="A250" s="498"/>
      <c r="B250" s="499"/>
      <c r="C250" s="499"/>
      <c r="D250" s="500"/>
      <c r="E250" s="501"/>
      <c r="H250" s="501"/>
      <c r="I250" s="501"/>
      <c r="Y250" s="38"/>
      <c r="Z250" s="38"/>
      <c r="AA250" s="38"/>
      <c r="AB250" s="38"/>
      <c r="AC250" s="38"/>
      <c r="AD250" s="38"/>
      <c r="AE250" s="38"/>
      <c r="AF250" s="38"/>
    </row>
    <row r="251" spans="1:32" s="491" customFormat="1">
      <c r="A251" s="498"/>
      <c r="B251" s="499"/>
      <c r="C251" s="499"/>
      <c r="D251" s="500"/>
      <c r="E251" s="501"/>
      <c r="H251" s="501"/>
      <c r="I251" s="501"/>
      <c r="Y251" s="38"/>
      <c r="Z251" s="38"/>
      <c r="AA251" s="38"/>
      <c r="AB251" s="38"/>
      <c r="AC251" s="38"/>
      <c r="AD251" s="38"/>
      <c r="AE251" s="38"/>
      <c r="AF251" s="38"/>
    </row>
    <row r="252" spans="1:32" s="491" customFormat="1">
      <c r="A252" s="498"/>
      <c r="B252" s="499"/>
      <c r="C252" s="499"/>
      <c r="D252" s="500"/>
      <c r="E252" s="501"/>
      <c r="H252" s="501"/>
      <c r="I252" s="501"/>
      <c r="Y252" s="38"/>
      <c r="Z252" s="38"/>
      <c r="AA252" s="38"/>
      <c r="AB252" s="38"/>
      <c r="AC252" s="38"/>
      <c r="AD252" s="38"/>
      <c r="AE252" s="38"/>
      <c r="AF252" s="38"/>
    </row>
    <row r="253" spans="1:32" s="491" customFormat="1">
      <c r="A253" s="498"/>
      <c r="B253" s="499"/>
      <c r="C253" s="499"/>
      <c r="D253" s="500"/>
      <c r="E253" s="501"/>
      <c r="H253" s="501"/>
      <c r="I253" s="501"/>
      <c r="Y253" s="38"/>
      <c r="Z253" s="38"/>
      <c r="AA253" s="38"/>
      <c r="AB253" s="38"/>
      <c r="AC253" s="38"/>
      <c r="AD253" s="38"/>
      <c r="AE253" s="38"/>
      <c r="AF253" s="38"/>
    </row>
    <row r="254" spans="1:32" s="491" customFormat="1">
      <c r="A254" s="498"/>
      <c r="B254" s="499"/>
      <c r="C254" s="499"/>
      <c r="D254" s="500"/>
      <c r="E254" s="501"/>
      <c r="H254" s="501"/>
      <c r="I254" s="501"/>
      <c r="Y254" s="38"/>
      <c r="Z254" s="38"/>
      <c r="AA254" s="38"/>
      <c r="AB254" s="38"/>
      <c r="AC254" s="38"/>
      <c r="AD254" s="38"/>
      <c r="AE254" s="38"/>
      <c r="AF254" s="38"/>
    </row>
    <row r="255" spans="1:32" s="491" customFormat="1">
      <c r="A255" s="498"/>
      <c r="B255" s="499"/>
      <c r="C255" s="499"/>
      <c r="D255" s="500"/>
      <c r="E255" s="501"/>
      <c r="H255" s="501"/>
      <c r="I255" s="501"/>
      <c r="Y255" s="38"/>
      <c r="Z255" s="38"/>
      <c r="AA255" s="38"/>
      <c r="AB255" s="38"/>
      <c r="AC255" s="38"/>
      <c r="AD255" s="38"/>
      <c r="AE255" s="38"/>
      <c r="AF255" s="38"/>
    </row>
    <row r="256" spans="1:32" s="491" customFormat="1">
      <c r="A256" s="498"/>
      <c r="B256" s="499"/>
      <c r="C256" s="499"/>
      <c r="D256" s="500"/>
      <c r="E256" s="501"/>
      <c r="H256" s="501"/>
      <c r="I256" s="501"/>
      <c r="Y256" s="38"/>
      <c r="Z256" s="38"/>
      <c r="AA256" s="38"/>
      <c r="AB256" s="38"/>
      <c r="AC256" s="38"/>
      <c r="AD256" s="38"/>
      <c r="AE256" s="38"/>
      <c r="AF256" s="38"/>
    </row>
    <row r="257" spans="1:32" s="491" customFormat="1">
      <c r="A257" s="498"/>
      <c r="B257" s="499"/>
      <c r="C257" s="499"/>
      <c r="D257" s="500"/>
      <c r="E257" s="501"/>
      <c r="H257" s="501"/>
      <c r="I257" s="501"/>
      <c r="Y257" s="38"/>
      <c r="Z257" s="38"/>
      <c r="AA257" s="38"/>
      <c r="AB257" s="38"/>
      <c r="AC257" s="38"/>
      <c r="AD257" s="38"/>
      <c r="AE257" s="38"/>
      <c r="AF257" s="38"/>
    </row>
    <row r="258" spans="1:32" s="491" customFormat="1">
      <c r="A258" s="498"/>
      <c r="B258" s="499"/>
      <c r="C258" s="499"/>
      <c r="D258" s="500"/>
      <c r="E258" s="501"/>
      <c r="H258" s="501"/>
      <c r="I258" s="501"/>
      <c r="Y258" s="38"/>
      <c r="Z258" s="38"/>
      <c r="AA258" s="38"/>
      <c r="AB258" s="38"/>
      <c r="AC258" s="38"/>
      <c r="AD258" s="38"/>
      <c r="AE258" s="38"/>
      <c r="AF258" s="38"/>
    </row>
    <row r="259" spans="1:32" s="491" customFormat="1">
      <c r="A259" s="498"/>
      <c r="B259" s="499"/>
      <c r="C259" s="499"/>
      <c r="D259" s="500"/>
      <c r="E259" s="501"/>
      <c r="H259" s="501"/>
      <c r="I259" s="501"/>
      <c r="Y259" s="38"/>
      <c r="Z259" s="38"/>
      <c r="AA259" s="38"/>
      <c r="AB259" s="38"/>
      <c r="AC259" s="38"/>
      <c r="AD259" s="38"/>
      <c r="AE259" s="38"/>
      <c r="AF259" s="38"/>
    </row>
    <row r="260" spans="1:32" s="491" customFormat="1">
      <c r="A260" s="498"/>
      <c r="B260" s="499"/>
      <c r="C260" s="499"/>
      <c r="D260" s="500"/>
      <c r="E260" s="501"/>
      <c r="H260" s="501"/>
      <c r="I260" s="501"/>
      <c r="Y260" s="38"/>
      <c r="Z260" s="38"/>
      <c r="AA260" s="38"/>
      <c r="AB260" s="38"/>
      <c r="AC260" s="38"/>
      <c r="AD260" s="38"/>
      <c r="AE260" s="38"/>
      <c r="AF260" s="38"/>
    </row>
    <row r="261" spans="1:32" s="491" customFormat="1">
      <c r="A261" s="498"/>
      <c r="B261" s="499"/>
      <c r="C261" s="499"/>
      <c r="D261" s="500"/>
      <c r="E261" s="501"/>
      <c r="H261" s="501"/>
      <c r="I261" s="501"/>
      <c r="Y261" s="38"/>
      <c r="Z261" s="38"/>
      <c r="AA261" s="38"/>
      <c r="AB261" s="38"/>
      <c r="AC261" s="38"/>
      <c r="AD261" s="38"/>
      <c r="AE261" s="38"/>
      <c r="AF261" s="38"/>
    </row>
    <row r="262" spans="1:32" s="491" customFormat="1">
      <c r="A262" s="498"/>
      <c r="B262" s="499"/>
      <c r="C262" s="499"/>
      <c r="D262" s="500"/>
      <c r="E262" s="501"/>
      <c r="H262" s="501"/>
      <c r="I262" s="501"/>
      <c r="Y262" s="38"/>
      <c r="Z262" s="38"/>
      <c r="AA262" s="38"/>
      <c r="AB262" s="38"/>
      <c r="AC262" s="38"/>
      <c r="AD262" s="38"/>
      <c r="AE262" s="38"/>
      <c r="AF262" s="38"/>
    </row>
    <row r="263" spans="1:32" s="491" customFormat="1">
      <c r="A263" s="498"/>
      <c r="B263" s="499"/>
      <c r="C263" s="499"/>
      <c r="D263" s="500"/>
      <c r="E263" s="501"/>
      <c r="H263" s="501"/>
      <c r="I263" s="501"/>
      <c r="Y263" s="38"/>
      <c r="Z263" s="38"/>
      <c r="AA263" s="38"/>
      <c r="AB263" s="38"/>
      <c r="AC263" s="38"/>
      <c r="AD263" s="38"/>
      <c r="AE263" s="38"/>
      <c r="AF263" s="38"/>
    </row>
    <row r="264" spans="1:32" s="491" customFormat="1">
      <c r="A264" s="498"/>
      <c r="B264" s="499"/>
      <c r="C264" s="499"/>
      <c r="D264" s="500"/>
      <c r="E264" s="501"/>
      <c r="H264" s="501"/>
      <c r="I264" s="501"/>
      <c r="Y264" s="38"/>
      <c r="Z264" s="38"/>
      <c r="AA264" s="38"/>
      <c r="AB264" s="38"/>
      <c r="AC264" s="38"/>
      <c r="AD264" s="38"/>
      <c r="AE264" s="38"/>
      <c r="AF264" s="38"/>
    </row>
    <row r="265" spans="1:32" s="491" customFormat="1">
      <c r="A265" s="498"/>
      <c r="B265" s="499"/>
      <c r="C265" s="499"/>
      <c r="D265" s="500"/>
      <c r="E265" s="501"/>
      <c r="H265" s="501"/>
      <c r="I265" s="501"/>
      <c r="Y265" s="38"/>
      <c r="Z265" s="38"/>
      <c r="AA265" s="38"/>
      <c r="AB265" s="38"/>
      <c r="AC265" s="38"/>
      <c r="AD265" s="38"/>
      <c r="AE265" s="38"/>
      <c r="AF265" s="38"/>
    </row>
    <row r="266" spans="1:32" s="491" customFormat="1">
      <c r="A266" s="498"/>
      <c r="B266" s="499"/>
      <c r="C266" s="499"/>
      <c r="D266" s="500"/>
      <c r="E266" s="501"/>
      <c r="H266" s="501"/>
      <c r="I266" s="501"/>
      <c r="Y266" s="38"/>
      <c r="Z266" s="38"/>
      <c r="AA266" s="38"/>
      <c r="AB266" s="38"/>
      <c r="AC266" s="38"/>
      <c r="AD266" s="38"/>
      <c r="AE266" s="38"/>
      <c r="AF266" s="38"/>
    </row>
    <row r="267" spans="1:32" s="491" customFormat="1">
      <c r="A267" s="498"/>
      <c r="B267" s="499"/>
      <c r="C267" s="499"/>
      <c r="D267" s="500"/>
      <c r="E267" s="501"/>
      <c r="H267" s="501"/>
      <c r="I267" s="501"/>
      <c r="Y267" s="38"/>
      <c r="Z267" s="38"/>
      <c r="AA267" s="38"/>
      <c r="AB267" s="38"/>
      <c r="AC267" s="38"/>
      <c r="AD267" s="38"/>
      <c r="AE267" s="38"/>
      <c r="AF267" s="38"/>
    </row>
    <row r="268" spans="1:32" s="491" customFormat="1">
      <c r="A268" s="498"/>
      <c r="B268" s="499"/>
      <c r="C268" s="499"/>
      <c r="D268" s="500"/>
      <c r="E268" s="501"/>
      <c r="H268" s="501"/>
      <c r="I268" s="501"/>
      <c r="Y268" s="38"/>
      <c r="Z268" s="38"/>
      <c r="AA268" s="38"/>
      <c r="AB268" s="38"/>
      <c r="AC268" s="38"/>
      <c r="AD268" s="38"/>
      <c r="AE268" s="38"/>
      <c r="AF268" s="38"/>
    </row>
    <row r="269" spans="1:32" s="491" customFormat="1">
      <c r="A269" s="498"/>
      <c r="B269" s="499"/>
      <c r="C269" s="499"/>
      <c r="D269" s="500"/>
      <c r="E269" s="501"/>
      <c r="H269" s="501"/>
      <c r="I269" s="501"/>
      <c r="Y269" s="38"/>
      <c r="Z269" s="38"/>
      <c r="AA269" s="38"/>
      <c r="AB269" s="38"/>
      <c r="AC269" s="38"/>
      <c r="AD269" s="38"/>
      <c r="AE269" s="38"/>
      <c r="AF269" s="38"/>
    </row>
    <row r="270" spans="1:32" s="491" customFormat="1">
      <c r="A270" s="498"/>
      <c r="B270" s="499"/>
      <c r="C270" s="499"/>
      <c r="D270" s="500"/>
      <c r="E270" s="501"/>
      <c r="H270" s="501"/>
      <c r="I270" s="501"/>
      <c r="Y270" s="38"/>
      <c r="Z270" s="38"/>
      <c r="AA270" s="38"/>
      <c r="AB270" s="38"/>
      <c r="AC270" s="38"/>
      <c r="AD270" s="38"/>
      <c r="AE270" s="38"/>
      <c r="AF270" s="38"/>
    </row>
    <row r="271" spans="1:32" s="491" customFormat="1">
      <c r="A271" s="498"/>
      <c r="B271" s="499"/>
      <c r="C271" s="499"/>
      <c r="D271" s="500"/>
      <c r="E271" s="501"/>
      <c r="H271" s="501"/>
      <c r="I271" s="501"/>
      <c r="Y271" s="38"/>
      <c r="Z271" s="38"/>
      <c r="AA271" s="38"/>
      <c r="AB271" s="38"/>
      <c r="AC271" s="38"/>
      <c r="AD271" s="38"/>
      <c r="AE271" s="38"/>
      <c r="AF271" s="38"/>
    </row>
    <row r="272" spans="1:32" s="491" customFormat="1">
      <c r="A272" s="498"/>
      <c r="B272" s="499"/>
      <c r="C272" s="499"/>
      <c r="D272" s="500"/>
      <c r="E272" s="501"/>
      <c r="H272" s="501"/>
      <c r="I272" s="501"/>
      <c r="Y272" s="38"/>
      <c r="Z272" s="38"/>
      <c r="AA272" s="38"/>
      <c r="AB272" s="38"/>
      <c r="AC272" s="38"/>
      <c r="AD272" s="38"/>
      <c r="AE272" s="38"/>
      <c r="AF272" s="38"/>
    </row>
    <row r="273" spans="1:32" s="491" customFormat="1">
      <c r="A273" s="498"/>
      <c r="B273" s="499"/>
      <c r="C273" s="499"/>
      <c r="D273" s="500"/>
      <c r="E273" s="501"/>
      <c r="H273" s="501"/>
      <c r="I273" s="501"/>
      <c r="Y273" s="38"/>
      <c r="Z273" s="38"/>
      <c r="AA273" s="38"/>
      <c r="AB273" s="38"/>
      <c r="AC273" s="38"/>
      <c r="AD273" s="38"/>
      <c r="AE273" s="38"/>
      <c r="AF273" s="38"/>
    </row>
    <row r="274" spans="1:32" s="491" customFormat="1">
      <c r="A274" s="498"/>
      <c r="B274" s="499"/>
      <c r="C274" s="499"/>
      <c r="D274" s="500"/>
      <c r="E274" s="501"/>
      <c r="H274" s="501"/>
      <c r="I274" s="501"/>
      <c r="Y274" s="38"/>
      <c r="Z274" s="38"/>
      <c r="AA274" s="38"/>
      <c r="AB274" s="38"/>
      <c r="AC274" s="38"/>
      <c r="AD274" s="38"/>
      <c r="AE274" s="38"/>
      <c r="AF274" s="38"/>
    </row>
    <row r="275" spans="1:32" s="491" customFormat="1">
      <c r="A275" s="498"/>
      <c r="B275" s="499"/>
      <c r="C275" s="499"/>
      <c r="D275" s="500"/>
      <c r="E275" s="501"/>
      <c r="H275" s="501"/>
      <c r="I275" s="501"/>
      <c r="Y275" s="38"/>
      <c r="Z275" s="38"/>
      <c r="AA275" s="38"/>
      <c r="AB275" s="38"/>
      <c r="AC275" s="38"/>
      <c r="AD275" s="38"/>
      <c r="AE275" s="38"/>
      <c r="AF275" s="38"/>
    </row>
    <row r="276" spans="1:32" s="491" customFormat="1">
      <c r="A276" s="498"/>
      <c r="B276" s="499"/>
      <c r="C276" s="499"/>
      <c r="D276" s="500"/>
      <c r="E276" s="501"/>
      <c r="H276" s="501"/>
      <c r="I276" s="501"/>
      <c r="Y276" s="38"/>
      <c r="Z276" s="38"/>
      <c r="AA276" s="38"/>
      <c r="AB276" s="38"/>
      <c r="AC276" s="38"/>
      <c r="AD276" s="38"/>
      <c r="AE276" s="38"/>
      <c r="AF276" s="38"/>
    </row>
    <row r="277" spans="1:32" s="491" customFormat="1">
      <c r="A277" s="498"/>
      <c r="B277" s="499"/>
      <c r="C277" s="499"/>
      <c r="D277" s="500"/>
      <c r="E277" s="501"/>
      <c r="H277" s="501"/>
      <c r="I277" s="501"/>
      <c r="Y277" s="38"/>
      <c r="Z277" s="38"/>
      <c r="AA277" s="38"/>
      <c r="AB277" s="38"/>
      <c r="AC277" s="38"/>
      <c r="AD277" s="38"/>
      <c r="AE277" s="38"/>
      <c r="AF277" s="38"/>
    </row>
    <row r="278" spans="1:32" s="491" customFormat="1">
      <c r="A278" s="498"/>
      <c r="B278" s="499"/>
      <c r="C278" s="499"/>
      <c r="D278" s="500"/>
      <c r="E278" s="501"/>
      <c r="H278" s="501"/>
      <c r="I278" s="501"/>
      <c r="Y278" s="38"/>
      <c r="Z278" s="38"/>
      <c r="AA278" s="38"/>
      <c r="AB278" s="38"/>
      <c r="AC278" s="38"/>
      <c r="AD278" s="38"/>
      <c r="AE278" s="38"/>
      <c r="AF278" s="38"/>
    </row>
    <row r="279" spans="1:32" s="491" customFormat="1">
      <c r="A279" s="498"/>
      <c r="B279" s="499"/>
      <c r="C279" s="499"/>
      <c r="D279" s="500"/>
      <c r="E279" s="501"/>
      <c r="H279" s="501"/>
      <c r="I279" s="501"/>
      <c r="Y279" s="38"/>
      <c r="Z279" s="38"/>
      <c r="AA279" s="38"/>
      <c r="AB279" s="38"/>
      <c r="AC279" s="38"/>
      <c r="AD279" s="38"/>
      <c r="AE279" s="38"/>
      <c r="AF279" s="38"/>
    </row>
    <row r="280" spans="1:32" s="491" customFormat="1">
      <c r="A280" s="498"/>
      <c r="B280" s="499"/>
      <c r="C280" s="499"/>
      <c r="D280" s="500"/>
      <c r="E280" s="501"/>
      <c r="H280" s="501"/>
      <c r="I280" s="501"/>
      <c r="Y280" s="38"/>
      <c r="Z280" s="38"/>
      <c r="AA280" s="38"/>
      <c r="AB280" s="38"/>
      <c r="AC280" s="38"/>
      <c r="AD280" s="38"/>
      <c r="AE280" s="38"/>
      <c r="AF280" s="38"/>
    </row>
    <row r="281" spans="1:32">
      <c r="Y281" s="38"/>
      <c r="Z281" s="38"/>
      <c r="AA281" s="38"/>
      <c r="AB281" s="38"/>
      <c r="AC281" s="38"/>
      <c r="AD281" s="38"/>
      <c r="AE281" s="38"/>
      <c r="AF281" s="38"/>
    </row>
    <row r="282" spans="1:32">
      <c r="Y282" s="38"/>
      <c r="Z282" s="38"/>
      <c r="AA282" s="38"/>
      <c r="AB282" s="38"/>
      <c r="AC282" s="38"/>
      <c r="AD282" s="38"/>
      <c r="AE282" s="38"/>
      <c r="AF282" s="38"/>
    </row>
    <row r="283" spans="1:32">
      <c r="Y283" s="38"/>
      <c r="Z283" s="38"/>
      <c r="AA283" s="38"/>
      <c r="AB283" s="38"/>
      <c r="AC283" s="38"/>
      <c r="AD283" s="38"/>
      <c r="AE283" s="38"/>
      <c r="AF283" s="38"/>
    </row>
    <row r="284" spans="1:32">
      <c r="Y284" s="38"/>
      <c r="Z284" s="38"/>
      <c r="AA284" s="38"/>
      <c r="AB284" s="38"/>
      <c r="AC284" s="38"/>
      <c r="AD284" s="38"/>
      <c r="AE284" s="38"/>
      <c r="AF284" s="38"/>
    </row>
    <row r="285" spans="1:32">
      <c r="Y285" s="38"/>
      <c r="Z285" s="38"/>
      <c r="AA285" s="38"/>
      <c r="AB285" s="38"/>
      <c r="AC285" s="38"/>
      <c r="AD285" s="38"/>
      <c r="AE285" s="38"/>
      <c r="AF285" s="38"/>
    </row>
    <row r="286" spans="1:32">
      <c r="Y286" s="38"/>
      <c r="Z286" s="38"/>
      <c r="AA286" s="38"/>
      <c r="AB286" s="38"/>
      <c r="AC286" s="38"/>
      <c r="AD286" s="38"/>
      <c r="AE286" s="38"/>
      <c r="AF286" s="38"/>
    </row>
    <row r="287" spans="1:32">
      <c r="Y287" s="38"/>
      <c r="Z287" s="38"/>
      <c r="AA287" s="38"/>
      <c r="AB287" s="38"/>
      <c r="AC287" s="38"/>
      <c r="AD287" s="38"/>
      <c r="AE287" s="38"/>
      <c r="AF287" s="38"/>
    </row>
    <row r="288" spans="1:32">
      <c r="Y288" s="38"/>
      <c r="Z288" s="38"/>
      <c r="AA288" s="38"/>
      <c r="AB288" s="38"/>
      <c r="AC288" s="38"/>
      <c r="AD288" s="38"/>
      <c r="AE288" s="38"/>
      <c r="AF288" s="38"/>
    </row>
    <row r="289" spans="25:32">
      <c r="Y289" s="38"/>
      <c r="Z289" s="38"/>
      <c r="AA289" s="38"/>
      <c r="AB289" s="38"/>
      <c r="AC289" s="38"/>
      <c r="AD289" s="38"/>
      <c r="AE289" s="38"/>
      <c r="AF289" s="38"/>
    </row>
    <row r="290" spans="25:32">
      <c r="Y290" s="38"/>
      <c r="Z290" s="38"/>
      <c r="AA290" s="38"/>
      <c r="AB290" s="38"/>
      <c r="AC290" s="38"/>
      <c r="AD290" s="38"/>
      <c r="AE290" s="38"/>
      <c r="AF290" s="38"/>
    </row>
    <row r="291" spans="25:32">
      <c r="Y291" s="38"/>
      <c r="Z291" s="38"/>
      <c r="AA291" s="38"/>
      <c r="AB291" s="38"/>
      <c r="AC291" s="38"/>
      <c r="AD291" s="38"/>
      <c r="AE291" s="38"/>
      <c r="AF291" s="38"/>
    </row>
    <row r="292" spans="25:32">
      <c r="Y292" s="38"/>
      <c r="Z292" s="38"/>
      <c r="AA292" s="38"/>
      <c r="AB292" s="38"/>
      <c r="AC292" s="38"/>
      <c r="AD292" s="38"/>
      <c r="AE292" s="38"/>
      <c r="AF292" s="38"/>
    </row>
    <row r="293" spans="25:32">
      <c r="Y293" s="38"/>
      <c r="Z293" s="38"/>
      <c r="AA293" s="38"/>
      <c r="AB293" s="38"/>
      <c r="AC293" s="38"/>
      <c r="AD293" s="38"/>
      <c r="AE293" s="38"/>
      <c r="AF293" s="38"/>
    </row>
    <row r="294" spans="25:32">
      <c r="Y294" s="38"/>
      <c r="Z294" s="38"/>
      <c r="AA294" s="38"/>
      <c r="AB294" s="38"/>
      <c r="AC294" s="38"/>
      <c r="AD294" s="38"/>
      <c r="AE294" s="38"/>
      <c r="AF294" s="38"/>
    </row>
    <row r="295" spans="25:32">
      <c r="Y295" s="38"/>
      <c r="Z295" s="38"/>
      <c r="AA295" s="38"/>
      <c r="AB295" s="38"/>
      <c r="AC295" s="38"/>
      <c r="AD295" s="38"/>
      <c r="AE295" s="38"/>
      <c r="AF295" s="38"/>
    </row>
    <row r="296" spans="25:32">
      <c r="Y296" s="38"/>
      <c r="Z296" s="38"/>
      <c r="AA296" s="38"/>
      <c r="AB296" s="38"/>
      <c r="AC296" s="38"/>
      <c r="AD296" s="38"/>
      <c r="AE296" s="38"/>
      <c r="AF296" s="38"/>
    </row>
    <row r="297" spans="25:32">
      <c r="Y297" s="38"/>
      <c r="Z297" s="38"/>
      <c r="AA297" s="38"/>
      <c r="AB297" s="38"/>
      <c r="AC297" s="38"/>
      <c r="AD297" s="38"/>
      <c r="AE297" s="38"/>
      <c r="AF297" s="38"/>
    </row>
    <row r="298" spans="25:32">
      <c r="Y298" s="38"/>
      <c r="Z298" s="38"/>
      <c r="AA298" s="38"/>
      <c r="AB298" s="38"/>
      <c r="AC298" s="38"/>
      <c r="AD298" s="38"/>
      <c r="AE298" s="38"/>
      <c r="AF298" s="38"/>
    </row>
    <row r="299" spans="25:32">
      <c r="Y299" s="38"/>
      <c r="Z299" s="38"/>
      <c r="AA299" s="38"/>
      <c r="AB299" s="38"/>
      <c r="AC299" s="38"/>
      <c r="AD299" s="38"/>
      <c r="AE299" s="38"/>
      <c r="AF299" s="38"/>
    </row>
    <row r="300" spans="25:32">
      <c r="Y300" s="38"/>
      <c r="Z300" s="38"/>
      <c r="AA300" s="38"/>
      <c r="AB300" s="38"/>
      <c r="AC300" s="38"/>
      <c r="AD300" s="38"/>
      <c r="AE300" s="38"/>
      <c r="AF300" s="38"/>
    </row>
    <row r="301" spans="25:32">
      <c r="Y301" s="38"/>
      <c r="Z301" s="38"/>
      <c r="AA301" s="38"/>
      <c r="AB301" s="38"/>
      <c r="AC301" s="38"/>
      <c r="AD301" s="38"/>
      <c r="AE301" s="38"/>
      <c r="AF301" s="38"/>
    </row>
    <row r="302" spans="25:32">
      <c r="Y302" s="38"/>
      <c r="Z302" s="38"/>
      <c r="AA302" s="38"/>
      <c r="AB302" s="38"/>
      <c r="AC302" s="38"/>
      <c r="AD302" s="38"/>
      <c r="AE302" s="38"/>
      <c r="AF302" s="38"/>
    </row>
    <row r="303" spans="25:32">
      <c r="Y303" s="38"/>
      <c r="Z303" s="38"/>
      <c r="AA303" s="38"/>
      <c r="AB303" s="38"/>
      <c r="AC303" s="38"/>
      <c r="AD303" s="38"/>
      <c r="AE303" s="38"/>
      <c r="AF303" s="38"/>
    </row>
    <row r="304" spans="25:32">
      <c r="Y304" s="38"/>
      <c r="Z304" s="38"/>
      <c r="AA304" s="38"/>
      <c r="AB304" s="38"/>
      <c r="AC304" s="38"/>
      <c r="AD304" s="38"/>
      <c r="AE304" s="38"/>
      <c r="AF304" s="38"/>
    </row>
    <row r="305" spans="25:32">
      <c r="Y305" s="38"/>
      <c r="Z305" s="38"/>
      <c r="AA305" s="38"/>
      <c r="AB305" s="38"/>
      <c r="AC305" s="38"/>
      <c r="AD305" s="38"/>
      <c r="AE305" s="38"/>
      <c r="AF305" s="38"/>
    </row>
    <row r="306" spans="25:32">
      <c r="Y306" s="38"/>
      <c r="Z306" s="38"/>
      <c r="AA306" s="38"/>
      <c r="AB306" s="38"/>
      <c r="AC306" s="38"/>
      <c r="AD306" s="38"/>
      <c r="AE306" s="38"/>
      <c r="AF306" s="38"/>
    </row>
    <row r="307" spans="25:32">
      <c r="Y307" s="38"/>
      <c r="Z307" s="38"/>
      <c r="AA307" s="38"/>
      <c r="AB307" s="38"/>
      <c r="AC307" s="38"/>
      <c r="AD307" s="38"/>
      <c r="AE307" s="38"/>
      <c r="AF307" s="38"/>
    </row>
    <row r="308" spans="25:32">
      <c r="Y308" s="38"/>
      <c r="Z308" s="38"/>
      <c r="AA308" s="38"/>
      <c r="AB308" s="38"/>
      <c r="AC308" s="38"/>
      <c r="AD308" s="38"/>
      <c r="AE308" s="38"/>
      <c r="AF308" s="38"/>
    </row>
    <row r="309" spans="25:32">
      <c r="Y309" s="38"/>
      <c r="Z309" s="38"/>
      <c r="AA309" s="38"/>
      <c r="AB309" s="38"/>
      <c r="AC309" s="38"/>
      <c r="AD309" s="38"/>
      <c r="AE309" s="38"/>
      <c r="AF309" s="38"/>
    </row>
    <row r="310" spans="25:32">
      <c r="Y310" s="38"/>
      <c r="Z310" s="38"/>
      <c r="AA310" s="38"/>
      <c r="AB310" s="38"/>
      <c r="AC310" s="38"/>
      <c r="AD310" s="38"/>
      <c r="AE310" s="38"/>
      <c r="AF310" s="38"/>
    </row>
    <row r="311" spans="25:32">
      <c r="Y311" s="38"/>
      <c r="Z311" s="38"/>
      <c r="AA311" s="38"/>
      <c r="AB311" s="38"/>
      <c r="AC311" s="38"/>
      <c r="AD311" s="38"/>
      <c r="AE311" s="38"/>
      <c r="AF311" s="38"/>
    </row>
    <row r="312" spans="25:32">
      <c r="Y312" s="38"/>
      <c r="Z312" s="38"/>
      <c r="AA312" s="38"/>
      <c r="AB312" s="38"/>
      <c r="AC312" s="38"/>
      <c r="AD312" s="38"/>
      <c r="AE312" s="38"/>
      <c r="AF312" s="38"/>
    </row>
    <row r="313" spans="25:32">
      <c r="Y313" s="38"/>
      <c r="Z313" s="38"/>
      <c r="AA313" s="38"/>
      <c r="AB313" s="38"/>
      <c r="AC313" s="38"/>
      <c r="AD313" s="38"/>
      <c r="AE313" s="38"/>
      <c r="AF313" s="38"/>
    </row>
    <row r="314" spans="25:32">
      <c r="Y314" s="38"/>
      <c r="Z314" s="38"/>
      <c r="AA314" s="38"/>
      <c r="AB314" s="38"/>
      <c r="AC314" s="38"/>
      <c r="AD314" s="38"/>
      <c r="AE314" s="38"/>
      <c r="AF314" s="38"/>
    </row>
    <row r="315" spans="25:32">
      <c r="Y315" s="38"/>
      <c r="Z315" s="38"/>
      <c r="AA315" s="38"/>
      <c r="AB315" s="38"/>
      <c r="AC315" s="38"/>
      <c r="AD315" s="38"/>
      <c r="AE315" s="38"/>
      <c r="AF315" s="38"/>
    </row>
    <row r="316" spans="25:32">
      <c r="Y316" s="38"/>
      <c r="Z316" s="38"/>
      <c r="AA316" s="38"/>
      <c r="AB316" s="38"/>
      <c r="AC316" s="38"/>
      <c r="AD316" s="38"/>
      <c r="AE316" s="38"/>
      <c r="AF316" s="38"/>
    </row>
    <row r="317" spans="25:32">
      <c r="Y317" s="38"/>
      <c r="Z317" s="38"/>
      <c r="AA317" s="38"/>
      <c r="AB317" s="38"/>
      <c r="AC317" s="38"/>
      <c r="AD317" s="38"/>
      <c r="AE317" s="38"/>
      <c r="AF317" s="38"/>
    </row>
    <row r="318" spans="25:32">
      <c r="Y318" s="38"/>
      <c r="Z318" s="38"/>
      <c r="AA318" s="38"/>
      <c r="AB318" s="38"/>
      <c r="AC318" s="38"/>
      <c r="AD318" s="38"/>
      <c r="AE318" s="38"/>
      <c r="AF318" s="38"/>
    </row>
    <row r="319" spans="25:32">
      <c r="Y319" s="38"/>
      <c r="Z319" s="38"/>
      <c r="AA319" s="38"/>
      <c r="AB319" s="38"/>
      <c r="AC319" s="38"/>
      <c r="AD319" s="38"/>
      <c r="AE319" s="38"/>
      <c r="AF319" s="38"/>
    </row>
    <row r="320" spans="25:32">
      <c r="Y320" s="38"/>
      <c r="Z320" s="38"/>
      <c r="AA320" s="38"/>
      <c r="AB320" s="38"/>
      <c r="AC320" s="38"/>
      <c r="AD320" s="38"/>
      <c r="AE320" s="38"/>
      <c r="AF320" s="38"/>
    </row>
    <row r="321" spans="25:32">
      <c r="Y321" s="38"/>
      <c r="Z321" s="38"/>
      <c r="AA321" s="38"/>
      <c r="AB321" s="38"/>
      <c r="AC321" s="38"/>
      <c r="AD321" s="38"/>
      <c r="AE321" s="38"/>
      <c r="AF321" s="38"/>
    </row>
    <row r="322" spans="25:32">
      <c r="Y322" s="38"/>
      <c r="Z322" s="38"/>
      <c r="AA322" s="38"/>
      <c r="AB322" s="38"/>
      <c r="AC322" s="38"/>
      <c r="AD322" s="38"/>
      <c r="AE322" s="38"/>
      <c r="AF322" s="38"/>
    </row>
    <row r="323" spans="25:32">
      <c r="Y323" s="38"/>
      <c r="Z323" s="38"/>
      <c r="AA323" s="38"/>
      <c r="AB323" s="38"/>
      <c r="AC323" s="38"/>
      <c r="AD323" s="38"/>
      <c r="AE323" s="38"/>
      <c r="AF323" s="38"/>
    </row>
    <row r="324" spans="25:32">
      <c r="Y324" s="38"/>
      <c r="Z324" s="38"/>
      <c r="AA324" s="38"/>
      <c r="AB324" s="38"/>
      <c r="AC324" s="38"/>
      <c r="AD324" s="38"/>
      <c r="AE324" s="38"/>
      <c r="AF324" s="38"/>
    </row>
    <row r="325" spans="25:32">
      <c r="Y325" s="38"/>
      <c r="Z325" s="38"/>
      <c r="AA325" s="38"/>
      <c r="AB325" s="38"/>
      <c r="AC325" s="38"/>
      <c r="AD325" s="38"/>
      <c r="AE325" s="38"/>
      <c r="AF325" s="38"/>
    </row>
    <row r="326" spans="25:32">
      <c r="Y326" s="38"/>
      <c r="Z326" s="38"/>
      <c r="AA326" s="38"/>
      <c r="AB326" s="38"/>
      <c r="AC326" s="38"/>
      <c r="AD326" s="38"/>
      <c r="AE326" s="38"/>
      <c r="AF326" s="38"/>
    </row>
    <row r="327" spans="25:32">
      <c r="Y327" s="38"/>
      <c r="Z327" s="38"/>
      <c r="AA327" s="38"/>
      <c r="AB327" s="38"/>
      <c r="AC327" s="38"/>
      <c r="AD327" s="38"/>
      <c r="AE327" s="38"/>
      <c r="AF327" s="38"/>
    </row>
    <row r="328" spans="25:32">
      <c r="Y328" s="38"/>
      <c r="Z328" s="38"/>
      <c r="AA328" s="38"/>
      <c r="AB328" s="38"/>
      <c r="AC328" s="38"/>
      <c r="AD328" s="38"/>
      <c r="AE328" s="38"/>
      <c r="AF328" s="38"/>
    </row>
    <row r="329" spans="25:32">
      <c r="Y329" s="38"/>
      <c r="Z329" s="38"/>
      <c r="AA329" s="38"/>
      <c r="AB329" s="38"/>
      <c r="AC329" s="38"/>
      <c r="AD329" s="38"/>
      <c r="AE329" s="38"/>
      <c r="AF329" s="38"/>
    </row>
    <row r="330" spans="25:32">
      <c r="Y330" s="38"/>
      <c r="Z330" s="38"/>
      <c r="AA330" s="38"/>
      <c r="AB330" s="38"/>
      <c r="AC330" s="38"/>
      <c r="AD330" s="38"/>
      <c r="AE330" s="38"/>
      <c r="AF330" s="38"/>
    </row>
    <row r="331" spans="25:32">
      <c r="Y331" s="38"/>
      <c r="Z331" s="38"/>
      <c r="AA331" s="38"/>
      <c r="AB331" s="38"/>
      <c r="AC331" s="38"/>
      <c r="AD331" s="38"/>
      <c r="AE331" s="38"/>
      <c r="AF331" s="38"/>
    </row>
    <row r="332" spans="25:32">
      <c r="Y332" s="38"/>
      <c r="Z332" s="38"/>
      <c r="AA332" s="38"/>
      <c r="AB332" s="38"/>
      <c r="AC332" s="38"/>
      <c r="AD332" s="38"/>
      <c r="AE332" s="38"/>
      <c r="AF332" s="38"/>
    </row>
    <row r="333" spans="25:32">
      <c r="Y333" s="38"/>
      <c r="Z333" s="38"/>
      <c r="AA333" s="38"/>
      <c r="AB333" s="38"/>
      <c r="AC333" s="38"/>
      <c r="AD333" s="38"/>
      <c r="AE333" s="38"/>
      <c r="AF333" s="38"/>
    </row>
    <row r="334" spans="25:32">
      <c r="Y334" s="38"/>
      <c r="Z334" s="38"/>
      <c r="AA334" s="38"/>
      <c r="AB334" s="38"/>
      <c r="AC334" s="38"/>
      <c r="AD334" s="38"/>
      <c r="AE334" s="38"/>
      <c r="AF334" s="38"/>
    </row>
    <row r="335" spans="25:32">
      <c r="Y335" s="38"/>
      <c r="Z335" s="38"/>
      <c r="AA335" s="38"/>
      <c r="AB335" s="38"/>
      <c r="AC335" s="38"/>
      <c r="AD335" s="38"/>
      <c r="AE335" s="38"/>
      <c r="AF335" s="38"/>
    </row>
    <row r="336" spans="25:32">
      <c r="Y336" s="38"/>
      <c r="Z336" s="38"/>
      <c r="AA336" s="38"/>
      <c r="AB336" s="38"/>
      <c r="AC336" s="38"/>
      <c r="AD336" s="38"/>
      <c r="AE336" s="38"/>
      <c r="AF336" s="38"/>
    </row>
    <row r="337" spans="25:32">
      <c r="Y337" s="38"/>
      <c r="Z337" s="38"/>
      <c r="AA337" s="38"/>
      <c r="AB337" s="38"/>
      <c r="AC337" s="38"/>
      <c r="AD337" s="38"/>
      <c r="AE337" s="38"/>
      <c r="AF337" s="38"/>
    </row>
    <row r="338" spans="25:32">
      <c r="Y338" s="38"/>
      <c r="Z338" s="38"/>
      <c r="AA338" s="38"/>
      <c r="AB338" s="38"/>
      <c r="AC338" s="38"/>
      <c r="AD338" s="38"/>
      <c r="AE338" s="38"/>
      <c r="AF338" s="38"/>
    </row>
    <row r="339" spans="25:32">
      <c r="Y339" s="38"/>
      <c r="Z339" s="38"/>
      <c r="AA339" s="38"/>
      <c r="AB339" s="38"/>
      <c r="AC339" s="38"/>
      <c r="AD339" s="38"/>
      <c r="AE339" s="38"/>
      <c r="AF339" s="38"/>
    </row>
    <row r="340" spans="25:32">
      <c r="Y340" s="38"/>
      <c r="Z340" s="38"/>
      <c r="AA340" s="38"/>
      <c r="AB340" s="38"/>
      <c r="AC340" s="38"/>
      <c r="AD340" s="38"/>
      <c r="AE340" s="38"/>
      <c r="AF340" s="38"/>
    </row>
    <row r="341" spans="25:32">
      <c r="Y341" s="38"/>
      <c r="Z341" s="38"/>
      <c r="AA341" s="38"/>
      <c r="AB341" s="38"/>
      <c r="AC341" s="38"/>
      <c r="AD341" s="38"/>
      <c r="AE341" s="38"/>
      <c r="AF341" s="38"/>
    </row>
    <row r="342" spans="25:32">
      <c r="Y342" s="38"/>
      <c r="Z342" s="38"/>
      <c r="AA342" s="38"/>
      <c r="AB342" s="38"/>
      <c r="AC342" s="38"/>
      <c r="AD342" s="38"/>
      <c r="AE342" s="38"/>
      <c r="AF342" s="38"/>
    </row>
    <row r="343" spans="25:32">
      <c r="Y343" s="38"/>
      <c r="Z343" s="38"/>
      <c r="AA343" s="38"/>
      <c r="AB343" s="38"/>
      <c r="AC343" s="38"/>
      <c r="AD343" s="38"/>
      <c r="AE343" s="38"/>
      <c r="AF343" s="38"/>
    </row>
    <row r="344" spans="25:32">
      <c r="Y344" s="38"/>
      <c r="Z344" s="38"/>
      <c r="AA344" s="38"/>
      <c r="AB344" s="38"/>
      <c r="AC344" s="38"/>
      <c r="AD344" s="38"/>
      <c r="AE344" s="38"/>
      <c r="AF344" s="38"/>
    </row>
    <row r="345" spans="25:32">
      <c r="Y345" s="38"/>
      <c r="Z345" s="38"/>
      <c r="AA345" s="38"/>
      <c r="AB345" s="38"/>
      <c r="AC345" s="38"/>
      <c r="AD345" s="38"/>
      <c r="AE345" s="38"/>
      <c r="AF345" s="38"/>
    </row>
    <row r="346" spans="25:32">
      <c r="Y346" s="38"/>
      <c r="Z346" s="38"/>
      <c r="AA346" s="38"/>
      <c r="AB346" s="38"/>
      <c r="AC346" s="38"/>
      <c r="AD346" s="38"/>
      <c r="AE346" s="38"/>
      <c r="AF346" s="38"/>
    </row>
    <row r="347" spans="25:32">
      <c r="Y347" s="38"/>
      <c r="Z347" s="38"/>
      <c r="AA347" s="38"/>
      <c r="AB347" s="38"/>
      <c r="AC347" s="38"/>
      <c r="AD347" s="38"/>
      <c r="AE347" s="38"/>
      <c r="AF347" s="38"/>
    </row>
    <row r="348" spans="25:32">
      <c r="Y348" s="38"/>
      <c r="Z348" s="38"/>
      <c r="AA348" s="38"/>
      <c r="AB348" s="38"/>
      <c r="AC348" s="38"/>
      <c r="AD348" s="38"/>
      <c r="AE348" s="38"/>
      <c r="AF348" s="38"/>
    </row>
    <row r="349" spans="25:32">
      <c r="Y349" s="38"/>
      <c r="Z349" s="38"/>
      <c r="AA349" s="38"/>
      <c r="AB349" s="38"/>
      <c r="AC349" s="38"/>
      <c r="AD349" s="38"/>
      <c r="AE349" s="38"/>
      <c r="AF349" s="38"/>
    </row>
    <row r="350" spans="25:32">
      <c r="Y350" s="38"/>
      <c r="Z350" s="38"/>
      <c r="AA350" s="38"/>
      <c r="AB350" s="38"/>
      <c r="AC350" s="38"/>
      <c r="AD350" s="38"/>
      <c r="AE350" s="38"/>
      <c r="AF350" s="38"/>
    </row>
    <row r="351" spans="25:32">
      <c r="Y351" s="38"/>
      <c r="Z351" s="38"/>
      <c r="AA351" s="38"/>
      <c r="AB351" s="38"/>
      <c r="AC351" s="38"/>
      <c r="AD351" s="38"/>
      <c r="AE351" s="38"/>
      <c r="AF351" s="38"/>
    </row>
    <row r="352" spans="25:32">
      <c r="Y352" s="38"/>
      <c r="Z352" s="38"/>
      <c r="AA352" s="38"/>
      <c r="AB352" s="38"/>
      <c r="AC352" s="38"/>
      <c r="AD352" s="38"/>
      <c r="AE352" s="38"/>
      <c r="AF352" s="38"/>
    </row>
    <row r="353" spans="25:32">
      <c r="Y353" s="38"/>
      <c r="Z353" s="38"/>
      <c r="AA353" s="38"/>
      <c r="AB353" s="38"/>
      <c r="AC353" s="38"/>
      <c r="AD353" s="38"/>
      <c r="AE353" s="38"/>
      <c r="AF353" s="38"/>
    </row>
    <row r="354" spans="25:32">
      <c r="Y354" s="38"/>
      <c r="Z354" s="38"/>
      <c r="AA354" s="38"/>
      <c r="AB354" s="38"/>
      <c r="AC354" s="38"/>
      <c r="AD354" s="38"/>
      <c r="AE354" s="38"/>
      <c r="AF354" s="38"/>
    </row>
    <row r="355" spans="25:32">
      <c r="Y355" s="38"/>
      <c r="Z355" s="38"/>
      <c r="AA355" s="38"/>
      <c r="AB355" s="38"/>
      <c r="AC355" s="38"/>
      <c r="AD355" s="38"/>
      <c r="AE355" s="38"/>
      <c r="AF355" s="38"/>
    </row>
    <row r="356" spans="25:32">
      <c r="Y356" s="38"/>
      <c r="Z356" s="38"/>
      <c r="AA356" s="38"/>
      <c r="AB356" s="38"/>
      <c r="AC356" s="38"/>
      <c r="AD356" s="38"/>
      <c r="AE356" s="38"/>
      <c r="AF356" s="38"/>
    </row>
    <row r="357" spans="25:32">
      <c r="Y357" s="38"/>
      <c r="Z357" s="38"/>
      <c r="AA357" s="38"/>
      <c r="AB357" s="38"/>
      <c r="AC357" s="38"/>
      <c r="AD357" s="38"/>
      <c r="AE357" s="38"/>
      <c r="AF357" s="38"/>
    </row>
    <row r="358" spans="25:32">
      <c r="Y358" s="38"/>
      <c r="Z358" s="38"/>
      <c r="AA358" s="38"/>
      <c r="AB358" s="38"/>
      <c r="AC358" s="38"/>
      <c r="AD358" s="38"/>
      <c r="AE358" s="38"/>
      <c r="AF358" s="38"/>
    </row>
    <row r="359" spans="25:32">
      <c r="Y359" s="38"/>
      <c r="Z359" s="38"/>
      <c r="AA359" s="38"/>
      <c r="AB359" s="38"/>
      <c r="AC359" s="38"/>
      <c r="AD359" s="38"/>
      <c r="AE359" s="38"/>
      <c r="AF359" s="38"/>
    </row>
    <row r="360" spans="25:32">
      <c r="Y360" s="38"/>
      <c r="Z360" s="38"/>
      <c r="AA360" s="38"/>
      <c r="AB360" s="38"/>
      <c r="AC360" s="38"/>
      <c r="AD360" s="38"/>
      <c r="AE360" s="38"/>
      <c r="AF360" s="38"/>
    </row>
    <row r="361" spans="25:32">
      <c r="Y361" s="38"/>
      <c r="Z361" s="38"/>
      <c r="AA361" s="38"/>
      <c r="AB361" s="38"/>
      <c r="AC361" s="38"/>
      <c r="AD361" s="38"/>
      <c r="AE361" s="38"/>
      <c r="AF361" s="38"/>
    </row>
    <row r="362" spans="25:32">
      <c r="Y362" s="38"/>
      <c r="Z362" s="38"/>
      <c r="AA362" s="38"/>
      <c r="AB362" s="38"/>
      <c r="AC362" s="38"/>
      <c r="AD362" s="38"/>
      <c r="AE362" s="38"/>
      <c r="AF362" s="38"/>
    </row>
    <row r="363" spans="25:32">
      <c r="Y363" s="38"/>
      <c r="Z363" s="38"/>
      <c r="AA363" s="38"/>
      <c r="AB363" s="38"/>
      <c r="AC363" s="38"/>
      <c r="AD363" s="38"/>
      <c r="AE363" s="38"/>
      <c r="AF363" s="38"/>
    </row>
    <row r="364" spans="25:32">
      <c r="Y364" s="38"/>
      <c r="Z364" s="38"/>
      <c r="AA364" s="38"/>
      <c r="AB364" s="38"/>
      <c r="AC364" s="38"/>
      <c r="AD364" s="38"/>
      <c r="AE364" s="38"/>
      <c r="AF364" s="38"/>
    </row>
    <row r="365" spans="25:32">
      <c r="Y365" s="38"/>
      <c r="Z365" s="38"/>
      <c r="AA365" s="38"/>
      <c r="AB365" s="38"/>
      <c r="AC365" s="38"/>
      <c r="AD365" s="38"/>
      <c r="AE365" s="38"/>
      <c r="AF365" s="38"/>
    </row>
    <row r="366" spans="25:32">
      <c r="Y366" s="38"/>
      <c r="Z366" s="38"/>
      <c r="AA366" s="38"/>
      <c r="AB366" s="38"/>
      <c r="AC366" s="38"/>
      <c r="AD366" s="38"/>
      <c r="AE366" s="38"/>
      <c r="AF366" s="38"/>
    </row>
    <row r="367" spans="25:32">
      <c r="Y367" s="38"/>
      <c r="Z367" s="38"/>
      <c r="AA367" s="38"/>
      <c r="AB367" s="38"/>
      <c r="AC367" s="38"/>
      <c r="AD367" s="38"/>
      <c r="AE367" s="38"/>
      <c r="AF367" s="38"/>
    </row>
    <row r="368" spans="25:32">
      <c r="Y368" s="38"/>
      <c r="Z368" s="38"/>
      <c r="AA368" s="38"/>
      <c r="AB368" s="38"/>
      <c r="AC368" s="38"/>
      <c r="AD368" s="38"/>
      <c r="AE368" s="38"/>
      <c r="AF368" s="38"/>
    </row>
    <row r="369" spans="25:32">
      <c r="Y369" s="38"/>
      <c r="Z369" s="38"/>
      <c r="AA369" s="38"/>
      <c r="AB369" s="38"/>
      <c r="AC369" s="38"/>
      <c r="AD369" s="38"/>
      <c r="AE369" s="38"/>
      <c r="AF369" s="38"/>
    </row>
    <row r="370" spans="25:32">
      <c r="Y370" s="38"/>
      <c r="Z370" s="38"/>
      <c r="AA370" s="38"/>
      <c r="AB370" s="38"/>
      <c r="AC370" s="38"/>
      <c r="AD370" s="38"/>
      <c r="AE370" s="38"/>
      <c r="AF370" s="38"/>
    </row>
    <row r="371" spans="25:32">
      <c r="Y371" s="38"/>
      <c r="Z371" s="38"/>
      <c r="AA371" s="38"/>
      <c r="AB371" s="38"/>
      <c r="AC371" s="38"/>
      <c r="AD371" s="38"/>
      <c r="AE371" s="38"/>
      <c r="AF371" s="38"/>
    </row>
    <row r="372" spans="25:32">
      <c r="Y372" s="38"/>
      <c r="Z372" s="38"/>
      <c r="AA372" s="38"/>
      <c r="AB372" s="38"/>
      <c r="AC372" s="38"/>
      <c r="AD372" s="38"/>
      <c r="AE372" s="38"/>
      <c r="AF372" s="38"/>
    </row>
    <row r="373" spans="25:32">
      <c r="Y373" s="38"/>
      <c r="Z373" s="38"/>
      <c r="AA373" s="38"/>
      <c r="AB373" s="38"/>
      <c r="AC373" s="38"/>
      <c r="AD373" s="38"/>
      <c r="AE373" s="38"/>
      <c r="AF373" s="38"/>
    </row>
    <row r="374" spans="25:32">
      <c r="Y374" s="38"/>
      <c r="Z374" s="38"/>
      <c r="AA374" s="38"/>
      <c r="AB374" s="38"/>
      <c r="AC374" s="38"/>
      <c r="AD374" s="38"/>
      <c r="AE374" s="38"/>
      <c r="AF374" s="38"/>
    </row>
    <row r="375" spans="25:32">
      <c r="Y375" s="38"/>
      <c r="Z375" s="38"/>
      <c r="AA375" s="38"/>
      <c r="AB375" s="38"/>
      <c r="AC375" s="38"/>
      <c r="AD375" s="38"/>
      <c r="AE375" s="38"/>
      <c r="AF375" s="38"/>
    </row>
    <row r="376" spans="25:32">
      <c r="Y376" s="38"/>
      <c r="Z376" s="38"/>
      <c r="AA376" s="38"/>
      <c r="AB376" s="38"/>
      <c r="AC376" s="38"/>
      <c r="AD376" s="38"/>
      <c r="AE376" s="38"/>
      <c r="AF376" s="38"/>
    </row>
    <row r="377" spans="25:32">
      <c r="Y377" s="38"/>
      <c r="Z377" s="38"/>
      <c r="AA377" s="38"/>
      <c r="AB377" s="38"/>
      <c r="AC377" s="38"/>
      <c r="AD377" s="38"/>
      <c r="AE377" s="38"/>
      <c r="AF377" s="38"/>
    </row>
    <row r="378" spans="25:32">
      <c r="Y378" s="38"/>
      <c r="Z378" s="38"/>
      <c r="AA378" s="38"/>
      <c r="AB378" s="38"/>
      <c r="AC378" s="38"/>
      <c r="AD378" s="38"/>
      <c r="AE378" s="38"/>
      <c r="AF378" s="38"/>
    </row>
    <row r="379" spans="25:32">
      <c r="Y379" s="38"/>
      <c r="Z379" s="38"/>
      <c r="AA379" s="38"/>
      <c r="AB379" s="38"/>
      <c r="AC379" s="38"/>
      <c r="AD379" s="38"/>
      <c r="AE379" s="38"/>
      <c r="AF379" s="38"/>
    </row>
    <row r="380" spans="25:32">
      <c r="Y380" s="38"/>
      <c r="Z380" s="38"/>
      <c r="AA380" s="38"/>
      <c r="AB380" s="38"/>
      <c r="AC380" s="38"/>
      <c r="AD380" s="38"/>
      <c r="AE380" s="38"/>
      <c r="AF380" s="38"/>
    </row>
    <row r="381" spans="25:32">
      <c r="Y381" s="38"/>
      <c r="Z381" s="38"/>
      <c r="AA381" s="38"/>
      <c r="AB381" s="38"/>
      <c r="AC381" s="38"/>
      <c r="AD381" s="38"/>
      <c r="AE381" s="38"/>
      <c r="AF381" s="38"/>
    </row>
    <row r="382" spans="25:32">
      <c r="Y382" s="38"/>
      <c r="Z382" s="38"/>
      <c r="AA382" s="38"/>
      <c r="AB382" s="38"/>
      <c r="AC382" s="38"/>
      <c r="AD382" s="38"/>
      <c r="AE382" s="38"/>
      <c r="AF382" s="38"/>
    </row>
    <row r="383" spans="25:32">
      <c r="Y383" s="38"/>
      <c r="Z383" s="38"/>
      <c r="AA383" s="38"/>
      <c r="AB383" s="38"/>
      <c r="AC383" s="38"/>
      <c r="AD383" s="38"/>
      <c r="AE383" s="38"/>
      <c r="AF383" s="38"/>
    </row>
    <row r="384" spans="25:32">
      <c r="Y384" s="38"/>
      <c r="Z384" s="38"/>
      <c r="AA384" s="38"/>
      <c r="AB384" s="38"/>
      <c r="AC384" s="38"/>
      <c r="AD384" s="38"/>
      <c r="AE384" s="38"/>
      <c r="AF384" s="38"/>
    </row>
    <row r="385" spans="25:32">
      <c r="Y385" s="38"/>
      <c r="Z385" s="38"/>
      <c r="AA385" s="38"/>
      <c r="AB385" s="38"/>
      <c r="AC385" s="38"/>
      <c r="AD385" s="38"/>
      <c r="AE385" s="38"/>
      <c r="AF385" s="38"/>
    </row>
    <row r="386" spans="25:32">
      <c r="Y386" s="38"/>
      <c r="Z386" s="38"/>
      <c r="AA386" s="38"/>
      <c r="AB386" s="38"/>
      <c r="AC386" s="38"/>
      <c r="AD386" s="38"/>
      <c r="AE386" s="38"/>
      <c r="AF386" s="38"/>
    </row>
    <row r="387" spans="25:32">
      <c r="Y387" s="38"/>
      <c r="Z387" s="38"/>
      <c r="AA387" s="38"/>
      <c r="AB387" s="38"/>
      <c r="AC387" s="38"/>
      <c r="AD387" s="38"/>
      <c r="AE387" s="38"/>
      <c r="AF387" s="38"/>
    </row>
    <row r="388" spans="25:32">
      <c r="Y388" s="38"/>
      <c r="Z388" s="38"/>
      <c r="AA388" s="38"/>
      <c r="AB388" s="38"/>
      <c r="AC388" s="38"/>
      <c r="AD388" s="38"/>
      <c r="AE388" s="38"/>
      <c r="AF388" s="38"/>
    </row>
    <row r="389" spans="25:32">
      <c r="Y389" s="38"/>
      <c r="Z389" s="38"/>
      <c r="AA389" s="38"/>
      <c r="AB389" s="38"/>
      <c r="AC389" s="38"/>
      <c r="AD389" s="38"/>
      <c r="AE389" s="38"/>
      <c r="AF389" s="38"/>
    </row>
    <row r="390" spans="25:32">
      <c r="Y390" s="38"/>
      <c r="Z390" s="38"/>
      <c r="AA390" s="38"/>
      <c r="AB390" s="38"/>
      <c r="AC390" s="38"/>
      <c r="AD390" s="38"/>
      <c r="AE390" s="38"/>
      <c r="AF390" s="38"/>
    </row>
    <row r="391" spans="25:32">
      <c r="Y391" s="38"/>
      <c r="Z391" s="38"/>
      <c r="AA391" s="38"/>
      <c r="AB391" s="38"/>
      <c r="AC391" s="38"/>
      <c r="AD391" s="38"/>
      <c r="AE391" s="38"/>
      <c r="AF391" s="38"/>
    </row>
    <row r="392" spans="25:32">
      <c r="Y392" s="38"/>
      <c r="Z392" s="38"/>
      <c r="AA392" s="38"/>
      <c r="AB392" s="38"/>
      <c r="AC392" s="38"/>
      <c r="AD392" s="38"/>
      <c r="AE392" s="38"/>
      <c r="AF392" s="38"/>
    </row>
    <row r="393" spans="25:32">
      <c r="Y393" s="38"/>
      <c r="Z393" s="38"/>
      <c r="AA393" s="38"/>
      <c r="AB393" s="38"/>
      <c r="AC393" s="38"/>
      <c r="AD393" s="38"/>
      <c r="AE393" s="38"/>
      <c r="AF393" s="38"/>
    </row>
    <row r="394" spans="25:32">
      <c r="Y394" s="38"/>
      <c r="Z394" s="38"/>
      <c r="AA394" s="38"/>
      <c r="AB394" s="38"/>
      <c r="AC394" s="38"/>
      <c r="AD394" s="38"/>
      <c r="AE394" s="38"/>
      <c r="AF394" s="38"/>
    </row>
    <row r="395" spans="25:32">
      <c r="Y395" s="38"/>
      <c r="Z395" s="38"/>
      <c r="AA395" s="38"/>
      <c r="AB395" s="38"/>
      <c r="AC395" s="38"/>
      <c r="AD395" s="38"/>
      <c r="AE395" s="38"/>
      <c r="AF395" s="38"/>
    </row>
    <row r="396" spans="25:32">
      <c r="Y396" s="38"/>
      <c r="Z396" s="38"/>
      <c r="AA396" s="38"/>
      <c r="AB396" s="38"/>
      <c r="AC396" s="38"/>
      <c r="AD396" s="38"/>
      <c r="AE396" s="38"/>
      <c r="AF396" s="38"/>
    </row>
    <row r="397" spans="25:32">
      <c r="Y397" s="38"/>
      <c r="Z397" s="38"/>
      <c r="AA397" s="38"/>
      <c r="AB397" s="38"/>
      <c r="AC397" s="38"/>
      <c r="AD397" s="38"/>
      <c r="AE397" s="38"/>
      <c r="AF397" s="38"/>
    </row>
    <row r="398" spans="25:32">
      <c r="Y398" s="38"/>
      <c r="Z398" s="38"/>
      <c r="AA398" s="38"/>
      <c r="AB398" s="38"/>
      <c r="AC398" s="38"/>
      <c r="AD398" s="38"/>
      <c r="AE398" s="38"/>
      <c r="AF398" s="38"/>
    </row>
    <row r="399" spans="25:32">
      <c r="Y399" s="38"/>
      <c r="Z399" s="38"/>
      <c r="AA399" s="38"/>
      <c r="AB399" s="38"/>
      <c r="AC399" s="38"/>
      <c r="AD399" s="38"/>
      <c r="AE399" s="38"/>
      <c r="AF399" s="38"/>
    </row>
    <row r="400" spans="25:32">
      <c r="Y400" s="38"/>
      <c r="Z400" s="38"/>
      <c r="AA400" s="38"/>
      <c r="AB400" s="38"/>
      <c r="AC400" s="38"/>
      <c r="AD400" s="38"/>
      <c r="AE400" s="38"/>
      <c r="AF400" s="38"/>
    </row>
    <row r="401" spans="25:32">
      <c r="Y401" s="38"/>
      <c r="Z401" s="38"/>
      <c r="AA401" s="38"/>
      <c r="AB401" s="38"/>
      <c r="AC401" s="38"/>
      <c r="AD401" s="38"/>
      <c r="AE401" s="38"/>
      <c r="AF401" s="38"/>
    </row>
    <row r="402" spans="25:32">
      <c r="Y402" s="38"/>
      <c r="Z402" s="38"/>
      <c r="AA402" s="38"/>
      <c r="AB402" s="38"/>
      <c r="AC402" s="38"/>
      <c r="AD402" s="38"/>
      <c r="AE402" s="38"/>
      <c r="AF402" s="38"/>
    </row>
    <row r="403" spans="25:32">
      <c r="Y403" s="38"/>
      <c r="Z403" s="38"/>
      <c r="AA403" s="38"/>
      <c r="AB403" s="38"/>
      <c r="AC403" s="38"/>
      <c r="AD403" s="38"/>
      <c r="AE403" s="38"/>
      <c r="AF403" s="38"/>
    </row>
    <row r="404" spans="25:32">
      <c r="Y404" s="38"/>
      <c r="Z404" s="38"/>
      <c r="AA404" s="38"/>
      <c r="AB404" s="38"/>
      <c r="AC404" s="38"/>
      <c r="AD404" s="38"/>
      <c r="AE404" s="38"/>
      <c r="AF404" s="38"/>
    </row>
    <row r="405" spans="25:32">
      <c r="Y405" s="38"/>
      <c r="Z405" s="38"/>
      <c r="AA405" s="38"/>
      <c r="AB405" s="38"/>
      <c r="AC405" s="38"/>
      <c r="AD405" s="38"/>
      <c r="AE405" s="38"/>
      <c r="AF405" s="38"/>
    </row>
    <row r="406" spans="25:32">
      <c r="Y406" s="38"/>
      <c r="Z406" s="38"/>
      <c r="AA406" s="38"/>
      <c r="AB406" s="38"/>
      <c r="AC406" s="38"/>
      <c r="AD406" s="38"/>
      <c r="AE406" s="38"/>
      <c r="AF406" s="38"/>
    </row>
    <row r="407" spans="25:32">
      <c r="Y407" s="38"/>
      <c r="Z407" s="38"/>
      <c r="AA407" s="38"/>
      <c r="AB407" s="38"/>
      <c r="AC407" s="38"/>
      <c r="AD407" s="38"/>
      <c r="AE407" s="38"/>
      <c r="AF407" s="38"/>
    </row>
    <row r="408" spans="25:32">
      <c r="Y408" s="38"/>
      <c r="Z408" s="38"/>
      <c r="AA408" s="38"/>
      <c r="AB408" s="38"/>
      <c r="AC408" s="38"/>
      <c r="AD408" s="38"/>
      <c r="AE408" s="38"/>
      <c r="AF408" s="38"/>
    </row>
    <row r="409" spans="25:32">
      <c r="Y409" s="38"/>
      <c r="Z409" s="38"/>
      <c r="AA409" s="38"/>
      <c r="AB409" s="38"/>
      <c r="AC409" s="38"/>
      <c r="AD409" s="38"/>
      <c r="AE409" s="38"/>
      <c r="AF409" s="38"/>
    </row>
    <row r="410" spans="25:32">
      <c r="Y410" s="38"/>
      <c r="Z410" s="38"/>
      <c r="AA410" s="38"/>
      <c r="AB410" s="38"/>
      <c r="AC410" s="38"/>
      <c r="AD410" s="38"/>
      <c r="AE410" s="38"/>
      <c r="AF410" s="38"/>
    </row>
    <row r="411" spans="25:32">
      <c r="Y411" s="38"/>
      <c r="Z411" s="38"/>
      <c r="AA411" s="38"/>
      <c r="AB411" s="38"/>
      <c r="AC411" s="38"/>
      <c r="AD411" s="38"/>
      <c r="AE411" s="38"/>
      <c r="AF411" s="38"/>
    </row>
    <row r="412" spans="25:32">
      <c r="Y412" s="38"/>
      <c r="Z412" s="38"/>
      <c r="AA412" s="38"/>
      <c r="AB412" s="38"/>
      <c r="AC412" s="38"/>
      <c r="AD412" s="38"/>
      <c r="AE412" s="38"/>
      <c r="AF412" s="38"/>
    </row>
    <row r="413" spans="25:32">
      <c r="Y413" s="38"/>
      <c r="Z413" s="38"/>
      <c r="AA413" s="38"/>
      <c r="AB413" s="38"/>
      <c r="AC413" s="38"/>
      <c r="AD413" s="38"/>
      <c r="AE413" s="38"/>
      <c r="AF413" s="38"/>
    </row>
    <row r="414" spans="25:32">
      <c r="Y414" s="38"/>
      <c r="Z414" s="38"/>
      <c r="AA414" s="38"/>
      <c r="AB414" s="38"/>
      <c r="AC414" s="38"/>
      <c r="AD414" s="38"/>
      <c r="AE414" s="38"/>
      <c r="AF414" s="38"/>
    </row>
    <row r="415" spans="25:32">
      <c r="Y415" s="38"/>
      <c r="Z415" s="38"/>
      <c r="AA415" s="38"/>
      <c r="AB415" s="38"/>
      <c r="AC415" s="38"/>
      <c r="AD415" s="38"/>
      <c r="AE415" s="38"/>
      <c r="AF415" s="38"/>
    </row>
    <row r="416" spans="25:32">
      <c r="Y416" s="38"/>
      <c r="Z416" s="38"/>
      <c r="AA416" s="38"/>
      <c r="AB416" s="38"/>
      <c r="AC416" s="38"/>
      <c r="AD416" s="38"/>
      <c r="AE416" s="38"/>
      <c r="AF416" s="38"/>
    </row>
    <row r="417" spans="25:32">
      <c r="Y417" s="38"/>
      <c r="Z417" s="38"/>
      <c r="AA417" s="38"/>
      <c r="AB417" s="38"/>
      <c r="AC417" s="38"/>
      <c r="AD417" s="38"/>
      <c r="AE417" s="38"/>
      <c r="AF417" s="38"/>
    </row>
    <row r="418" spans="25:32">
      <c r="Y418" s="38"/>
      <c r="Z418" s="38"/>
      <c r="AA418" s="38"/>
      <c r="AB418" s="38"/>
      <c r="AC418" s="38"/>
      <c r="AD418" s="38"/>
      <c r="AE418" s="38"/>
      <c r="AF418" s="38"/>
    </row>
    <row r="419" spans="25:32">
      <c r="Y419" s="38"/>
      <c r="Z419" s="38"/>
      <c r="AA419" s="38"/>
      <c r="AB419" s="38"/>
      <c r="AC419" s="38"/>
      <c r="AD419" s="38"/>
      <c r="AE419" s="38"/>
      <c r="AF419" s="38"/>
    </row>
    <row r="420" spans="25:32">
      <c r="Y420" s="38"/>
      <c r="Z420" s="38"/>
      <c r="AA420" s="38"/>
      <c r="AB420" s="38"/>
      <c r="AC420" s="38"/>
      <c r="AD420" s="38"/>
      <c r="AE420" s="38"/>
      <c r="AF420" s="38"/>
    </row>
    <row r="421" spans="25:32">
      <c r="Y421" s="38"/>
      <c r="Z421" s="38"/>
      <c r="AA421" s="38"/>
      <c r="AB421" s="38"/>
      <c r="AC421" s="38"/>
      <c r="AD421" s="38"/>
      <c r="AE421" s="38"/>
      <c r="AF421" s="38"/>
    </row>
    <row r="422" spans="25:32">
      <c r="Y422" s="38"/>
      <c r="Z422" s="38"/>
      <c r="AA422" s="38"/>
      <c r="AB422" s="38"/>
      <c r="AC422" s="38"/>
      <c r="AD422" s="38"/>
      <c r="AE422" s="38"/>
      <c r="AF422" s="38"/>
    </row>
    <row r="423" spans="25:32">
      <c r="Y423" s="38"/>
      <c r="Z423" s="38"/>
      <c r="AA423" s="38"/>
      <c r="AB423" s="38"/>
      <c r="AC423" s="38"/>
      <c r="AD423" s="38"/>
      <c r="AE423" s="38"/>
      <c r="AF423" s="38"/>
    </row>
    <row r="424" spans="25:32">
      <c r="Y424" s="38"/>
      <c r="Z424" s="38"/>
      <c r="AA424" s="38"/>
      <c r="AB424" s="38"/>
      <c r="AC424" s="38"/>
      <c r="AD424" s="38"/>
      <c r="AE424" s="38"/>
      <c r="AF424" s="38"/>
    </row>
    <row r="425" spans="25:32">
      <c r="Y425" s="38"/>
      <c r="Z425" s="38"/>
      <c r="AA425" s="38"/>
      <c r="AB425" s="38"/>
      <c r="AC425" s="38"/>
      <c r="AD425" s="38"/>
      <c r="AE425" s="38"/>
      <c r="AF425" s="38"/>
    </row>
    <row r="426" spans="25:32">
      <c r="Y426" s="38"/>
      <c r="Z426" s="38"/>
      <c r="AA426" s="38"/>
      <c r="AB426" s="38"/>
      <c r="AC426" s="38"/>
      <c r="AD426" s="38"/>
      <c r="AE426" s="38"/>
      <c r="AF426" s="38"/>
    </row>
    <row r="427" spans="25:32">
      <c r="Y427" s="38"/>
      <c r="Z427" s="38"/>
      <c r="AA427" s="38"/>
      <c r="AB427" s="38"/>
      <c r="AC427" s="38"/>
      <c r="AD427" s="38"/>
      <c r="AE427" s="38"/>
      <c r="AF427" s="38"/>
    </row>
    <row r="428" spans="25:32">
      <c r="Y428" s="38"/>
      <c r="Z428" s="38"/>
      <c r="AA428" s="38"/>
      <c r="AB428" s="38"/>
      <c r="AC428" s="38"/>
      <c r="AD428" s="38"/>
      <c r="AE428" s="38"/>
      <c r="AF428" s="38"/>
    </row>
    <row r="429" spans="25:32">
      <c r="Y429" s="38"/>
      <c r="Z429" s="38"/>
      <c r="AA429" s="38"/>
      <c r="AB429" s="38"/>
      <c r="AC429" s="38"/>
      <c r="AD429" s="38"/>
      <c r="AE429" s="38"/>
      <c r="AF429" s="38"/>
    </row>
    <row r="430" spans="25:32">
      <c r="Y430" s="38"/>
      <c r="Z430" s="38"/>
      <c r="AA430" s="38"/>
      <c r="AB430" s="38"/>
      <c r="AC430" s="38"/>
      <c r="AD430" s="38"/>
      <c r="AE430" s="38"/>
      <c r="AF430" s="38"/>
    </row>
    <row r="431" spans="25:32">
      <c r="Y431" s="38"/>
      <c r="Z431" s="38"/>
      <c r="AA431" s="38"/>
      <c r="AB431" s="38"/>
      <c r="AC431" s="38"/>
      <c r="AD431" s="38"/>
      <c r="AE431" s="38"/>
      <c r="AF431" s="38"/>
    </row>
    <row r="432" spans="25:32">
      <c r="Y432" s="38"/>
      <c r="Z432" s="38"/>
      <c r="AA432" s="38"/>
      <c r="AB432" s="38"/>
      <c r="AC432" s="38"/>
      <c r="AD432" s="38"/>
      <c r="AE432" s="38"/>
      <c r="AF432" s="38"/>
    </row>
    <row r="433" spans="25:32">
      <c r="Y433" s="38"/>
      <c r="Z433" s="38"/>
      <c r="AA433" s="38"/>
      <c r="AB433" s="38"/>
      <c r="AC433" s="38"/>
      <c r="AD433" s="38"/>
      <c r="AE433" s="38"/>
      <c r="AF433" s="38"/>
    </row>
    <row r="434" spans="25:32">
      <c r="Y434" s="38"/>
      <c r="Z434" s="38"/>
      <c r="AA434" s="38"/>
      <c r="AB434" s="38"/>
      <c r="AC434" s="38"/>
      <c r="AD434" s="38"/>
      <c r="AE434" s="38"/>
      <c r="AF434" s="38"/>
    </row>
    <row r="435" spans="25:32">
      <c r="Y435" s="38"/>
      <c r="Z435" s="38"/>
      <c r="AA435" s="38"/>
      <c r="AB435" s="38"/>
      <c r="AC435" s="38"/>
      <c r="AD435" s="38"/>
      <c r="AE435" s="38"/>
      <c r="AF435" s="38"/>
    </row>
    <row r="436" spans="25:32">
      <c r="Y436" s="38"/>
      <c r="Z436" s="38"/>
      <c r="AA436" s="38"/>
      <c r="AB436" s="38"/>
      <c r="AC436" s="38"/>
      <c r="AD436" s="38"/>
      <c r="AE436" s="38"/>
      <c r="AF436" s="38"/>
    </row>
    <row r="437" spans="25:32">
      <c r="Y437" s="38"/>
      <c r="Z437" s="38"/>
      <c r="AA437" s="38"/>
      <c r="AB437" s="38"/>
      <c r="AC437" s="38"/>
      <c r="AD437" s="38"/>
      <c r="AE437" s="38"/>
      <c r="AF437" s="38"/>
    </row>
    <row r="438" spans="25:32">
      <c r="Y438" s="38"/>
      <c r="Z438" s="38"/>
      <c r="AA438" s="38"/>
      <c r="AB438" s="38"/>
      <c r="AC438" s="38"/>
      <c r="AD438" s="38"/>
      <c r="AE438" s="38"/>
      <c r="AF438" s="38"/>
    </row>
    <row r="439" spans="25:32">
      <c r="Y439" s="38"/>
      <c r="Z439" s="38"/>
      <c r="AA439" s="38"/>
      <c r="AB439" s="38"/>
      <c r="AC439" s="38"/>
      <c r="AD439" s="38"/>
      <c r="AE439" s="38"/>
      <c r="AF439" s="38"/>
    </row>
    <row r="440" spans="25:32">
      <c r="Y440" s="38"/>
      <c r="Z440" s="38"/>
      <c r="AA440" s="38"/>
      <c r="AB440" s="38"/>
      <c r="AC440" s="38"/>
      <c r="AD440" s="38"/>
      <c r="AE440" s="38"/>
      <c r="AF440" s="38"/>
    </row>
    <row r="441" spans="25:32">
      <c r="Y441" s="38"/>
      <c r="Z441" s="38"/>
      <c r="AA441" s="38"/>
      <c r="AB441" s="38"/>
      <c r="AC441" s="38"/>
      <c r="AD441" s="38"/>
      <c r="AE441" s="38"/>
      <c r="AF441" s="38"/>
    </row>
    <row r="442" spans="25:32">
      <c r="Y442" s="38"/>
      <c r="Z442" s="38"/>
      <c r="AA442" s="38"/>
      <c r="AB442" s="38"/>
      <c r="AC442" s="38"/>
      <c r="AD442" s="38"/>
      <c r="AE442" s="38"/>
      <c r="AF442" s="38"/>
    </row>
    <row r="443" spans="25:32">
      <c r="Y443" s="38"/>
      <c r="Z443" s="38"/>
      <c r="AA443" s="38"/>
      <c r="AB443" s="38"/>
      <c r="AC443" s="38"/>
      <c r="AD443" s="38"/>
      <c r="AE443" s="38"/>
      <c r="AF443" s="38"/>
    </row>
    <row r="444" spans="25:32">
      <c r="Y444" s="38"/>
      <c r="Z444" s="38"/>
      <c r="AA444" s="38"/>
      <c r="AB444" s="38"/>
      <c r="AC444" s="38"/>
      <c r="AD444" s="38"/>
      <c r="AE444" s="38"/>
      <c r="AF444" s="38"/>
    </row>
    <row r="445" spans="25:32">
      <c r="Y445" s="38"/>
      <c r="Z445" s="38"/>
      <c r="AA445" s="38"/>
      <c r="AB445" s="38"/>
      <c r="AC445" s="38"/>
      <c r="AD445" s="38"/>
      <c r="AE445" s="38"/>
      <c r="AF445" s="38"/>
    </row>
    <row r="446" spans="25:32">
      <c r="Y446" s="38"/>
      <c r="Z446" s="38"/>
      <c r="AA446" s="38"/>
      <c r="AB446" s="38"/>
      <c r="AC446" s="38"/>
      <c r="AD446" s="38"/>
      <c r="AE446" s="38"/>
      <c r="AF446" s="38"/>
    </row>
    <row r="447" spans="25:32">
      <c r="Y447" s="38"/>
      <c r="Z447" s="38"/>
      <c r="AA447" s="38"/>
      <c r="AB447" s="38"/>
      <c r="AC447" s="38"/>
      <c r="AD447" s="38"/>
      <c r="AE447" s="38"/>
      <c r="AF447" s="38"/>
    </row>
    <row r="448" spans="25:32">
      <c r="Y448" s="38"/>
      <c r="Z448" s="38"/>
      <c r="AA448" s="38"/>
      <c r="AB448" s="38"/>
      <c r="AC448" s="38"/>
      <c r="AD448" s="38"/>
      <c r="AE448" s="38"/>
      <c r="AF448" s="38"/>
    </row>
    <row r="449" spans="25:32">
      <c r="Y449" s="38"/>
      <c r="Z449" s="38"/>
      <c r="AA449" s="38"/>
      <c r="AB449" s="38"/>
      <c r="AC449" s="38"/>
      <c r="AD449" s="38"/>
      <c r="AE449" s="38"/>
      <c r="AF449" s="38"/>
    </row>
    <row r="450" spans="25:32">
      <c r="Y450" s="38"/>
      <c r="Z450" s="38"/>
      <c r="AA450" s="38"/>
      <c r="AB450" s="38"/>
      <c r="AC450" s="38"/>
      <c r="AD450" s="38"/>
      <c r="AE450" s="38"/>
      <c r="AF450" s="38"/>
    </row>
    <row r="451" spans="25:32">
      <c r="Y451" s="38"/>
      <c r="Z451" s="38"/>
      <c r="AA451" s="38"/>
      <c r="AB451" s="38"/>
      <c r="AC451" s="38"/>
      <c r="AD451" s="38"/>
      <c r="AE451" s="38"/>
      <c r="AF451" s="38"/>
    </row>
    <row r="452" spans="25:32">
      <c r="Y452" s="38"/>
      <c r="Z452" s="38"/>
      <c r="AA452" s="38"/>
      <c r="AB452" s="38"/>
      <c r="AC452" s="38"/>
      <c r="AD452" s="38"/>
      <c r="AE452" s="38"/>
      <c r="AF452" s="38"/>
    </row>
    <row r="453" spans="25:32">
      <c r="Y453" s="38"/>
      <c r="Z453" s="38"/>
      <c r="AA453" s="38"/>
      <c r="AB453" s="38"/>
      <c r="AC453" s="38"/>
      <c r="AD453" s="38"/>
      <c r="AE453" s="38"/>
      <c r="AF453" s="38"/>
    </row>
    <row r="454" spans="25:32">
      <c r="Y454" s="38"/>
      <c r="Z454" s="38"/>
      <c r="AA454" s="38"/>
      <c r="AB454" s="38"/>
      <c r="AC454" s="38"/>
      <c r="AD454" s="38"/>
      <c r="AE454" s="38"/>
      <c r="AF454" s="38"/>
    </row>
    <row r="455" spans="25:32">
      <c r="Y455" s="38"/>
      <c r="Z455" s="38"/>
      <c r="AA455" s="38"/>
      <c r="AB455" s="38"/>
      <c r="AC455" s="38"/>
      <c r="AD455" s="38"/>
      <c r="AE455" s="38"/>
      <c r="AF455" s="38"/>
    </row>
    <row r="456" spans="25:32">
      <c r="Y456" s="38"/>
      <c r="Z456" s="38"/>
      <c r="AA456" s="38"/>
      <c r="AB456" s="38"/>
      <c r="AC456" s="38"/>
      <c r="AD456" s="38"/>
      <c r="AE456" s="38"/>
      <c r="AF456" s="38"/>
    </row>
    <row r="457" spans="25:32">
      <c r="Y457" s="38"/>
      <c r="Z457" s="38"/>
      <c r="AA457" s="38"/>
      <c r="AB457" s="38"/>
      <c r="AC457" s="38"/>
      <c r="AD457" s="38"/>
      <c r="AE457" s="38"/>
      <c r="AF457" s="38"/>
    </row>
    <row r="458" spans="25:32">
      <c r="Y458" s="38"/>
      <c r="Z458" s="38"/>
      <c r="AA458" s="38"/>
      <c r="AB458" s="38"/>
      <c r="AC458" s="38"/>
      <c r="AD458" s="38"/>
      <c r="AE458" s="38"/>
      <c r="AF458" s="38"/>
    </row>
    <row r="459" spans="25:32">
      <c r="Y459" s="38"/>
      <c r="Z459" s="38"/>
      <c r="AA459" s="38"/>
      <c r="AB459" s="38"/>
      <c r="AC459" s="38"/>
      <c r="AD459" s="38"/>
      <c r="AE459" s="38"/>
      <c r="AF459" s="38"/>
    </row>
    <row r="460" spans="25:32">
      <c r="Y460" s="38"/>
      <c r="Z460" s="38"/>
      <c r="AA460" s="38"/>
      <c r="AB460" s="38"/>
      <c r="AC460" s="38"/>
      <c r="AD460" s="38"/>
      <c r="AE460" s="38"/>
      <c r="AF460" s="38"/>
    </row>
    <row r="461" spans="25:32">
      <c r="Y461" s="38"/>
      <c r="Z461" s="38"/>
      <c r="AA461" s="38"/>
      <c r="AB461" s="38"/>
      <c r="AC461" s="38"/>
      <c r="AD461" s="38"/>
      <c r="AE461" s="38"/>
      <c r="AF461" s="38"/>
    </row>
    <row r="462" spans="25:32">
      <c r="Y462" s="38"/>
      <c r="Z462" s="38"/>
      <c r="AA462" s="38"/>
      <c r="AB462" s="38"/>
      <c r="AC462" s="38"/>
      <c r="AD462" s="38"/>
      <c r="AE462" s="38"/>
      <c r="AF462" s="38"/>
    </row>
    <row r="463" spans="25:32">
      <c r="Y463" s="38"/>
      <c r="Z463" s="38"/>
      <c r="AA463" s="38"/>
      <c r="AB463" s="38"/>
      <c r="AC463" s="38"/>
      <c r="AD463" s="38"/>
      <c r="AE463" s="38"/>
      <c r="AF463" s="38"/>
    </row>
    <row r="464" spans="25:32">
      <c r="Y464" s="38"/>
      <c r="Z464" s="38"/>
      <c r="AA464" s="38"/>
      <c r="AB464" s="38"/>
      <c r="AC464" s="38"/>
      <c r="AD464" s="38"/>
      <c r="AE464" s="38"/>
      <c r="AF464" s="38"/>
    </row>
    <row r="465" spans="25:32">
      <c r="Y465" s="38"/>
      <c r="Z465" s="38"/>
      <c r="AA465" s="38"/>
      <c r="AB465" s="38"/>
      <c r="AC465" s="38"/>
      <c r="AD465" s="38"/>
      <c r="AE465" s="38"/>
      <c r="AF465" s="38"/>
    </row>
    <row r="466" spans="25:32">
      <c r="Y466" s="38"/>
      <c r="Z466" s="38"/>
      <c r="AA466" s="38"/>
      <c r="AB466" s="38"/>
      <c r="AC466" s="38"/>
      <c r="AD466" s="38"/>
      <c r="AE466" s="38"/>
      <c r="AF466" s="38"/>
    </row>
    <row r="467" spans="25:32">
      <c r="Y467" s="38"/>
      <c r="Z467" s="38"/>
      <c r="AA467" s="38"/>
      <c r="AB467" s="38"/>
      <c r="AC467" s="38"/>
      <c r="AD467" s="38"/>
      <c r="AE467" s="38"/>
      <c r="AF467" s="38"/>
    </row>
    <row r="468" spans="25:32">
      <c r="Y468" s="38"/>
      <c r="Z468" s="38"/>
      <c r="AA468" s="38"/>
      <c r="AB468" s="38"/>
      <c r="AC468" s="38"/>
      <c r="AD468" s="38"/>
      <c r="AE468" s="38"/>
      <c r="AF468" s="38"/>
    </row>
    <row r="469" spans="25:32">
      <c r="Y469" s="38"/>
      <c r="Z469" s="38"/>
      <c r="AA469" s="38"/>
      <c r="AB469" s="38"/>
      <c r="AC469" s="38"/>
      <c r="AD469" s="38"/>
      <c r="AE469" s="38"/>
      <c r="AF469" s="38"/>
    </row>
    <row r="470" spans="25:32">
      <c r="Y470" s="38"/>
      <c r="Z470" s="38"/>
      <c r="AA470" s="38"/>
      <c r="AB470" s="38"/>
      <c r="AC470" s="38"/>
      <c r="AD470" s="38"/>
      <c r="AE470" s="38"/>
      <c r="AF470" s="38"/>
    </row>
    <row r="471" spans="25:32">
      <c r="Y471" s="38"/>
      <c r="Z471" s="38"/>
      <c r="AA471" s="38"/>
      <c r="AB471" s="38"/>
      <c r="AC471" s="38"/>
      <c r="AD471" s="38"/>
      <c r="AE471" s="38"/>
      <c r="AF471" s="38"/>
    </row>
    <row r="472" spans="25:32">
      <c r="Y472" s="38"/>
      <c r="Z472" s="38"/>
      <c r="AA472" s="38"/>
      <c r="AB472" s="38"/>
      <c r="AC472" s="38"/>
      <c r="AD472" s="38"/>
      <c r="AE472" s="38"/>
      <c r="AF472" s="38"/>
    </row>
    <row r="473" spans="25:32">
      <c r="Y473" s="38"/>
      <c r="Z473" s="38"/>
      <c r="AA473" s="38"/>
      <c r="AB473" s="38"/>
      <c r="AC473" s="38"/>
      <c r="AD473" s="38"/>
      <c r="AE473" s="38"/>
      <c r="AF473" s="38"/>
    </row>
    <row r="474" spans="25:32">
      <c r="Y474" s="38"/>
      <c r="Z474" s="38"/>
      <c r="AA474" s="38"/>
      <c r="AB474" s="38"/>
      <c r="AC474" s="38"/>
      <c r="AD474" s="38"/>
      <c r="AE474" s="38"/>
      <c r="AF474" s="38"/>
    </row>
    <row r="475" spans="25:32">
      <c r="Y475" s="38"/>
      <c r="Z475" s="38"/>
      <c r="AA475" s="38"/>
      <c r="AB475" s="38"/>
      <c r="AC475" s="38"/>
      <c r="AD475" s="38"/>
      <c r="AE475" s="38"/>
      <c r="AF475" s="38"/>
    </row>
    <row r="476" spans="25:32">
      <c r="Y476" s="38"/>
      <c r="Z476" s="38"/>
      <c r="AA476" s="38"/>
      <c r="AB476" s="38"/>
      <c r="AC476" s="38"/>
      <c r="AD476" s="38"/>
      <c r="AE476" s="38"/>
      <c r="AF476" s="38"/>
    </row>
    <row r="477" spans="25:32">
      <c r="Y477" s="38"/>
      <c r="Z477" s="38"/>
      <c r="AA477" s="38"/>
      <c r="AB477" s="38"/>
      <c r="AC477" s="38"/>
      <c r="AD477" s="38"/>
      <c r="AE477" s="38"/>
      <c r="AF477" s="38"/>
    </row>
    <row r="478" spans="25:32">
      <c r="Y478" s="38"/>
      <c r="Z478" s="38"/>
      <c r="AA478" s="38"/>
      <c r="AB478" s="38"/>
      <c r="AC478" s="38"/>
      <c r="AD478" s="38"/>
      <c r="AE478" s="38"/>
      <c r="AF478" s="38"/>
    </row>
    <row r="479" spans="25:32">
      <c r="Y479" s="38"/>
      <c r="Z479" s="38"/>
      <c r="AA479" s="38"/>
      <c r="AB479" s="38"/>
      <c r="AC479" s="38"/>
      <c r="AD479" s="38"/>
      <c r="AE479" s="38"/>
      <c r="AF479" s="38"/>
    </row>
    <row r="480" spans="25:32">
      <c r="Y480" s="38"/>
      <c r="Z480" s="38"/>
      <c r="AA480" s="38"/>
      <c r="AB480" s="38"/>
      <c r="AC480" s="38"/>
      <c r="AD480" s="38"/>
      <c r="AE480" s="38"/>
      <c r="AF480" s="38"/>
    </row>
    <row r="481" spans="25:32">
      <c r="Y481" s="38"/>
      <c r="Z481" s="38"/>
      <c r="AA481" s="38"/>
      <c r="AB481" s="38"/>
      <c r="AC481" s="38"/>
      <c r="AD481" s="38"/>
      <c r="AE481" s="38"/>
      <c r="AF481" s="38"/>
    </row>
    <row r="482" spans="25:32">
      <c r="Y482" s="38"/>
      <c r="Z482" s="38"/>
      <c r="AA482" s="38"/>
      <c r="AB482" s="38"/>
      <c r="AC482" s="38"/>
      <c r="AD482" s="38"/>
      <c r="AE482" s="38"/>
      <c r="AF482" s="38"/>
    </row>
    <row r="483" spans="25:32">
      <c r="Y483" s="38"/>
      <c r="Z483" s="38"/>
      <c r="AA483" s="38"/>
      <c r="AB483" s="38"/>
      <c r="AC483" s="38"/>
      <c r="AD483" s="38"/>
      <c r="AE483" s="38"/>
      <c r="AF483" s="38"/>
    </row>
    <row r="484" spans="25:32">
      <c r="Y484" s="38"/>
      <c r="Z484" s="38"/>
      <c r="AA484" s="38"/>
      <c r="AB484" s="38"/>
      <c r="AC484" s="38"/>
      <c r="AD484" s="38"/>
      <c r="AE484" s="38"/>
      <c r="AF484" s="38"/>
    </row>
    <row r="485" spans="25:32">
      <c r="Y485" s="38"/>
      <c r="Z485" s="38"/>
      <c r="AA485" s="38"/>
      <c r="AB485" s="38"/>
      <c r="AC485" s="38"/>
      <c r="AD485" s="38"/>
      <c r="AE485" s="38"/>
      <c r="AF485" s="38"/>
    </row>
    <row r="486" spans="25:32">
      <c r="Y486" s="38"/>
      <c r="Z486" s="38"/>
      <c r="AA486" s="38"/>
      <c r="AB486" s="38"/>
      <c r="AC486" s="38"/>
      <c r="AD486" s="38"/>
      <c r="AE486" s="38"/>
      <c r="AF486" s="38"/>
    </row>
    <row r="487" spans="25:32">
      <c r="Y487" s="38"/>
      <c r="Z487" s="38"/>
      <c r="AA487" s="38"/>
      <c r="AB487" s="38"/>
      <c r="AC487" s="38"/>
      <c r="AD487" s="38"/>
      <c r="AE487" s="38"/>
      <c r="AF487" s="38"/>
    </row>
    <row r="488" spans="25:32">
      <c r="Y488" s="38"/>
      <c r="Z488" s="38"/>
      <c r="AA488" s="38"/>
      <c r="AB488" s="38"/>
      <c r="AC488" s="38"/>
      <c r="AD488" s="38"/>
      <c r="AE488" s="38"/>
      <c r="AF488" s="38"/>
    </row>
    <row r="489" spans="25:32">
      <c r="Y489" s="38"/>
      <c r="Z489" s="38"/>
      <c r="AA489" s="38"/>
      <c r="AB489" s="38"/>
      <c r="AC489" s="38"/>
      <c r="AD489" s="38"/>
      <c r="AE489" s="38"/>
      <c r="AF489" s="38"/>
    </row>
    <row r="490" spans="25:32">
      <c r="Y490" s="38"/>
      <c r="Z490" s="38"/>
      <c r="AA490" s="38"/>
      <c r="AB490" s="38"/>
      <c r="AC490" s="38"/>
      <c r="AD490" s="38"/>
      <c r="AE490" s="38"/>
      <c r="AF490" s="38"/>
    </row>
    <row r="491" spans="25:32">
      <c r="Y491" s="38"/>
      <c r="Z491" s="38"/>
      <c r="AA491" s="38"/>
      <c r="AB491" s="38"/>
      <c r="AC491" s="38"/>
      <c r="AD491" s="38"/>
      <c r="AE491" s="38"/>
      <c r="AF491" s="38"/>
    </row>
    <row r="492" spans="25:32">
      <c r="Y492" s="38"/>
      <c r="Z492" s="38"/>
      <c r="AA492" s="38"/>
      <c r="AB492" s="38"/>
      <c r="AC492" s="38"/>
      <c r="AD492" s="38"/>
      <c r="AE492" s="38"/>
      <c r="AF492" s="38"/>
    </row>
    <row r="493" spans="25:32">
      <c r="Y493" s="38"/>
      <c r="Z493" s="38"/>
      <c r="AA493" s="38"/>
      <c r="AB493" s="38"/>
      <c r="AC493" s="38"/>
      <c r="AD493" s="38"/>
      <c r="AE493" s="38"/>
      <c r="AF493" s="38"/>
    </row>
    <row r="494" spans="25:32">
      <c r="Y494" s="38"/>
      <c r="Z494" s="38"/>
      <c r="AA494" s="38"/>
      <c r="AB494" s="38"/>
      <c r="AC494" s="38"/>
      <c r="AD494" s="38"/>
      <c r="AE494" s="38"/>
      <c r="AF494" s="38"/>
    </row>
    <row r="495" spans="25:32">
      <c r="Y495" s="38"/>
      <c r="Z495" s="38"/>
      <c r="AA495" s="38"/>
      <c r="AB495" s="38"/>
      <c r="AC495" s="38"/>
      <c r="AD495" s="38"/>
      <c r="AE495" s="38"/>
      <c r="AF495" s="38"/>
    </row>
    <row r="496" spans="25:32">
      <c r="Y496" s="38"/>
      <c r="Z496" s="38"/>
      <c r="AA496" s="38"/>
      <c r="AB496" s="38"/>
      <c r="AC496" s="38"/>
      <c r="AD496" s="38"/>
      <c r="AE496" s="38"/>
      <c r="AF496" s="38"/>
    </row>
    <row r="497" spans="25:32">
      <c r="Y497" s="38"/>
      <c r="Z497" s="38"/>
      <c r="AA497" s="38"/>
      <c r="AB497" s="38"/>
      <c r="AC497" s="38"/>
      <c r="AD497" s="38"/>
      <c r="AE497" s="38"/>
      <c r="AF497" s="38"/>
    </row>
    <row r="498" spans="25:32">
      <c r="Y498" s="38"/>
      <c r="Z498" s="38"/>
      <c r="AA498" s="38"/>
      <c r="AB498" s="38"/>
      <c r="AC498" s="38"/>
      <c r="AD498" s="38"/>
      <c r="AE498" s="38"/>
      <c r="AF498" s="38"/>
    </row>
    <row r="499" spans="25:32">
      <c r="Y499" s="38"/>
      <c r="Z499" s="38"/>
      <c r="AA499" s="38"/>
      <c r="AB499" s="38"/>
      <c r="AC499" s="38"/>
      <c r="AD499" s="38"/>
      <c r="AE499" s="38"/>
      <c r="AF499" s="38"/>
    </row>
    <row r="500" spans="25:32">
      <c r="Y500" s="38"/>
      <c r="Z500" s="38"/>
      <c r="AA500" s="38"/>
      <c r="AB500" s="38"/>
      <c r="AC500" s="38"/>
      <c r="AD500" s="38"/>
      <c r="AE500" s="38"/>
      <c r="AF500" s="38"/>
    </row>
    <row r="501" spans="25:32">
      <c r="Y501" s="38"/>
      <c r="Z501" s="38"/>
      <c r="AA501" s="38"/>
      <c r="AB501" s="38"/>
      <c r="AC501" s="38"/>
      <c r="AD501" s="38"/>
      <c r="AE501" s="38"/>
      <c r="AF501" s="38"/>
    </row>
    <row r="502" spans="25:32">
      <c r="Y502" s="38"/>
      <c r="Z502" s="38"/>
      <c r="AA502" s="38"/>
      <c r="AB502" s="38"/>
      <c r="AC502" s="38"/>
      <c r="AD502" s="38"/>
      <c r="AE502" s="38"/>
      <c r="AF502" s="38"/>
    </row>
    <row r="503" spans="25:32">
      <c r="Y503" s="38"/>
      <c r="Z503" s="38"/>
      <c r="AA503" s="38"/>
      <c r="AB503" s="38"/>
      <c r="AC503" s="38"/>
      <c r="AD503" s="38"/>
      <c r="AE503" s="38"/>
      <c r="AF503" s="38"/>
    </row>
    <row r="504" spans="25:32">
      <c r="Y504" s="38"/>
      <c r="Z504" s="38"/>
      <c r="AA504" s="38"/>
      <c r="AB504" s="38"/>
      <c r="AC504" s="38"/>
      <c r="AD504" s="38"/>
      <c r="AE504" s="38"/>
      <c r="AF504" s="38"/>
    </row>
    <row r="505" spans="25:32">
      <c r="Y505" s="38"/>
      <c r="Z505" s="38"/>
      <c r="AA505" s="38"/>
      <c r="AB505" s="38"/>
      <c r="AC505" s="38"/>
      <c r="AD505" s="38"/>
      <c r="AE505" s="38"/>
      <c r="AF505" s="38"/>
    </row>
    <row r="506" spans="25:32">
      <c r="Y506" s="38"/>
      <c r="Z506" s="38"/>
      <c r="AA506" s="38"/>
      <c r="AB506" s="38"/>
      <c r="AC506" s="38"/>
      <c r="AD506" s="38"/>
      <c r="AE506" s="38"/>
      <c r="AF506" s="38"/>
    </row>
    <row r="507" spans="25:32">
      <c r="Y507" s="38"/>
      <c r="Z507" s="38"/>
      <c r="AA507" s="38"/>
      <c r="AB507" s="38"/>
      <c r="AC507" s="38"/>
      <c r="AD507" s="38"/>
      <c r="AE507" s="38"/>
      <c r="AF507" s="38"/>
    </row>
    <row r="508" spans="25:32">
      <c r="Y508" s="38"/>
      <c r="Z508" s="38"/>
      <c r="AA508" s="38"/>
      <c r="AB508" s="38"/>
      <c r="AC508" s="38"/>
      <c r="AD508" s="38"/>
      <c r="AE508" s="38"/>
      <c r="AF508" s="38"/>
    </row>
    <row r="509" spans="25:32">
      <c r="Y509" s="38"/>
      <c r="Z509" s="38"/>
      <c r="AA509" s="38"/>
      <c r="AB509" s="38"/>
      <c r="AC509" s="38"/>
      <c r="AD509" s="38"/>
      <c r="AE509" s="38"/>
      <c r="AF509" s="38"/>
    </row>
    <row r="510" spans="25:32">
      <c r="Y510" s="38"/>
      <c r="Z510" s="38"/>
      <c r="AA510" s="38"/>
      <c r="AB510" s="38"/>
      <c r="AC510" s="38"/>
      <c r="AD510" s="38"/>
      <c r="AE510" s="38"/>
      <c r="AF510" s="38"/>
    </row>
    <row r="511" spans="25:32">
      <c r="Y511" s="38"/>
      <c r="Z511" s="38"/>
      <c r="AA511" s="38"/>
      <c r="AB511" s="38"/>
      <c r="AC511" s="38"/>
      <c r="AD511" s="38"/>
      <c r="AE511" s="38"/>
      <c r="AF511" s="38"/>
    </row>
    <row r="512" spans="25:32">
      <c r="Y512" s="38"/>
      <c r="Z512" s="38"/>
      <c r="AA512" s="38"/>
      <c r="AB512" s="38"/>
      <c r="AC512" s="38"/>
      <c r="AD512" s="38"/>
      <c r="AE512" s="38"/>
      <c r="AF512" s="38"/>
    </row>
    <row r="513" spans="25:32">
      <c r="Y513" s="38"/>
      <c r="Z513" s="38"/>
      <c r="AA513" s="38"/>
      <c r="AB513" s="38"/>
      <c r="AC513" s="38"/>
      <c r="AD513" s="38"/>
      <c r="AE513" s="38"/>
      <c r="AF513" s="38"/>
    </row>
    <row r="514" spans="25:32">
      <c r="Y514" s="38"/>
      <c r="Z514" s="38"/>
      <c r="AA514" s="38"/>
      <c r="AB514" s="38"/>
      <c r="AC514" s="38"/>
      <c r="AD514" s="38"/>
      <c r="AE514" s="38"/>
      <c r="AF514" s="38"/>
    </row>
    <row r="515" spans="25:32">
      <c r="Y515" s="38"/>
      <c r="Z515" s="38"/>
      <c r="AA515" s="38"/>
      <c r="AB515" s="38"/>
      <c r="AC515" s="38"/>
      <c r="AD515" s="38"/>
      <c r="AE515" s="38"/>
      <c r="AF515" s="38"/>
    </row>
    <row r="516" spans="25:32">
      <c r="Y516" s="38"/>
      <c r="Z516" s="38"/>
      <c r="AA516" s="38"/>
      <c r="AB516" s="38"/>
      <c r="AC516" s="38"/>
      <c r="AD516" s="38"/>
      <c r="AE516" s="38"/>
      <c r="AF516" s="38"/>
    </row>
    <row r="517" spans="25:32">
      <c r="Y517" s="38"/>
      <c r="Z517" s="38"/>
      <c r="AA517" s="38"/>
      <c r="AB517" s="38"/>
      <c r="AC517" s="38"/>
      <c r="AD517" s="38"/>
      <c r="AE517" s="38"/>
      <c r="AF517" s="38"/>
    </row>
    <row r="518" spans="25:32">
      <c r="Y518" s="38"/>
      <c r="Z518" s="38"/>
      <c r="AA518" s="38"/>
      <c r="AB518" s="38"/>
      <c r="AC518" s="38"/>
      <c r="AD518" s="38"/>
      <c r="AE518" s="38"/>
      <c r="AF518" s="38"/>
    </row>
    <row r="519" spans="25:32">
      <c r="Y519" s="38"/>
      <c r="Z519" s="38"/>
      <c r="AA519" s="38"/>
      <c r="AB519" s="38"/>
      <c r="AC519" s="38"/>
      <c r="AD519" s="38"/>
      <c r="AE519" s="38"/>
      <c r="AF519" s="38"/>
    </row>
    <row r="520" spans="25:32">
      <c r="Y520" s="38"/>
      <c r="Z520" s="38"/>
      <c r="AA520" s="38"/>
      <c r="AB520" s="38"/>
      <c r="AC520" s="38"/>
      <c r="AD520" s="38"/>
      <c r="AE520" s="38"/>
      <c r="AF520" s="38"/>
    </row>
    <row r="521" spans="25:32">
      <c r="Y521" s="38"/>
      <c r="Z521" s="38"/>
      <c r="AA521" s="38"/>
      <c r="AB521" s="38"/>
      <c r="AC521" s="38"/>
      <c r="AD521" s="38"/>
      <c r="AE521" s="38"/>
      <c r="AF521" s="38"/>
    </row>
    <row r="522" spans="25:32">
      <c r="Y522" s="38"/>
      <c r="Z522" s="38"/>
      <c r="AA522" s="38"/>
      <c r="AB522" s="38"/>
      <c r="AC522" s="38"/>
      <c r="AD522" s="38"/>
      <c r="AE522" s="38"/>
      <c r="AF522" s="38"/>
    </row>
    <row r="523" spans="25:32">
      <c r="Y523" s="38"/>
      <c r="Z523" s="38"/>
      <c r="AA523" s="38"/>
      <c r="AB523" s="38"/>
      <c r="AC523" s="38"/>
      <c r="AD523" s="38"/>
      <c r="AE523" s="38"/>
      <c r="AF523" s="38"/>
    </row>
    <row r="524" spans="25:32">
      <c r="Y524" s="38"/>
      <c r="Z524" s="38"/>
      <c r="AA524" s="38"/>
      <c r="AB524" s="38"/>
      <c r="AC524" s="38"/>
      <c r="AD524" s="38"/>
      <c r="AE524" s="38"/>
      <c r="AF524" s="38"/>
    </row>
    <row r="525" spans="25:32">
      <c r="Y525" s="38"/>
      <c r="Z525" s="38"/>
      <c r="AA525" s="38"/>
      <c r="AB525" s="38"/>
      <c r="AC525" s="38"/>
      <c r="AD525" s="38"/>
      <c r="AE525" s="38"/>
      <c r="AF525" s="38"/>
    </row>
    <row r="526" spans="25:32">
      <c r="Y526" s="38"/>
      <c r="Z526" s="38"/>
      <c r="AA526" s="38"/>
      <c r="AB526" s="38"/>
      <c r="AC526" s="38"/>
      <c r="AD526" s="38"/>
      <c r="AE526" s="38"/>
      <c r="AF526" s="38"/>
    </row>
    <row r="527" spans="25:32">
      <c r="Y527" s="38"/>
      <c r="Z527" s="38"/>
      <c r="AA527" s="38"/>
      <c r="AB527" s="38"/>
      <c r="AC527" s="38"/>
      <c r="AD527" s="38"/>
      <c r="AE527" s="38"/>
      <c r="AF527" s="38"/>
    </row>
    <row r="528" spans="25:32">
      <c r="Y528" s="38"/>
      <c r="Z528" s="38"/>
      <c r="AA528" s="38"/>
      <c r="AB528" s="38"/>
      <c r="AC528" s="38"/>
      <c r="AD528" s="38"/>
      <c r="AE528" s="38"/>
      <c r="AF528" s="38"/>
    </row>
    <row r="529" spans="25:32">
      <c r="Y529" s="38"/>
      <c r="Z529" s="38"/>
      <c r="AA529" s="38"/>
      <c r="AB529" s="38"/>
      <c r="AC529" s="38"/>
      <c r="AD529" s="38"/>
      <c r="AE529" s="38"/>
      <c r="AF529" s="38"/>
    </row>
    <row r="530" spans="25:32">
      <c r="Y530" s="38"/>
      <c r="Z530" s="38"/>
      <c r="AA530" s="38"/>
      <c r="AB530" s="38"/>
      <c r="AC530" s="38"/>
      <c r="AD530" s="38"/>
      <c r="AE530" s="38"/>
      <c r="AF530" s="38"/>
    </row>
    <row r="531" spans="25:32">
      <c r="Y531" s="38"/>
      <c r="Z531" s="38"/>
      <c r="AA531" s="38"/>
      <c r="AB531" s="38"/>
      <c r="AC531" s="38"/>
      <c r="AD531" s="38"/>
      <c r="AE531" s="38"/>
      <c r="AF531" s="38"/>
    </row>
    <row r="532" spans="25:32">
      <c r="Y532" s="38"/>
      <c r="Z532" s="38"/>
      <c r="AA532" s="38"/>
      <c r="AB532" s="38"/>
      <c r="AC532" s="38"/>
      <c r="AD532" s="38"/>
      <c r="AE532" s="38"/>
      <c r="AF532" s="38"/>
    </row>
    <row r="533" spans="25:32">
      <c r="Y533" s="38"/>
      <c r="Z533" s="38"/>
      <c r="AA533" s="38"/>
      <c r="AB533" s="38"/>
      <c r="AC533" s="38"/>
      <c r="AD533" s="38"/>
      <c r="AE533" s="38"/>
      <c r="AF533" s="38"/>
    </row>
    <row r="534" spans="25:32">
      <c r="Y534" s="38"/>
      <c r="Z534" s="38"/>
      <c r="AA534" s="38"/>
      <c r="AB534" s="38"/>
      <c r="AC534" s="38"/>
      <c r="AD534" s="38"/>
      <c r="AE534" s="38"/>
      <c r="AF534" s="38"/>
    </row>
    <row r="535" spans="25:32">
      <c r="Y535" s="38"/>
      <c r="Z535" s="38"/>
      <c r="AA535" s="38"/>
      <c r="AB535" s="38"/>
      <c r="AC535" s="38"/>
      <c r="AD535" s="38"/>
      <c r="AE535" s="38"/>
      <c r="AF535" s="38"/>
    </row>
    <row r="536" spans="25:32">
      <c r="Y536" s="38"/>
      <c r="Z536" s="38"/>
      <c r="AA536" s="38"/>
      <c r="AB536" s="38"/>
      <c r="AC536" s="38"/>
      <c r="AD536" s="38"/>
      <c r="AE536" s="38"/>
      <c r="AF536" s="38"/>
    </row>
    <row r="537" spans="25:32">
      <c r="Y537" s="38"/>
      <c r="Z537" s="38"/>
      <c r="AA537" s="38"/>
      <c r="AB537" s="38"/>
      <c r="AC537" s="38"/>
      <c r="AD537" s="38"/>
      <c r="AE537" s="38"/>
      <c r="AF537" s="38"/>
    </row>
    <row r="538" spans="25:32">
      <c r="Y538" s="38"/>
      <c r="Z538" s="38"/>
      <c r="AA538" s="38"/>
      <c r="AB538" s="38"/>
      <c r="AC538" s="38"/>
      <c r="AD538" s="38"/>
      <c r="AE538" s="38"/>
      <c r="AF538" s="38"/>
    </row>
    <row r="539" spans="25:32">
      <c r="Y539" s="38"/>
      <c r="Z539" s="38"/>
      <c r="AA539" s="38"/>
      <c r="AB539" s="38"/>
      <c r="AC539" s="38"/>
      <c r="AD539" s="38"/>
      <c r="AE539" s="38"/>
      <c r="AF539" s="38"/>
    </row>
    <row r="540" spans="25:32">
      <c r="Y540" s="38"/>
      <c r="Z540" s="38"/>
      <c r="AA540" s="38"/>
      <c r="AB540" s="38"/>
      <c r="AC540" s="38"/>
      <c r="AD540" s="38"/>
      <c r="AE540" s="38"/>
      <c r="AF540" s="38"/>
    </row>
    <row r="541" spans="25:32">
      <c r="Y541" s="38"/>
      <c r="Z541" s="38"/>
      <c r="AA541" s="38"/>
      <c r="AB541" s="38"/>
      <c r="AC541" s="38"/>
      <c r="AD541" s="38"/>
      <c r="AE541" s="38"/>
      <c r="AF541" s="38"/>
    </row>
    <row r="542" spans="25:32">
      <c r="Y542" s="38"/>
      <c r="Z542" s="38"/>
      <c r="AA542" s="38"/>
      <c r="AB542" s="38"/>
      <c r="AC542" s="38"/>
      <c r="AD542" s="38"/>
      <c r="AE542" s="38"/>
      <c r="AF542" s="38"/>
    </row>
    <row r="543" spans="25:32">
      <c r="Y543" s="38"/>
      <c r="Z543" s="38"/>
      <c r="AA543" s="38"/>
      <c r="AB543" s="38"/>
      <c r="AC543" s="38"/>
      <c r="AD543" s="38"/>
      <c r="AE543" s="38"/>
      <c r="AF543" s="38"/>
    </row>
    <row r="544" spans="25:32">
      <c r="Y544" s="38"/>
      <c r="Z544" s="38"/>
      <c r="AA544" s="38"/>
      <c r="AB544" s="38"/>
      <c r="AC544" s="38"/>
      <c r="AD544" s="38"/>
      <c r="AE544" s="38"/>
      <c r="AF544" s="38"/>
    </row>
    <row r="545" spans="25:32">
      <c r="Y545" s="38"/>
      <c r="Z545" s="38"/>
      <c r="AA545" s="38"/>
      <c r="AB545" s="38"/>
      <c r="AC545" s="38"/>
      <c r="AD545" s="38"/>
      <c r="AE545" s="38"/>
      <c r="AF545" s="38"/>
    </row>
    <row r="546" spans="25:32">
      <c r="Y546" s="38"/>
      <c r="Z546" s="38"/>
      <c r="AA546" s="38"/>
      <c r="AB546" s="38"/>
      <c r="AC546" s="38"/>
      <c r="AD546" s="38"/>
      <c r="AE546" s="38"/>
      <c r="AF546" s="38"/>
    </row>
    <row r="547" spans="25:32">
      <c r="Y547" s="38"/>
      <c r="Z547" s="38"/>
      <c r="AA547" s="38"/>
      <c r="AB547" s="38"/>
      <c r="AC547" s="38"/>
      <c r="AD547" s="38"/>
      <c r="AE547" s="38"/>
      <c r="AF547" s="38"/>
    </row>
    <row r="548" spans="25:32">
      <c r="Y548" s="38"/>
      <c r="Z548" s="38"/>
      <c r="AA548" s="38"/>
      <c r="AB548" s="38"/>
      <c r="AC548" s="38"/>
      <c r="AD548" s="38"/>
      <c r="AE548" s="38"/>
      <c r="AF548" s="38"/>
    </row>
    <row r="549" spans="25:32">
      <c r="Y549" s="38"/>
      <c r="Z549" s="38"/>
      <c r="AA549" s="38"/>
      <c r="AB549" s="38"/>
      <c r="AC549" s="38"/>
      <c r="AD549" s="38"/>
      <c r="AE549" s="38"/>
      <c r="AF549" s="38"/>
    </row>
    <row r="550" spans="25:32">
      <c r="Y550" s="38"/>
      <c r="Z550" s="38"/>
      <c r="AA550" s="38"/>
      <c r="AB550" s="38"/>
      <c r="AC550" s="38"/>
      <c r="AD550" s="38"/>
      <c r="AE550" s="38"/>
      <c r="AF550" s="38"/>
    </row>
    <row r="551" spans="25:32">
      <c r="Y551" s="38"/>
      <c r="Z551" s="38"/>
      <c r="AA551" s="38"/>
      <c r="AB551" s="38"/>
      <c r="AC551" s="38"/>
      <c r="AD551" s="38"/>
      <c r="AE551" s="38"/>
      <c r="AF551" s="38"/>
    </row>
    <row r="552" spans="25:32">
      <c r="Y552" s="38"/>
      <c r="Z552" s="38"/>
      <c r="AA552" s="38"/>
      <c r="AB552" s="38"/>
      <c r="AC552" s="38"/>
      <c r="AD552" s="38"/>
      <c r="AE552" s="38"/>
      <c r="AF552" s="38"/>
    </row>
    <row r="553" spans="25:32">
      <c r="Y553" s="38"/>
      <c r="Z553" s="38"/>
      <c r="AA553" s="38"/>
      <c r="AB553" s="38"/>
      <c r="AC553" s="38"/>
      <c r="AD553" s="38"/>
      <c r="AE553" s="38"/>
      <c r="AF553" s="38"/>
    </row>
    <row r="554" spans="25:32">
      <c r="Y554" s="38"/>
      <c r="Z554" s="38"/>
      <c r="AA554" s="38"/>
      <c r="AB554" s="38"/>
      <c r="AC554" s="38"/>
      <c r="AD554" s="38"/>
      <c r="AE554" s="38"/>
      <c r="AF554" s="38"/>
    </row>
    <row r="555" spans="25:32">
      <c r="Y555" s="38"/>
      <c r="Z555" s="38"/>
      <c r="AA555" s="38"/>
      <c r="AB555" s="38"/>
      <c r="AC555" s="38"/>
      <c r="AD555" s="38"/>
      <c r="AE555" s="38"/>
      <c r="AF555" s="38"/>
    </row>
    <row r="556" spans="25:32">
      <c r="Y556" s="38"/>
      <c r="Z556" s="38"/>
      <c r="AA556" s="38"/>
      <c r="AB556" s="38"/>
      <c r="AC556" s="38"/>
      <c r="AD556" s="38"/>
      <c r="AE556" s="38"/>
      <c r="AF556" s="38"/>
    </row>
    <row r="557" spans="25:32">
      <c r="Y557" s="38"/>
      <c r="Z557" s="38"/>
      <c r="AA557" s="38"/>
      <c r="AB557" s="38"/>
      <c r="AC557" s="38"/>
      <c r="AD557" s="38"/>
      <c r="AE557" s="38"/>
      <c r="AF557" s="38"/>
    </row>
    <row r="558" spans="25:32">
      <c r="Y558" s="38"/>
      <c r="Z558" s="38"/>
      <c r="AA558" s="38"/>
      <c r="AB558" s="38"/>
      <c r="AC558" s="38"/>
      <c r="AD558" s="38"/>
      <c r="AE558" s="38"/>
      <c r="AF558" s="38"/>
    </row>
    <row r="559" spans="25:32">
      <c r="Y559" s="38"/>
      <c r="Z559" s="38"/>
      <c r="AA559" s="38"/>
      <c r="AB559" s="38"/>
      <c r="AC559" s="38"/>
      <c r="AD559" s="38"/>
      <c r="AE559" s="38"/>
      <c r="AF559" s="38"/>
    </row>
    <row r="560" spans="25:32">
      <c r="Y560" s="38"/>
      <c r="Z560" s="38"/>
      <c r="AA560" s="38"/>
      <c r="AB560" s="38"/>
      <c r="AC560" s="38"/>
      <c r="AD560" s="38"/>
      <c r="AE560" s="38"/>
      <c r="AF560" s="38"/>
    </row>
    <row r="561" spans="25:32">
      <c r="Y561" s="38"/>
      <c r="Z561" s="38"/>
      <c r="AA561" s="38"/>
      <c r="AB561" s="38"/>
      <c r="AC561" s="38"/>
      <c r="AD561" s="38"/>
      <c r="AE561" s="38"/>
      <c r="AF561" s="38"/>
    </row>
    <row r="562" spans="25:32">
      <c r="Y562" s="38"/>
      <c r="Z562" s="38"/>
      <c r="AA562" s="38"/>
      <c r="AB562" s="38"/>
      <c r="AC562" s="38"/>
      <c r="AD562" s="38"/>
      <c r="AE562" s="38"/>
      <c r="AF562" s="38"/>
    </row>
    <row r="563" spans="25:32">
      <c r="Y563" s="38"/>
      <c r="Z563" s="38"/>
      <c r="AA563" s="38"/>
      <c r="AB563" s="38"/>
      <c r="AC563" s="38"/>
      <c r="AD563" s="38"/>
      <c r="AE563" s="38"/>
      <c r="AF563" s="38"/>
    </row>
    <row r="564" spans="25:32">
      <c r="Y564" s="38"/>
      <c r="Z564" s="38"/>
      <c r="AA564" s="38"/>
      <c r="AB564" s="38"/>
      <c r="AC564" s="38"/>
      <c r="AD564" s="38"/>
      <c r="AE564" s="38"/>
      <c r="AF564" s="38"/>
    </row>
    <row r="565" spans="25:32">
      <c r="Y565" s="38"/>
      <c r="Z565" s="38"/>
      <c r="AA565" s="38"/>
      <c r="AB565" s="38"/>
      <c r="AC565" s="38"/>
      <c r="AD565" s="38"/>
      <c r="AE565" s="38"/>
      <c r="AF565" s="38"/>
    </row>
    <row r="566" spans="25:32">
      <c r="Y566" s="38"/>
      <c r="Z566" s="38"/>
      <c r="AA566" s="38"/>
      <c r="AB566" s="38"/>
      <c r="AC566" s="38"/>
      <c r="AD566" s="38"/>
      <c r="AE566" s="38"/>
      <c r="AF566" s="38"/>
    </row>
    <row r="567" spans="25:32">
      <c r="Y567" s="38"/>
      <c r="Z567" s="38"/>
      <c r="AA567" s="38"/>
      <c r="AB567" s="38"/>
      <c r="AC567" s="38"/>
      <c r="AD567" s="38"/>
      <c r="AE567" s="38"/>
      <c r="AF567" s="38"/>
    </row>
    <row r="568" spans="25:32">
      <c r="Y568" s="38"/>
      <c r="Z568" s="38"/>
      <c r="AA568" s="38"/>
      <c r="AB568" s="38"/>
      <c r="AC568" s="38"/>
      <c r="AD568" s="38"/>
      <c r="AE568" s="38"/>
      <c r="AF568" s="38"/>
    </row>
    <row r="569" spans="25:32">
      <c r="Y569" s="38"/>
      <c r="Z569" s="38"/>
      <c r="AA569" s="38"/>
      <c r="AB569" s="38"/>
      <c r="AC569" s="38"/>
      <c r="AD569" s="38"/>
      <c r="AE569" s="38"/>
      <c r="AF569" s="38"/>
    </row>
    <row r="570" spans="25:32">
      <c r="Y570" s="38"/>
      <c r="Z570" s="38"/>
      <c r="AA570" s="38"/>
      <c r="AB570" s="38"/>
      <c r="AC570" s="38"/>
      <c r="AD570" s="38"/>
      <c r="AE570" s="38"/>
      <c r="AF570" s="38"/>
    </row>
    <row r="571" spans="25:32">
      <c r="Y571" s="38"/>
      <c r="Z571" s="38"/>
      <c r="AA571" s="38"/>
      <c r="AB571" s="38"/>
      <c r="AC571" s="38"/>
      <c r="AD571" s="38"/>
      <c r="AE571" s="38"/>
      <c r="AF571" s="38"/>
    </row>
    <row r="572" spans="25:32">
      <c r="Y572" s="38"/>
      <c r="Z572" s="38"/>
      <c r="AA572" s="38"/>
      <c r="AB572" s="38"/>
      <c r="AC572" s="38"/>
      <c r="AD572" s="38"/>
      <c r="AE572" s="38"/>
      <c r="AF572" s="38"/>
    </row>
    <row r="573" spans="25:32">
      <c r="Y573" s="38"/>
      <c r="Z573" s="38"/>
      <c r="AA573" s="38"/>
      <c r="AB573" s="38"/>
      <c r="AC573" s="38"/>
      <c r="AD573" s="38"/>
      <c r="AE573" s="38"/>
      <c r="AF573" s="38"/>
    </row>
    <row r="574" spans="25:32">
      <c r="Y574" s="38"/>
      <c r="Z574" s="38"/>
      <c r="AA574" s="38"/>
      <c r="AB574" s="38"/>
      <c r="AC574" s="38"/>
      <c r="AD574" s="38"/>
      <c r="AE574" s="38"/>
      <c r="AF574" s="38"/>
    </row>
    <row r="575" spans="25:32">
      <c r="Y575" s="38"/>
      <c r="Z575" s="38"/>
      <c r="AA575" s="38"/>
      <c r="AB575" s="38"/>
      <c r="AC575" s="38"/>
      <c r="AD575" s="38"/>
      <c r="AE575" s="38"/>
      <c r="AF575" s="38"/>
    </row>
    <row r="576" spans="25:32">
      <c r="Y576" s="38"/>
      <c r="Z576" s="38"/>
      <c r="AA576" s="38"/>
      <c r="AB576" s="38"/>
      <c r="AC576" s="38"/>
      <c r="AD576" s="38"/>
      <c r="AE576" s="38"/>
      <c r="AF576" s="38"/>
    </row>
    <row r="577" spans="25:32">
      <c r="Y577" s="38"/>
      <c r="Z577" s="38"/>
      <c r="AA577" s="38"/>
      <c r="AB577" s="38"/>
      <c r="AC577" s="38"/>
      <c r="AD577" s="38"/>
      <c r="AE577" s="38"/>
      <c r="AF577" s="38"/>
    </row>
    <row r="578" spans="25:32">
      <c r="Y578" s="38"/>
      <c r="Z578" s="38"/>
      <c r="AA578" s="38"/>
      <c r="AB578" s="38"/>
      <c r="AC578" s="38"/>
      <c r="AD578" s="38"/>
      <c r="AE578" s="38"/>
      <c r="AF578" s="38"/>
    </row>
    <row r="579" spans="25:32">
      <c r="Y579" s="38"/>
      <c r="Z579" s="38"/>
      <c r="AA579" s="38"/>
      <c r="AB579" s="38"/>
      <c r="AC579" s="38"/>
      <c r="AD579" s="38"/>
      <c r="AE579" s="38"/>
      <c r="AF579" s="38"/>
    </row>
    <row r="580" spans="25:32">
      <c r="Y580" s="38"/>
      <c r="Z580" s="38"/>
      <c r="AA580" s="38"/>
      <c r="AB580" s="38"/>
      <c r="AC580" s="38"/>
      <c r="AD580" s="38"/>
      <c r="AE580" s="38"/>
      <c r="AF580" s="38"/>
    </row>
    <row r="581" spans="25:32">
      <c r="Y581" s="38"/>
      <c r="Z581" s="38"/>
      <c r="AA581" s="38"/>
      <c r="AB581" s="38"/>
      <c r="AC581" s="38"/>
      <c r="AD581" s="38"/>
      <c r="AE581" s="38"/>
      <c r="AF581" s="38"/>
    </row>
    <row r="582" spans="25:32">
      <c r="Y582" s="38"/>
      <c r="Z582" s="38"/>
      <c r="AA582" s="38"/>
      <c r="AB582" s="38"/>
      <c r="AC582" s="38"/>
      <c r="AD582" s="38"/>
      <c r="AE582" s="38"/>
      <c r="AF582" s="38"/>
    </row>
    <row r="583" spans="25:32">
      <c r="Y583" s="38"/>
      <c r="Z583" s="38"/>
      <c r="AA583" s="38"/>
      <c r="AB583" s="38"/>
      <c r="AC583" s="38"/>
      <c r="AD583" s="38"/>
      <c r="AE583" s="38"/>
      <c r="AF583" s="38"/>
    </row>
    <row r="584" spans="25:32">
      <c r="Y584" s="38"/>
      <c r="Z584" s="38"/>
      <c r="AA584" s="38"/>
      <c r="AB584" s="38"/>
      <c r="AC584" s="38"/>
      <c r="AD584" s="38"/>
      <c r="AE584" s="38"/>
      <c r="AF584" s="38"/>
    </row>
    <row r="585" spans="25:32">
      <c r="Y585" s="38"/>
      <c r="Z585" s="38"/>
      <c r="AA585" s="38"/>
      <c r="AB585" s="38"/>
      <c r="AC585" s="38"/>
      <c r="AD585" s="38"/>
      <c r="AE585" s="38"/>
      <c r="AF585" s="38"/>
    </row>
    <row r="586" spans="25:32">
      <c r="Y586" s="38"/>
      <c r="Z586" s="38"/>
      <c r="AA586" s="38"/>
      <c r="AB586" s="38"/>
      <c r="AC586" s="38"/>
      <c r="AD586" s="38"/>
      <c r="AE586" s="38"/>
      <c r="AF586" s="38"/>
    </row>
    <row r="587" spans="25:32">
      <c r="Y587" s="38"/>
      <c r="Z587" s="38"/>
      <c r="AA587" s="38"/>
      <c r="AB587" s="38"/>
      <c r="AC587" s="38"/>
      <c r="AD587" s="38"/>
      <c r="AE587" s="38"/>
      <c r="AF587" s="38"/>
    </row>
    <row r="588" spans="25:32">
      <c r="Y588" s="38"/>
      <c r="Z588" s="38"/>
      <c r="AA588" s="38"/>
      <c r="AB588" s="38"/>
      <c r="AC588" s="38"/>
      <c r="AD588" s="38"/>
      <c r="AE588" s="38"/>
      <c r="AF588" s="38"/>
    </row>
    <row r="589" spans="25:32">
      <c r="Y589" s="38"/>
      <c r="Z589" s="38"/>
      <c r="AA589" s="38"/>
      <c r="AB589" s="38"/>
      <c r="AC589" s="38"/>
      <c r="AD589" s="38"/>
      <c r="AE589" s="38"/>
      <c r="AF589" s="38"/>
    </row>
    <row r="590" spans="25:32">
      <c r="Y590" s="38"/>
      <c r="Z590" s="38"/>
      <c r="AA590" s="38"/>
      <c r="AB590" s="38"/>
      <c r="AC590" s="38"/>
      <c r="AD590" s="38"/>
      <c r="AE590" s="38"/>
      <c r="AF590" s="38"/>
    </row>
    <row r="591" spans="25:32">
      <c r="Y591" s="38"/>
      <c r="Z591" s="38"/>
      <c r="AA591" s="38"/>
      <c r="AB591" s="38"/>
      <c r="AC591" s="38"/>
      <c r="AD591" s="38"/>
      <c r="AE591" s="38"/>
      <c r="AF591" s="38"/>
    </row>
    <row r="592" spans="25:32">
      <c r="Y592" s="38"/>
      <c r="Z592" s="38"/>
      <c r="AA592" s="38"/>
      <c r="AB592" s="38"/>
      <c r="AC592" s="38"/>
      <c r="AD592" s="38"/>
      <c r="AE592" s="38"/>
      <c r="AF592" s="38"/>
    </row>
    <row r="593" spans="25:32">
      <c r="Y593" s="38"/>
      <c r="Z593" s="38"/>
      <c r="AA593" s="38"/>
      <c r="AB593" s="38"/>
      <c r="AC593" s="38"/>
      <c r="AD593" s="38"/>
      <c r="AE593" s="38"/>
      <c r="AF593" s="38"/>
    </row>
    <row r="594" spans="25:32">
      <c r="Y594" s="38"/>
      <c r="Z594" s="38"/>
      <c r="AA594" s="38"/>
      <c r="AB594" s="38"/>
      <c r="AC594" s="38"/>
      <c r="AD594" s="38"/>
      <c r="AE594" s="38"/>
      <c r="AF594" s="38"/>
    </row>
    <row r="595" spans="25:32">
      <c r="Y595" s="38"/>
      <c r="Z595" s="38"/>
      <c r="AA595" s="38"/>
      <c r="AB595" s="38"/>
      <c r="AC595" s="38"/>
      <c r="AD595" s="38"/>
      <c r="AE595" s="38"/>
      <c r="AF595" s="38"/>
    </row>
    <row r="596" spans="25:32">
      <c r="Y596" s="38"/>
      <c r="Z596" s="38"/>
      <c r="AA596" s="38"/>
      <c r="AB596" s="38"/>
      <c r="AC596" s="38"/>
      <c r="AD596" s="38"/>
      <c r="AE596" s="38"/>
      <c r="AF596" s="38"/>
    </row>
    <row r="597" spans="25:32">
      <c r="Y597" s="38"/>
      <c r="Z597" s="38"/>
      <c r="AA597" s="38"/>
      <c r="AB597" s="38"/>
      <c r="AC597" s="38"/>
      <c r="AD597" s="38"/>
      <c r="AE597" s="38"/>
      <c r="AF597" s="38"/>
    </row>
    <row r="598" spans="25:32">
      <c r="Y598" s="38"/>
      <c r="Z598" s="38"/>
      <c r="AA598" s="38"/>
      <c r="AB598" s="38"/>
      <c r="AC598" s="38"/>
      <c r="AD598" s="38"/>
      <c r="AE598" s="38"/>
      <c r="AF598" s="38"/>
    </row>
    <row r="599" spans="25:32">
      <c r="Y599" s="38"/>
      <c r="Z599" s="38"/>
      <c r="AA599" s="38"/>
      <c r="AB599" s="38"/>
      <c r="AC599" s="38"/>
      <c r="AD599" s="38"/>
      <c r="AE599" s="38"/>
      <c r="AF599" s="38"/>
    </row>
    <row r="600" spans="25:32">
      <c r="Y600" s="38"/>
      <c r="Z600" s="38"/>
      <c r="AA600" s="38"/>
      <c r="AB600" s="38"/>
      <c r="AC600" s="38"/>
      <c r="AD600" s="38"/>
      <c r="AE600" s="38"/>
      <c r="AF600" s="38"/>
    </row>
    <row r="601" spans="25:32">
      <c r="Y601" s="38"/>
      <c r="Z601" s="38"/>
      <c r="AA601" s="38"/>
      <c r="AB601" s="38"/>
      <c r="AC601" s="38"/>
      <c r="AD601" s="38"/>
      <c r="AE601" s="38"/>
      <c r="AF601" s="38"/>
    </row>
    <row r="602" spans="25:32">
      <c r="Y602" s="38"/>
      <c r="Z602" s="38"/>
      <c r="AA602" s="38"/>
      <c r="AB602" s="38"/>
      <c r="AC602" s="38"/>
      <c r="AD602" s="38"/>
      <c r="AE602" s="38"/>
      <c r="AF602" s="38"/>
    </row>
    <row r="603" spans="25:32">
      <c r="Y603" s="38"/>
      <c r="Z603" s="38"/>
      <c r="AA603" s="38"/>
      <c r="AB603" s="38"/>
      <c r="AC603" s="38"/>
      <c r="AD603" s="38"/>
      <c r="AE603" s="38"/>
      <c r="AF603" s="38"/>
    </row>
    <row r="604" spans="25:32">
      <c r="Y604" s="38"/>
      <c r="Z604" s="38"/>
      <c r="AA604" s="38"/>
      <c r="AB604" s="38"/>
      <c r="AC604" s="38"/>
      <c r="AD604" s="38"/>
      <c r="AE604" s="38"/>
      <c r="AF604" s="38"/>
    </row>
    <row r="605" spans="25:32">
      <c r="Y605" s="38"/>
      <c r="Z605" s="38"/>
      <c r="AA605" s="38"/>
      <c r="AB605" s="38"/>
      <c r="AC605" s="38"/>
      <c r="AD605" s="38"/>
      <c r="AE605" s="38"/>
      <c r="AF605" s="38"/>
    </row>
    <row r="606" spans="25:32">
      <c r="Y606" s="38"/>
      <c r="Z606" s="38"/>
      <c r="AA606" s="38"/>
      <c r="AB606" s="38"/>
      <c r="AC606" s="38"/>
      <c r="AD606" s="38"/>
      <c r="AE606" s="38"/>
      <c r="AF606" s="38"/>
    </row>
    <row r="607" spans="25:32">
      <c r="Y607" s="38"/>
      <c r="Z607" s="38"/>
      <c r="AA607" s="38"/>
      <c r="AB607" s="38"/>
      <c r="AC607" s="38"/>
      <c r="AD607" s="38"/>
      <c r="AE607" s="38"/>
      <c r="AF607" s="38"/>
    </row>
    <row r="608" spans="25:32">
      <c r="Y608" s="38"/>
      <c r="Z608" s="38"/>
      <c r="AA608" s="38"/>
      <c r="AB608" s="38"/>
      <c r="AC608" s="38"/>
      <c r="AD608" s="38"/>
      <c r="AE608" s="38"/>
      <c r="AF608" s="38"/>
    </row>
    <row r="609" spans="25:32">
      <c r="Y609" s="38"/>
      <c r="Z609" s="38"/>
      <c r="AA609" s="38"/>
      <c r="AB609" s="38"/>
      <c r="AC609" s="38"/>
      <c r="AD609" s="38"/>
      <c r="AE609" s="38"/>
      <c r="AF609" s="38"/>
    </row>
    <row r="610" spans="25:32">
      <c r="Y610" s="38"/>
      <c r="Z610" s="38"/>
      <c r="AA610" s="38"/>
      <c r="AB610" s="38"/>
      <c r="AC610" s="38"/>
      <c r="AD610" s="38"/>
      <c r="AE610" s="38"/>
      <c r="AF610" s="38"/>
    </row>
    <row r="611" spans="25:32">
      <c r="Y611" s="38"/>
      <c r="Z611" s="38"/>
      <c r="AA611" s="38"/>
      <c r="AB611" s="38"/>
      <c r="AC611" s="38"/>
      <c r="AD611" s="38"/>
      <c r="AE611" s="38"/>
      <c r="AF611" s="38"/>
    </row>
    <row r="612" spans="25:32">
      <c r="Y612" s="38"/>
      <c r="Z612" s="38"/>
      <c r="AA612" s="38"/>
      <c r="AB612" s="38"/>
      <c r="AC612" s="38"/>
      <c r="AD612" s="38"/>
      <c r="AE612" s="38"/>
      <c r="AF612" s="38"/>
    </row>
    <row r="613" spans="25:32">
      <c r="Y613" s="38"/>
      <c r="Z613" s="38"/>
      <c r="AA613" s="38"/>
      <c r="AB613" s="38"/>
      <c r="AC613" s="38"/>
      <c r="AD613" s="38"/>
      <c r="AE613" s="38"/>
      <c r="AF613" s="38"/>
    </row>
    <row r="614" spans="25:32">
      <c r="Y614" s="38"/>
      <c r="Z614" s="38"/>
      <c r="AA614" s="38"/>
      <c r="AB614" s="38"/>
      <c r="AC614" s="38"/>
      <c r="AD614" s="38"/>
      <c r="AE614" s="38"/>
      <c r="AF614" s="38"/>
    </row>
    <row r="615" spans="25:32">
      <c r="Y615" s="38"/>
      <c r="Z615" s="38"/>
      <c r="AA615" s="38"/>
      <c r="AB615" s="38"/>
      <c r="AC615" s="38"/>
      <c r="AD615" s="38"/>
      <c r="AE615" s="38"/>
      <c r="AF615" s="38"/>
    </row>
    <row r="616" spans="25:32">
      <c r="Y616" s="38"/>
      <c r="Z616" s="38"/>
      <c r="AA616" s="38"/>
      <c r="AB616" s="38"/>
      <c r="AC616" s="38"/>
      <c r="AD616" s="38"/>
      <c r="AE616" s="38"/>
      <c r="AF616" s="38"/>
    </row>
    <row r="617" spans="25:32">
      <c r="Y617" s="38"/>
      <c r="Z617" s="38"/>
      <c r="AA617" s="38"/>
      <c r="AB617" s="38"/>
      <c r="AC617" s="38"/>
      <c r="AD617" s="38"/>
      <c r="AE617" s="38"/>
      <c r="AF617" s="38"/>
    </row>
    <row r="618" spans="25:32">
      <c r="Y618" s="38"/>
      <c r="Z618" s="38"/>
      <c r="AA618" s="38"/>
      <c r="AB618" s="38"/>
      <c r="AC618" s="38"/>
      <c r="AD618" s="38"/>
      <c r="AE618" s="38"/>
      <c r="AF618" s="38"/>
    </row>
    <row r="619" spans="25:32">
      <c r="Y619" s="38"/>
      <c r="Z619" s="38"/>
      <c r="AA619" s="38"/>
      <c r="AB619" s="38"/>
      <c r="AC619" s="38"/>
      <c r="AD619" s="38"/>
      <c r="AE619" s="38"/>
      <c r="AF619" s="38"/>
    </row>
    <row r="620" spans="25:32">
      <c r="Y620" s="38"/>
      <c r="Z620" s="38"/>
      <c r="AA620" s="38"/>
      <c r="AB620" s="38"/>
      <c r="AC620" s="38"/>
      <c r="AD620" s="38"/>
      <c r="AE620" s="38"/>
      <c r="AF620" s="38"/>
    </row>
    <row r="621" spans="25:32">
      <c r="Y621" s="38"/>
      <c r="Z621" s="38"/>
      <c r="AA621" s="38"/>
      <c r="AB621" s="38"/>
      <c r="AC621" s="38"/>
      <c r="AD621" s="38"/>
      <c r="AE621" s="38"/>
      <c r="AF621" s="38"/>
    </row>
    <row r="622" spans="25:32">
      <c r="Y622" s="38"/>
      <c r="Z622" s="38"/>
      <c r="AA622" s="38"/>
      <c r="AB622" s="38"/>
      <c r="AC622" s="38"/>
      <c r="AD622" s="38"/>
      <c r="AE622" s="38"/>
      <c r="AF622" s="38"/>
    </row>
    <row r="623" spans="25:32">
      <c r="Y623" s="38"/>
      <c r="Z623" s="38"/>
      <c r="AA623" s="38"/>
      <c r="AB623" s="38"/>
      <c r="AC623" s="38"/>
      <c r="AD623" s="38"/>
      <c r="AE623" s="38"/>
      <c r="AF623" s="38"/>
    </row>
    <row r="624" spans="25:32">
      <c r="Y624" s="38"/>
      <c r="Z624" s="38"/>
      <c r="AA624" s="38"/>
      <c r="AB624" s="38"/>
      <c r="AC624" s="38"/>
      <c r="AD624" s="38"/>
      <c r="AE624" s="38"/>
      <c r="AF624" s="38"/>
    </row>
    <row r="625" spans="25:32">
      <c r="Y625" s="38"/>
      <c r="Z625" s="38"/>
      <c r="AA625" s="38"/>
      <c r="AB625" s="38"/>
      <c r="AC625" s="38"/>
      <c r="AD625" s="38"/>
      <c r="AE625" s="38"/>
      <c r="AF625" s="38"/>
    </row>
    <row r="626" spans="25:32">
      <c r="Y626" s="38"/>
      <c r="Z626" s="38"/>
      <c r="AA626" s="38"/>
      <c r="AB626" s="38"/>
      <c r="AC626" s="38"/>
      <c r="AD626" s="38"/>
      <c r="AE626" s="38"/>
      <c r="AF626" s="38"/>
    </row>
    <row r="627" spans="25:32">
      <c r="Y627" s="38"/>
      <c r="Z627" s="38"/>
      <c r="AA627" s="38"/>
      <c r="AB627" s="38"/>
      <c r="AC627" s="38"/>
      <c r="AD627" s="38"/>
      <c r="AE627" s="38"/>
      <c r="AF627" s="38"/>
    </row>
    <row r="628" spans="25:32">
      <c r="Y628" s="38"/>
      <c r="Z628" s="38"/>
      <c r="AA628" s="38"/>
      <c r="AB628" s="38"/>
      <c r="AC628" s="38"/>
      <c r="AD628" s="38"/>
      <c r="AE628" s="38"/>
      <c r="AF628" s="38"/>
    </row>
    <row r="629" spans="25:32">
      <c r="Y629" s="38"/>
      <c r="Z629" s="38"/>
      <c r="AA629" s="38"/>
      <c r="AB629" s="38"/>
      <c r="AC629" s="38"/>
      <c r="AD629" s="38"/>
      <c r="AE629" s="38"/>
      <c r="AF629" s="38"/>
    </row>
    <row r="630" spans="25:32">
      <c r="Y630" s="38"/>
      <c r="Z630" s="38"/>
      <c r="AA630" s="38"/>
      <c r="AB630" s="38"/>
      <c r="AC630" s="38"/>
      <c r="AD630" s="38"/>
      <c r="AE630" s="38"/>
      <c r="AF630" s="38"/>
    </row>
    <row r="631" spans="25:32">
      <c r="Y631" s="38"/>
      <c r="Z631" s="38"/>
      <c r="AA631" s="38"/>
      <c r="AB631" s="38"/>
      <c r="AC631" s="38"/>
      <c r="AD631" s="38"/>
      <c r="AE631" s="38"/>
      <c r="AF631" s="38"/>
    </row>
    <row r="632" spans="25:32">
      <c r="Y632" s="38"/>
      <c r="Z632" s="38"/>
      <c r="AA632" s="38"/>
      <c r="AB632" s="38"/>
      <c r="AC632" s="38"/>
      <c r="AD632" s="38"/>
      <c r="AE632" s="38"/>
      <c r="AF632" s="38"/>
    </row>
    <row r="633" spans="25:32">
      <c r="Y633" s="38"/>
      <c r="Z633" s="38"/>
      <c r="AA633" s="38"/>
      <c r="AB633" s="38"/>
      <c r="AC633" s="38"/>
      <c r="AD633" s="38"/>
      <c r="AE633" s="38"/>
      <c r="AF633" s="38"/>
    </row>
    <row r="634" spans="25:32">
      <c r="Y634" s="38"/>
      <c r="Z634" s="38"/>
      <c r="AA634" s="38"/>
      <c r="AB634" s="38"/>
      <c r="AC634" s="38"/>
      <c r="AD634" s="38"/>
      <c r="AE634" s="38"/>
      <c r="AF634" s="38"/>
    </row>
    <row r="635" spans="25:32">
      <c r="Y635" s="38"/>
      <c r="Z635" s="38"/>
      <c r="AA635" s="38"/>
      <c r="AB635" s="38"/>
      <c r="AC635" s="38"/>
      <c r="AD635" s="38"/>
      <c r="AE635" s="38"/>
      <c r="AF635" s="38"/>
    </row>
    <row r="636" spans="25:32">
      <c r="Y636" s="38"/>
      <c r="Z636" s="38"/>
      <c r="AA636" s="38"/>
      <c r="AB636" s="38"/>
      <c r="AC636" s="38"/>
      <c r="AD636" s="38"/>
      <c r="AE636" s="38"/>
      <c r="AF636" s="38"/>
    </row>
    <row r="637" spans="25:32">
      <c r="Y637" s="38"/>
      <c r="Z637" s="38"/>
      <c r="AA637" s="38"/>
      <c r="AB637" s="38"/>
      <c r="AC637" s="38"/>
      <c r="AD637" s="38"/>
      <c r="AE637" s="38"/>
      <c r="AF637" s="38"/>
    </row>
    <row r="638" spans="25:32">
      <c r="Y638" s="38"/>
      <c r="Z638" s="38"/>
      <c r="AA638" s="38"/>
      <c r="AB638" s="38"/>
      <c r="AC638" s="38"/>
      <c r="AD638" s="38"/>
      <c r="AE638" s="38"/>
      <c r="AF638" s="38"/>
    </row>
    <row r="639" spans="25:32">
      <c r="Y639" s="38"/>
      <c r="Z639" s="38"/>
      <c r="AA639" s="38"/>
      <c r="AB639" s="38"/>
      <c r="AC639" s="38"/>
      <c r="AD639" s="38"/>
      <c r="AE639" s="38"/>
      <c r="AF639" s="38"/>
    </row>
    <row r="640" spans="25:32">
      <c r="Y640" s="38"/>
      <c r="Z640" s="38"/>
      <c r="AA640" s="38"/>
      <c r="AB640" s="38"/>
      <c r="AC640" s="38"/>
      <c r="AD640" s="38"/>
      <c r="AE640" s="38"/>
      <c r="AF640" s="38"/>
    </row>
    <row r="641" spans="25:32">
      <c r="Y641" s="38"/>
      <c r="Z641" s="38"/>
      <c r="AA641" s="38"/>
      <c r="AB641" s="38"/>
      <c r="AC641" s="38"/>
      <c r="AD641" s="38"/>
      <c r="AE641" s="38"/>
      <c r="AF641" s="38"/>
    </row>
    <row r="642" spans="25:32">
      <c r="Y642" s="38"/>
      <c r="Z642" s="38"/>
      <c r="AA642" s="38"/>
      <c r="AB642" s="38"/>
      <c r="AC642" s="38"/>
      <c r="AD642" s="38"/>
      <c r="AE642" s="38"/>
      <c r="AF642" s="38"/>
    </row>
    <row r="643" spans="25:32">
      <c r="Y643" s="38"/>
      <c r="Z643" s="38"/>
      <c r="AA643" s="38"/>
      <c r="AB643" s="38"/>
      <c r="AC643" s="38"/>
      <c r="AD643" s="38"/>
      <c r="AE643" s="38"/>
      <c r="AF643" s="38"/>
    </row>
    <row r="644" spans="25:32">
      <c r="Y644" s="38"/>
      <c r="Z644" s="38"/>
      <c r="AA644" s="38"/>
      <c r="AB644" s="38"/>
      <c r="AC644" s="38"/>
      <c r="AD644" s="38"/>
      <c r="AE644" s="38"/>
      <c r="AF644" s="38"/>
    </row>
    <row r="645" spans="25:32">
      <c r="Y645" s="38"/>
      <c r="Z645" s="38"/>
      <c r="AA645" s="38"/>
      <c r="AB645" s="38"/>
      <c r="AC645" s="38"/>
      <c r="AD645" s="38"/>
      <c r="AE645" s="38"/>
      <c r="AF645" s="38"/>
    </row>
    <row r="646" spans="25:32">
      <c r="Y646" s="38"/>
      <c r="Z646" s="38"/>
      <c r="AA646" s="38"/>
      <c r="AB646" s="38"/>
      <c r="AC646" s="38"/>
      <c r="AD646" s="38"/>
      <c r="AE646" s="38"/>
      <c r="AF646" s="38"/>
    </row>
    <row r="647" spans="25:32">
      <c r="Y647" s="38"/>
      <c r="Z647" s="38"/>
      <c r="AA647" s="38"/>
      <c r="AB647" s="38"/>
      <c r="AC647" s="38"/>
      <c r="AD647" s="38"/>
      <c r="AE647" s="38"/>
      <c r="AF647" s="38"/>
    </row>
    <row r="648" spans="25:32">
      <c r="Y648" s="38"/>
      <c r="Z648" s="38"/>
      <c r="AA648" s="38"/>
      <c r="AB648" s="38"/>
      <c r="AC648" s="38"/>
      <c r="AD648" s="38"/>
      <c r="AE648" s="38"/>
      <c r="AF648" s="38"/>
    </row>
    <row r="649" spans="25:32">
      <c r="Y649" s="38"/>
      <c r="Z649" s="38"/>
      <c r="AA649" s="38"/>
      <c r="AB649" s="38"/>
      <c r="AC649" s="38"/>
      <c r="AD649" s="38"/>
      <c r="AE649" s="38"/>
      <c r="AF649" s="38"/>
    </row>
    <row r="650" spans="25:32">
      <c r="Y650" s="38"/>
      <c r="Z650" s="38"/>
      <c r="AA650" s="38"/>
      <c r="AB650" s="38"/>
      <c r="AC650" s="38"/>
      <c r="AD650" s="38"/>
      <c r="AE650" s="38"/>
      <c r="AF650" s="38"/>
    </row>
    <row r="651" spans="25:32">
      <c r="Y651" s="38"/>
      <c r="Z651" s="38"/>
      <c r="AA651" s="38"/>
      <c r="AB651" s="38"/>
      <c r="AC651" s="38"/>
      <c r="AD651" s="38"/>
      <c r="AE651" s="38"/>
      <c r="AF651" s="38"/>
    </row>
    <row r="652" spans="25:32">
      <c r="Y652" s="38"/>
      <c r="Z652" s="38"/>
      <c r="AA652" s="38"/>
      <c r="AB652" s="38"/>
      <c r="AC652" s="38"/>
      <c r="AD652" s="38"/>
      <c r="AE652" s="38"/>
      <c r="AF652" s="38"/>
    </row>
    <row r="653" spans="25:32">
      <c r="Y653" s="38"/>
      <c r="Z653" s="38"/>
      <c r="AA653" s="38"/>
      <c r="AB653" s="38"/>
      <c r="AC653" s="38"/>
      <c r="AD653" s="38"/>
      <c r="AE653" s="38"/>
      <c r="AF653" s="38"/>
    </row>
    <row r="654" spans="25:32">
      <c r="Y654" s="38"/>
      <c r="Z654" s="38"/>
      <c r="AA654" s="38"/>
      <c r="AB654" s="38"/>
      <c r="AC654" s="38"/>
      <c r="AD654" s="38"/>
      <c r="AE654" s="38"/>
      <c r="AF654" s="38"/>
    </row>
    <row r="655" spans="25:32">
      <c r="Y655" s="38"/>
      <c r="Z655" s="38"/>
      <c r="AA655" s="38"/>
      <c r="AB655" s="38"/>
      <c r="AC655" s="38"/>
      <c r="AD655" s="38"/>
      <c r="AE655" s="38"/>
      <c r="AF655" s="38"/>
    </row>
    <row r="656" spans="25:32">
      <c r="Y656" s="38"/>
      <c r="Z656" s="38"/>
      <c r="AA656" s="38"/>
      <c r="AB656" s="38"/>
      <c r="AC656" s="38"/>
      <c r="AD656" s="38"/>
      <c r="AE656" s="38"/>
      <c r="AF656" s="38"/>
    </row>
    <row r="657" spans="25:32">
      <c r="Y657" s="38"/>
      <c r="Z657" s="38"/>
      <c r="AA657" s="38"/>
      <c r="AB657" s="38"/>
      <c r="AC657" s="38"/>
      <c r="AD657" s="38"/>
      <c r="AE657" s="38"/>
      <c r="AF657" s="38"/>
    </row>
    <row r="658" spans="25:32">
      <c r="Y658" s="38"/>
      <c r="Z658" s="38"/>
      <c r="AA658" s="38"/>
      <c r="AB658" s="38"/>
      <c r="AC658" s="38"/>
      <c r="AD658" s="38"/>
      <c r="AE658" s="38"/>
      <c r="AF658" s="38"/>
    </row>
    <row r="659" spans="25:32">
      <c r="Y659" s="38"/>
      <c r="Z659" s="38"/>
      <c r="AA659" s="38"/>
      <c r="AB659" s="38"/>
      <c r="AC659" s="38"/>
      <c r="AD659" s="38"/>
      <c r="AE659" s="38"/>
      <c r="AF659" s="38"/>
    </row>
    <row r="660" spans="25:32">
      <c r="Y660" s="38"/>
      <c r="Z660" s="38"/>
      <c r="AA660" s="38"/>
      <c r="AB660" s="38"/>
      <c r="AC660" s="38"/>
      <c r="AD660" s="38"/>
      <c r="AE660" s="38"/>
      <c r="AF660" s="38"/>
    </row>
    <row r="661" spans="25:32">
      <c r="Y661" s="38"/>
      <c r="Z661" s="38"/>
      <c r="AA661" s="38"/>
      <c r="AB661" s="38"/>
      <c r="AC661" s="38"/>
      <c r="AD661" s="38"/>
      <c r="AE661" s="38"/>
      <c r="AF661" s="38"/>
    </row>
    <row r="662" spans="25:32">
      <c r="Y662" s="38"/>
      <c r="Z662" s="38"/>
      <c r="AA662" s="38"/>
      <c r="AB662" s="38"/>
      <c r="AC662" s="38"/>
      <c r="AD662" s="38"/>
      <c r="AE662" s="38"/>
      <c r="AF662" s="38"/>
    </row>
    <row r="663" spans="25:32">
      <c r="Y663" s="38"/>
      <c r="Z663" s="38"/>
      <c r="AA663" s="38"/>
      <c r="AB663" s="38"/>
      <c r="AC663" s="38"/>
      <c r="AD663" s="38"/>
      <c r="AE663" s="38"/>
      <c r="AF663" s="38"/>
    </row>
    <row r="664" spans="25:32">
      <c r="Y664" s="38"/>
      <c r="Z664" s="38"/>
      <c r="AA664" s="38"/>
      <c r="AB664" s="38"/>
      <c r="AC664" s="38"/>
      <c r="AD664" s="38"/>
      <c r="AE664" s="38"/>
      <c r="AF664" s="38"/>
    </row>
    <row r="665" spans="25:32">
      <c r="Y665" s="38"/>
      <c r="Z665" s="38"/>
      <c r="AA665" s="38"/>
      <c r="AB665" s="38"/>
      <c r="AC665" s="38"/>
      <c r="AD665" s="38"/>
      <c r="AE665" s="38"/>
      <c r="AF665" s="38"/>
    </row>
    <row r="666" spans="25:32">
      <c r="Y666" s="38"/>
      <c r="Z666" s="38"/>
      <c r="AA666" s="38"/>
      <c r="AB666" s="38"/>
      <c r="AC666" s="38"/>
      <c r="AD666" s="38"/>
      <c r="AE666" s="38"/>
      <c r="AF666" s="38"/>
    </row>
    <row r="667" spans="25:32">
      <c r="Y667" s="38"/>
      <c r="Z667" s="38"/>
      <c r="AA667" s="38"/>
      <c r="AB667" s="38"/>
      <c r="AC667" s="38"/>
      <c r="AD667" s="38"/>
      <c r="AE667" s="38"/>
      <c r="AF667" s="38"/>
    </row>
    <row r="668" spans="25:32">
      <c r="Y668" s="38"/>
      <c r="Z668" s="38"/>
      <c r="AA668" s="38"/>
      <c r="AB668" s="38"/>
      <c r="AC668" s="38"/>
      <c r="AD668" s="38"/>
      <c r="AE668" s="38"/>
      <c r="AF668" s="38"/>
    </row>
    <row r="669" spans="25:32">
      <c r="Y669" s="38"/>
      <c r="Z669" s="38"/>
      <c r="AA669" s="38"/>
      <c r="AB669" s="38"/>
      <c r="AC669" s="38"/>
      <c r="AD669" s="38"/>
      <c r="AE669" s="38"/>
      <c r="AF669" s="38"/>
    </row>
    <row r="670" spans="25:32">
      <c r="Y670" s="38"/>
      <c r="Z670" s="38"/>
      <c r="AA670" s="38"/>
      <c r="AB670" s="38"/>
      <c r="AC670" s="38"/>
      <c r="AD670" s="38"/>
      <c r="AE670" s="38"/>
      <c r="AF670" s="38"/>
    </row>
    <row r="671" spans="25:32">
      <c r="Y671" s="38"/>
      <c r="Z671" s="38"/>
      <c r="AA671" s="38"/>
      <c r="AB671" s="38"/>
      <c r="AC671" s="38"/>
      <c r="AD671" s="38"/>
      <c r="AE671" s="38"/>
      <c r="AF671" s="38"/>
    </row>
    <row r="672" spans="25:32">
      <c r="Y672" s="38"/>
      <c r="Z672" s="38"/>
      <c r="AA672" s="38"/>
      <c r="AB672" s="38"/>
      <c r="AC672" s="38"/>
      <c r="AD672" s="38"/>
      <c r="AE672" s="38"/>
      <c r="AF672" s="38"/>
    </row>
    <row r="673" spans="25:32">
      <c r="Y673" s="38"/>
      <c r="Z673" s="38"/>
      <c r="AA673" s="38"/>
      <c r="AB673" s="38"/>
      <c r="AC673" s="38"/>
      <c r="AD673" s="38"/>
      <c r="AE673" s="38"/>
      <c r="AF673" s="38"/>
    </row>
    <row r="674" spans="25:32">
      <c r="Y674" s="38"/>
      <c r="Z674" s="38"/>
      <c r="AA674" s="38"/>
      <c r="AB674" s="38"/>
      <c r="AC674" s="38"/>
      <c r="AD674" s="38"/>
      <c r="AE674" s="38"/>
      <c r="AF674" s="38"/>
    </row>
    <row r="675" spans="25:32">
      <c r="Y675" s="38"/>
      <c r="Z675" s="38"/>
      <c r="AA675" s="38"/>
      <c r="AB675" s="38"/>
      <c r="AC675" s="38"/>
      <c r="AD675" s="38"/>
      <c r="AE675" s="38"/>
      <c r="AF675" s="38"/>
    </row>
    <row r="676" spans="25:32">
      <c r="Y676" s="38"/>
      <c r="Z676" s="38"/>
      <c r="AA676" s="38"/>
      <c r="AB676" s="38"/>
      <c r="AC676" s="38"/>
      <c r="AD676" s="38"/>
      <c r="AE676" s="38"/>
      <c r="AF676" s="38"/>
    </row>
    <row r="677" spans="25:32">
      <c r="Y677" s="38"/>
      <c r="Z677" s="38"/>
      <c r="AA677" s="38"/>
      <c r="AB677" s="38"/>
      <c r="AC677" s="38"/>
      <c r="AD677" s="38"/>
      <c r="AE677" s="38"/>
      <c r="AF677" s="38"/>
    </row>
    <row r="678" spans="25:32">
      <c r="Y678" s="38"/>
      <c r="Z678" s="38"/>
      <c r="AA678" s="38"/>
      <c r="AB678" s="38"/>
      <c r="AC678" s="38"/>
      <c r="AD678" s="38"/>
      <c r="AE678" s="38"/>
      <c r="AF678" s="38"/>
    </row>
    <row r="679" spans="25:32">
      <c r="Y679" s="38"/>
      <c r="Z679" s="38"/>
      <c r="AA679" s="38"/>
      <c r="AB679" s="38"/>
      <c r="AC679" s="38"/>
      <c r="AD679" s="38"/>
      <c r="AE679" s="38"/>
      <c r="AF679" s="38"/>
    </row>
    <row r="680" spans="25:32">
      <c r="Y680" s="38"/>
      <c r="Z680" s="38"/>
      <c r="AA680" s="38"/>
      <c r="AB680" s="38"/>
      <c r="AC680" s="38"/>
      <c r="AD680" s="38"/>
      <c r="AE680" s="38"/>
      <c r="AF680" s="38"/>
    </row>
    <row r="681" spans="25:32">
      <c r="Y681" s="38"/>
      <c r="Z681" s="38"/>
      <c r="AA681" s="38"/>
      <c r="AB681" s="38"/>
      <c r="AC681" s="38"/>
      <c r="AD681" s="38"/>
      <c r="AE681" s="38"/>
      <c r="AF681" s="38"/>
    </row>
    <row r="682" spans="25:32">
      <c r="Y682" s="38"/>
      <c r="Z682" s="38"/>
      <c r="AA682" s="38"/>
      <c r="AB682" s="38"/>
      <c r="AC682" s="38"/>
      <c r="AD682" s="38"/>
      <c r="AE682" s="38"/>
      <c r="AF682" s="38"/>
    </row>
    <row r="683" spans="25:32">
      <c r="Y683" s="38"/>
      <c r="Z683" s="38"/>
      <c r="AA683" s="38"/>
      <c r="AB683" s="38"/>
      <c r="AC683" s="38"/>
      <c r="AD683" s="38"/>
      <c r="AE683" s="38"/>
      <c r="AF683" s="38"/>
    </row>
    <row r="684" spans="25:32">
      <c r="Y684" s="38"/>
      <c r="Z684" s="38"/>
      <c r="AA684" s="38"/>
      <c r="AB684" s="38"/>
      <c r="AC684" s="38"/>
      <c r="AD684" s="38"/>
    </row>
    <row r="685" spans="25:32">
      <c r="Y685" s="38"/>
      <c r="Z685" s="38"/>
      <c r="AA685" s="38"/>
      <c r="AB685" s="38"/>
      <c r="AC685" s="38"/>
      <c r="AD685" s="38"/>
    </row>
  </sheetData>
  <sortState xmlns:xlrd2="http://schemas.microsoft.com/office/spreadsheetml/2017/richdata2" ref="A100:A102">
    <sortCondition ref="A100:A102"/>
  </sortState>
  <mergeCells count="3">
    <mergeCell ref="A2:F3"/>
    <mergeCell ref="A4:F5"/>
    <mergeCell ref="AF38:AF41"/>
  </mergeCells>
  <conditionalFormatting sqref="E9:E145">
    <cfRule type="expression" dxfId="13" priority="4">
      <formula>NOT(_xlfn.ISFORMULA(E9))</formula>
    </cfRule>
  </conditionalFormatting>
  <pageMargins left="0.75" right="0.75" top="1" bottom="1" header="0.5" footer="0.5"/>
  <pageSetup scale="64" fitToHeight="0" orientation="portrait" r:id="rId1"/>
  <headerFooter alignWithMargins="0">
    <oddHeader>&amp;C&amp;"Arial,Bold Italic"&amp;20DRAFT - TOOL STILL IN PRODUCTION</oddHeader>
    <oddFooter>&amp;C&amp;"Futura Bk BT,Book"Page &amp;P</oddFooter>
  </headerFooter>
  <drawing r:id="rId2"/>
  <legacyDrawingHF r:id="rId3"/>
  <tableParts count="2">
    <tablePart r:id="rId4"/>
    <tablePart r:id="rId5"/>
  </tablePart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385128B0-5554-4857-827B-00B4BC26B97A}">
          <x14:formula1>
            <xm:f>HIDDEN!$D$3:$D$11</xm:f>
          </x14:formula1>
          <xm:sqref>Z10:Z685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19263-1035-4245-8590-43EFA332DB26}">
  <sheetPr codeName="Sheet4">
    <tabColor rgb="FFFF0000"/>
  </sheetPr>
  <dimension ref="A1:AB354"/>
  <sheetViews>
    <sheetView workbookViewId="0">
      <selection activeCell="A11" sqref="A11"/>
    </sheetView>
  </sheetViews>
  <sheetFormatPr defaultColWidth="9.140625" defaultRowHeight="12.75"/>
  <cols>
    <col min="1" max="1" width="9.140625" style="38"/>
    <col min="2" max="2" width="25.42578125" style="38" bestFit="1" customWidth="1"/>
    <col min="3" max="3" width="21" style="38" bestFit="1" customWidth="1"/>
    <col min="4" max="4" width="31.42578125" style="38" bestFit="1" customWidth="1"/>
    <col min="5" max="5" width="21.42578125" style="38" bestFit="1" customWidth="1"/>
    <col min="6" max="6" width="22.85546875" style="38" bestFit="1" customWidth="1"/>
    <col min="7" max="7" width="23.42578125" style="38" bestFit="1" customWidth="1"/>
    <col min="8" max="8" width="19.42578125" style="38" bestFit="1" customWidth="1"/>
    <col min="9" max="9" width="21.85546875" style="38" bestFit="1" customWidth="1"/>
    <col min="10" max="10" width="23.42578125" style="38" bestFit="1" customWidth="1"/>
    <col min="11" max="11" width="15.140625" style="38" bestFit="1" customWidth="1"/>
    <col min="12" max="12" width="19.28515625" style="38" bestFit="1" customWidth="1"/>
    <col min="13" max="13" width="26.42578125" style="38" bestFit="1" customWidth="1"/>
    <col min="14" max="14" width="10.42578125" style="38" bestFit="1" customWidth="1"/>
    <col min="15" max="15" width="11.42578125" style="38" bestFit="1" customWidth="1"/>
    <col min="16" max="16" width="8" style="38" bestFit="1" customWidth="1"/>
    <col min="17" max="17" width="20.85546875" style="38" bestFit="1" customWidth="1"/>
    <col min="18" max="26" width="9.140625" style="38"/>
    <col min="27" max="27" width="20.42578125" style="38" bestFit="1" customWidth="1"/>
    <col min="28" max="28" width="7.28515625" style="97" bestFit="1" customWidth="1"/>
    <col min="29" max="16384" width="9.140625" style="38"/>
  </cols>
  <sheetData>
    <row r="1" spans="2:28" ht="15.75" thickBot="1">
      <c r="B1" s="38" t="s">
        <v>852</v>
      </c>
      <c r="AA1" s="12" t="s">
        <v>850</v>
      </c>
      <c r="AB1" s="13" t="s">
        <v>856</v>
      </c>
    </row>
    <row r="2" spans="2:28" ht="15">
      <c r="B2" s="125" t="s">
        <v>853</v>
      </c>
      <c r="D2" s="125" t="s">
        <v>1545</v>
      </c>
      <c r="AA2" s="14" t="s">
        <v>857</v>
      </c>
      <c r="AB2" s="15" t="s">
        <v>858</v>
      </c>
    </row>
    <row r="3" spans="2:28">
      <c r="B3" s="38" t="s">
        <v>854</v>
      </c>
      <c r="D3" s="38" t="s">
        <v>1546</v>
      </c>
      <c r="AA3" s="445" t="s">
        <v>859</v>
      </c>
      <c r="AB3" s="97">
        <v>5</v>
      </c>
    </row>
    <row r="4" spans="2:28">
      <c r="B4" s="38" t="s">
        <v>800</v>
      </c>
      <c r="D4" s="38" t="s">
        <v>1547</v>
      </c>
      <c r="AA4" s="445" t="s">
        <v>860</v>
      </c>
      <c r="AB4" s="97">
        <v>3</v>
      </c>
    </row>
    <row r="5" spans="2:28">
      <c r="B5" s="38" t="s">
        <v>855</v>
      </c>
      <c r="D5" s="38" t="s">
        <v>3686</v>
      </c>
      <c r="AA5" s="445" t="s">
        <v>861</v>
      </c>
      <c r="AB5" s="97">
        <v>5</v>
      </c>
    </row>
    <row r="6" spans="2:28">
      <c r="D6" s="38" t="s">
        <v>1548</v>
      </c>
      <c r="AA6" s="445" t="s">
        <v>862</v>
      </c>
      <c r="AB6" s="97">
        <v>1</v>
      </c>
    </row>
    <row r="7" spans="2:28">
      <c r="D7" s="38" t="s">
        <v>1549</v>
      </c>
      <c r="AA7" s="445" t="s">
        <v>863</v>
      </c>
      <c r="AB7" s="97">
        <v>2</v>
      </c>
    </row>
    <row r="8" spans="2:28">
      <c r="D8" s="38" t="s">
        <v>1550</v>
      </c>
      <c r="AA8" s="445" t="s">
        <v>864</v>
      </c>
      <c r="AB8" s="97">
        <v>1</v>
      </c>
    </row>
    <row r="9" spans="2:28">
      <c r="D9" s="38" t="s">
        <v>1586</v>
      </c>
      <c r="AA9" s="445" t="s">
        <v>865</v>
      </c>
      <c r="AB9" s="97">
        <v>4</v>
      </c>
    </row>
    <row r="10" spans="2:28">
      <c r="D10" s="38" t="s">
        <v>3715</v>
      </c>
      <c r="AA10" s="445" t="s">
        <v>866</v>
      </c>
      <c r="AB10" s="97">
        <v>2</v>
      </c>
    </row>
    <row r="11" spans="2:28">
      <c r="D11" s="38" t="s">
        <v>3951</v>
      </c>
      <c r="AA11" s="445" t="s">
        <v>867</v>
      </c>
      <c r="AB11" s="97">
        <v>4</v>
      </c>
    </row>
    <row r="12" spans="2:28">
      <c r="B12" s="38" t="s">
        <v>789</v>
      </c>
      <c r="AA12" s="445" t="s">
        <v>868</v>
      </c>
      <c r="AB12" s="97">
        <v>5</v>
      </c>
    </row>
    <row r="13" spans="2:28" ht="15">
      <c r="B13" s="93" t="s">
        <v>738</v>
      </c>
      <c r="C13" s="93" t="s">
        <v>747</v>
      </c>
      <c r="D13" s="93" t="s">
        <v>748</v>
      </c>
      <c r="E13" s="93" t="s">
        <v>1628</v>
      </c>
      <c r="F13" s="93" t="s">
        <v>70</v>
      </c>
      <c r="G13" s="93" t="s">
        <v>75</v>
      </c>
      <c r="H13" s="586" t="s">
        <v>702</v>
      </c>
      <c r="I13" s="93"/>
      <c r="J13" s="93"/>
      <c r="K13" s="93"/>
      <c r="L13" s="93"/>
      <c r="M13" s="93"/>
      <c r="N13" s="93"/>
      <c r="O13" s="93"/>
      <c r="P13" s="93"/>
      <c r="Q13" s="93"/>
      <c r="AA13" s="445" t="s">
        <v>869</v>
      </c>
      <c r="AB13" s="97">
        <v>4</v>
      </c>
    </row>
    <row r="14" spans="2:28" ht="15">
      <c r="B14" s="62" t="s">
        <v>742</v>
      </c>
      <c r="C14" s="62" t="s">
        <v>1576</v>
      </c>
      <c r="D14" s="62" t="s">
        <v>1576</v>
      </c>
      <c r="E14" s="62" t="s">
        <v>68</v>
      </c>
      <c r="F14" s="62" t="s">
        <v>71</v>
      </c>
      <c r="G14" s="62" t="s">
        <v>73</v>
      </c>
      <c r="H14" s="62" t="s">
        <v>695</v>
      </c>
      <c r="I14" s="62"/>
      <c r="J14" s="62"/>
      <c r="K14" s="62"/>
      <c r="L14" s="62"/>
      <c r="M14" s="62"/>
      <c r="N14" s="62"/>
      <c r="O14" s="62"/>
      <c r="P14" s="62"/>
      <c r="Q14" s="62"/>
      <c r="AA14" s="445" t="s">
        <v>870</v>
      </c>
      <c r="AB14" s="97">
        <v>3</v>
      </c>
    </row>
    <row r="15" spans="2:28" ht="15">
      <c r="B15" s="62" t="s">
        <v>739</v>
      </c>
      <c r="C15" s="62" t="s">
        <v>1636</v>
      </c>
      <c r="D15" s="62" t="s">
        <v>1637</v>
      </c>
      <c r="E15" s="40" t="s">
        <v>434</v>
      </c>
      <c r="F15" s="62" t="s">
        <v>72</v>
      </c>
      <c r="G15" s="62" t="s">
        <v>74</v>
      </c>
      <c r="H15" s="62" t="s">
        <v>700</v>
      </c>
      <c r="I15" s="62"/>
      <c r="J15" s="62"/>
      <c r="K15" s="62"/>
      <c r="L15" s="62"/>
      <c r="M15" s="99"/>
      <c r="N15" s="62"/>
      <c r="O15" s="62"/>
      <c r="P15" s="62"/>
      <c r="Q15" s="62"/>
      <c r="AA15" s="445" t="s">
        <v>871</v>
      </c>
      <c r="AB15" s="97">
        <v>3</v>
      </c>
    </row>
    <row r="16" spans="2:28" ht="15">
      <c r="B16" s="40" t="s">
        <v>1595</v>
      </c>
      <c r="C16" s="62" t="s">
        <v>741</v>
      </c>
      <c r="D16" s="62" t="s">
        <v>1638</v>
      </c>
      <c r="E16" s="40" t="s">
        <v>726</v>
      </c>
      <c r="F16" s="62" t="s">
        <v>745</v>
      </c>
      <c r="G16" s="62"/>
      <c r="H16" s="62" t="s">
        <v>703</v>
      </c>
      <c r="I16" s="57"/>
      <c r="J16" s="40"/>
      <c r="K16" s="62"/>
      <c r="L16" s="62"/>
      <c r="M16" s="62"/>
      <c r="N16" s="62"/>
      <c r="O16" s="62"/>
      <c r="P16" s="62"/>
      <c r="Q16" s="62"/>
      <c r="AA16" s="445" t="s">
        <v>872</v>
      </c>
      <c r="AB16" s="97">
        <v>1</v>
      </c>
    </row>
    <row r="17" spans="2:28" ht="15">
      <c r="B17" s="62" t="s">
        <v>740</v>
      </c>
      <c r="C17" s="62"/>
      <c r="D17" s="62" t="s">
        <v>741</v>
      </c>
      <c r="E17" s="62" t="s">
        <v>728</v>
      </c>
      <c r="F17" s="62" t="s">
        <v>743</v>
      </c>
      <c r="G17" s="62"/>
      <c r="H17" s="62" t="s">
        <v>704</v>
      </c>
      <c r="I17" s="62"/>
      <c r="J17" s="62"/>
      <c r="K17" s="98"/>
      <c r="AA17" s="445" t="s">
        <v>873</v>
      </c>
      <c r="AB17" s="97">
        <v>3</v>
      </c>
    </row>
    <row r="18" spans="2:28" ht="15">
      <c r="B18" s="40" t="s">
        <v>741</v>
      </c>
      <c r="C18" s="62"/>
      <c r="D18" s="62"/>
      <c r="E18" s="62"/>
      <c r="F18" s="57" t="s">
        <v>744</v>
      </c>
      <c r="G18" s="62"/>
      <c r="H18" s="62"/>
      <c r="I18" s="62"/>
      <c r="J18" s="62"/>
      <c r="K18" s="62"/>
      <c r="AA18" s="445" t="s">
        <v>874</v>
      </c>
      <c r="AB18" s="97">
        <v>2</v>
      </c>
    </row>
    <row r="19" spans="2:28" ht="15">
      <c r="B19" s="40"/>
      <c r="C19" s="93" t="s">
        <v>1620</v>
      </c>
      <c r="D19" s="93" t="s">
        <v>1215</v>
      </c>
      <c r="E19" s="62"/>
      <c r="F19" s="40" t="s">
        <v>746</v>
      </c>
      <c r="G19" s="62"/>
      <c r="H19" s="93" t="s">
        <v>1625</v>
      </c>
      <c r="I19" s="57"/>
      <c r="J19" s="62"/>
      <c r="K19" s="62"/>
      <c r="AA19" s="445" t="s">
        <v>875</v>
      </c>
      <c r="AB19" s="97">
        <v>5</v>
      </c>
    </row>
    <row r="20" spans="2:28" ht="15">
      <c r="C20" s="62" t="s">
        <v>715</v>
      </c>
      <c r="D20" s="62" t="s">
        <v>715</v>
      </c>
      <c r="E20" s="93" t="s">
        <v>1617</v>
      </c>
      <c r="G20" s="62"/>
      <c r="H20" s="62" t="s">
        <v>1626</v>
      </c>
      <c r="J20" s="62"/>
      <c r="K20" s="62"/>
      <c r="AA20" s="445" t="s">
        <v>876</v>
      </c>
      <c r="AB20" s="97">
        <v>3</v>
      </c>
    </row>
    <row r="21" spans="2:28" ht="15">
      <c r="C21" s="62" t="s">
        <v>1708</v>
      </c>
      <c r="D21" s="38" t="s">
        <v>1708</v>
      </c>
      <c r="E21" s="62" t="s">
        <v>68</v>
      </c>
      <c r="G21" s="62"/>
      <c r="H21" s="62" t="s">
        <v>1627</v>
      </c>
      <c r="J21" s="62"/>
      <c r="K21" s="62"/>
      <c r="AA21" s="445" t="s">
        <v>877</v>
      </c>
      <c r="AB21" s="97">
        <v>5</v>
      </c>
    </row>
    <row r="22" spans="2:28" ht="15">
      <c r="B22" s="93" t="s">
        <v>749</v>
      </c>
      <c r="C22" s="40" t="s">
        <v>434</v>
      </c>
      <c r="D22" s="40" t="s">
        <v>434</v>
      </c>
      <c r="E22" s="62" t="s">
        <v>434</v>
      </c>
      <c r="G22" s="62"/>
      <c r="H22" s="40" t="s">
        <v>703</v>
      </c>
      <c r="J22" s="62"/>
      <c r="K22" s="62"/>
      <c r="AA22" s="445" t="s">
        <v>878</v>
      </c>
      <c r="AB22" s="97">
        <v>3</v>
      </c>
    </row>
    <row r="23" spans="2:28" ht="15">
      <c r="B23" s="38" t="s">
        <v>1928</v>
      </c>
      <c r="C23" s="62" t="s">
        <v>68</v>
      </c>
      <c r="D23" s="62" t="s">
        <v>1213</v>
      </c>
      <c r="E23" s="40" t="s">
        <v>726</v>
      </c>
      <c r="G23" s="99"/>
      <c r="H23" s="99" t="s">
        <v>741</v>
      </c>
      <c r="J23" s="99"/>
      <c r="K23" s="99"/>
      <c r="AA23" s="445" t="s">
        <v>879</v>
      </c>
      <c r="AB23" s="97">
        <v>5</v>
      </c>
    </row>
    <row r="24" spans="2:28" ht="15">
      <c r="B24" s="38" t="s">
        <v>434</v>
      </c>
      <c r="C24" s="62" t="s">
        <v>741</v>
      </c>
      <c r="D24" s="62" t="s">
        <v>1214</v>
      </c>
      <c r="E24" s="62" t="s">
        <v>728</v>
      </c>
      <c r="G24" s="62"/>
      <c r="H24" s="62"/>
      <c r="J24" s="62"/>
      <c r="K24" s="62"/>
      <c r="AA24" s="445" t="s">
        <v>880</v>
      </c>
      <c r="AB24" s="97">
        <v>2</v>
      </c>
    </row>
    <row r="25" spans="2:28" ht="15">
      <c r="B25" s="38" t="s">
        <v>1929</v>
      </c>
      <c r="C25" s="62"/>
      <c r="D25" s="62" t="s">
        <v>1624</v>
      </c>
      <c r="G25" s="62"/>
      <c r="H25" s="93" t="s">
        <v>436</v>
      </c>
      <c r="J25" s="62"/>
      <c r="K25" s="62"/>
      <c r="AA25" s="445" t="s">
        <v>881</v>
      </c>
      <c r="AB25" s="97">
        <v>1</v>
      </c>
    </row>
    <row r="26" spans="2:28" ht="15">
      <c r="B26" s="38" t="s">
        <v>1930</v>
      </c>
      <c r="C26" s="62"/>
      <c r="D26" s="62" t="s">
        <v>741</v>
      </c>
      <c r="E26" s="62"/>
      <c r="F26" s="93"/>
      <c r="G26" s="62"/>
      <c r="H26" s="62" t="s">
        <v>1857</v>
      </c>
      <c r="I26" s="62"/>
      <c r="J26" s="62"/>
      <c r="K26" s="62"/>
      <c r="AA26" s="445" t="s">
        <v>882</v>
      </c>
      <c r="AB26" s="97">
        <v>4</v>
      </c>
    </row>
    <row r="27" spans="2:28" ht="15">
      <c r="B27" s="38" t="s">
        <v>1931</v>
      </c>
      <c r="C27" s="93" t="s">
        <v>1581</v>
      </c>
      <c r="D27" s="62"/>
      <c r="E27" s="62"/>
      <c r="F27" s="62"/>
      <c r="G27" s="62"/>
      <c r="H27" s="62" t="s">
        <v>1858</v>
      </c>
      <c r="I27" s="93"/>
      <c r="J27" s="62"/>
      <c r="K27" s="62"/>
      <c r="AA27" s="445" t="s">
        <v>883</v>
      </c>
      <c r="AB27" s="97">
        <v>2</v>
      </c>
    </row>
    <row r="28" spans="2:28" ht="15">
      <c r="B28" s="38" t="s">
        <v>1714</v>
      </c>
      <c r="C28" s="38" t="s">
        <v>434</v>
      </c>
      <c r="D28" s="93" t="s">
        <v>1870</v>
      </c>
      <c r="E28" s="62"/>
      <c r="F28" s="62"/>
      <c r="G28" s="62"/>
      <c r="H28" s="62" t="s">
        <v>727</v>
      </c>
      <c r="I28" s="62"/>
      <c r="J28" s="62"/>
      <c r="K28" s="62"/>
      <c r="AA28" s="445" t="s">
        <v>884</v>
      </c>
      <c r="AB28" s="97">
        <v>3</v>
      </c>
    </row>
    <row r="29" spans="2:28" ht="15">
      <c r="B29" s="38" t="s">
        <v>1713</v>
      </c>
      <c r="C29" s="62" t="s">
        <v>68</v>
      </c>
      <c r="D29" s="62" t="s">
        <v>1880</v>
      </c>
      <c r="E29" s="62"/>
      <c r="F29" s="62"/>
      <c r="G29" s="62"/>
      <c r="H29" s="38" t="s">
        <v>3852</v>
      </c>
      <c r="I29" s="62"/>
      <c r="J29" s="62"/>
      <c r="K29" s="62"/>
      <c r="AA29" s="445" t="s">
        <v>885</v>
      </c>
      <c r="AB29" s="97">
        <v>4</v>
      </c>
    </row>
    <row r="30" spans="2:28" ht="15">
      <c r="C30" s="38" t="s">
        <v>1708</v>
      </c>
      <c r="D30" s="62" t="s">
        <v>1881</v>
      </c>
      <c r="E30" s="62"/>
      <c r="F30" s="62"/>
      <c r="G30" s="62"/>
      <c r="H30" s="62" t="s">
        <v>3853</v>
      </c>
      <c r="I30" s="62"/>
      <c r="J30" s="62"/>
      <c r="K30" s="62"/>
      <c r="AA30" s="445" t="s">
        <v>886</v>
      </c>
      <c r="AB30" s="97">
        <v>5</v>
      </c>
    </row>
    <row r="31" spans="2:28" ht="15">
      <c r="B31" s="93" t="s">
        <v>749</v>
      </c>
      <c r="C31" s="62" t="s">
        <v>715</v>
      </c>
      <c r="D31" s="62" t="s">
        <v>1882</v>
      </c>
      <c r="E31" s="40"/>
      <c r="F31" s="62"/>
      <c r="G31" s="62"/>
      <c r="H31" s="62"/>
      <c r="I31" s="62"/>
      <c r="J31" s="62"/>
      <c r="K31" s="62"/>
      <c r="AA31" s="445" t="s">
        <v>887</v>
      </c>
      <c r="AB31" s="97">
        <v>3</v>
      </c>
    </row>
    <row r="32" spans="2:28" ht="15">
      <c r="B32" s="38" t="s">
        <v>1864</v>
      </c>
      <c r="C32" s="38" t="s">
        <v>741</v>
      </c>
      <c r="D32" s="62" t="s">
        <v>1883</v>
      </c>
      <c r="E32" s="40"/>
      <c r="G32" s="62"/>
      <c r="H32" s="62"/>
      <c r="I32" s="62"/>
      <c r="J32" s="62"/>
      <c r="K32" s="62"/>
      <c r="AA32" s="445" t="s">
        <v>888</v>
      </c>
      <c r="AB32" s="97">
        <v>2</v>
      </c>
    </row>
    <row r="33" spans="2:28" ht="15">
      <c r="B33" s="38" t="s">
        <v>1865</v>
      </c>
      <c r="C33" s="93" t="s">
        <v>1583</v>
      </c>
      <c r="D33" s="62" t="s">
        <v>1884</v>
      </c>
      <c r="E33" s="62"/>
      <c r="G33" s="62"/>
      <c r="H33" s="62"/>
      <c r="I33" s="62"/>
      <c r="J33" s="62"/>
      <c r="K33" s="62"/>
      <c r="AA33" s="445" t="s">
        <v>889</v>
      </c>
      <c r="AB33" s="97">
        <v>4</v>
      </c>
    </row>
    <row r="34" spans="2:28" ht="15">
      <c r="B34" s="38" t="s">
        <v>1866</v>
      </c>
      <c r="C34" s="38" t="s">
        <v>434</v>
      </c>
      <c r="D34" s="62" t="s">
        <v>1885</v>
      </c>
      <c r="E34" s="62"/>
      <c r="G34" s="62"/>
      <c r="H34" s="62"/>
      <c r="I34" s="62"/>
      <c r="J34" s="62"/>
      <c r="K34" s="62"/>
      <c r="AA34" s="445" t="s">
        <v>890</v>
      </c>
      <c r="AB34" s="97">
        <v>4</v>
      </c>
    </row>
    <row r="35" spans="2:28" ht="15">
      <c r="C35" s="62" t="s">
        <v>68</v>
      </c>
      <c r="E35" s="62"/>
      <c r="G35" s="62"/>
      <c r="H35" s="62"/>
      <c r="I35" s="62"/>
      <c r="J35" s="62"/>
      <c r="K35" s="62"/>
      <c r="AA35" s="445" t="s">
        <v>891</v>
      </c>
      <c r="AB35" s="97">
        <v>3</v>
      </c>
    </row>
    <row r="36" spans="2:28" ht="15">
      <c r="C36" s="62"/>
      <c r="D36" s="93" t="s">
        <v>1871</v>
      </c>
      <c r="E36" s="62"/>
      <c r="F36" s="62"/>
      <c r="G36" s="62"/>
      <c r="H36" s="62"/>
      <c r="I36" s="62"/>
      <c r="J36" s="62"/>
      <c r="K36" s="62"/>
      <c r="AA36" s="445" t="s">
        <v>892</v>
      </c>
      <c r="AB36" s="97">
        <v>1</v>
      </c>
    </row>
    <row r="37" spans="2:28" ht="15">
      <c r="B37" s="62"/>
      <c r="C37" s="62"/>
      <c r="D37" s="62" t="s">
        <v>1872</v>
      </c>
      <c r="E37" s="62"/>
      <c r="F37" s="62"/>
      <c r="G37" s="62"/>
      <c r="H37" s="62"/>
      <c r="I37" s="62"/>
      <c r="J37" s="62"/>
      <c r="K37" s="62"/>
      <c r="AA37" s="445" t="s">
        <v>893</v>
      </c>
      <c r="AB37" s="97">
        <v>3</v>
      </c>
    </row>
    <row r="38" spans="2:28" ht="15">
      <c r="D38" s="62" t="s">
        <v>1879</v>
      </c>
      <c r="AA38" s="445" t="s">
        <v>894</v>
      </c>
      <c r="AB38" s="97">
        <v>6</v>
      </c>
    </row>
    <row r="39" spans="2:28" ht="15">
      <c r="D39" s="62" t="s">
        <v>1878</v>
      </c>
      <c r="AA39" s="445" t="s">
        <v>895</v>
      </c>
      <c r="AB39" s="97">
        <v>5</v>
      </c>
    </row>
    <row r="40" spans="2:28" ht="15">
      <c r="D40" s="62" t="s">
        <v>1873</v>
      </c>
      <c r="AA40" s="445" t="s">
        <v>896</v>
      </c>
      <c r="AB40" s="97">
        <v>3</v>
      </c>
    </row>
    <row r="41" spans="2:28">
      <c r="AA41" s="445" t="s">
        <v>897</v>
      </c>
      <c r="AB41" s="97">
        <v>4</v>
      </c>
    </row>
    <row r="42" spans="2:28">
      <c r="B42" s="38" t="s">
        <v>790</v>
      </c>
      <c r="AA42" s="445" t="s">
        <v>898</v>
      </c>
      <c r="AB42" s="97">
        <v>3</v>
      </c>
    </row>
    <row r="43" spans="2:28">
      <c r="AA43" s="445" t="s">
        <v>899</v>
      </c>
      <c r="AB43" s="97">
        <v>6</v>
      </c>
    </row>
    <row r="44" spans="2:28" ht="15">
      <c r="B44" s="125" t="s">
        <v>714</v>
      </c>
      <c r="C44" s="93" t="s">
        <v>791</v>
      </c>
      <c r="D44" s="103" t="s">
        <v>788</v>
      </c>
      <c r="E44" s="93" t="s">
        <v>754</v>
      </c>
      <c r="F44" s="103" t="s">
        <v>770</v>
      </c>
      <c r="G44" s="103" t="s">
        <v>773</v>
      </c>
      <c r="H44" s="93" t="s">
        <v>757</v>
      </c>
      <c r="I44" s="40"/>
      <c r="J44" s="93" t="s">
        <v>768</v>
      </c>
      <c r="K44" s="103" t="s">
        <v>3929</v>
      </c>
      <c r="AA44" s="445" t="s">
        <v>900</v>
      </c>
      <c r="AB44" s="97">
        <v>5</v>
      </c>
    </row>
    <row r="45" spans="2:28" ht="15">
      <c r="B45" s="38" t="s">
        <v>791</v>
      </c>
      <c r="C45" s="62" t="s">
        <v>783</v>
      </c>
      <c r="D45" s="99" t="s">
        <v>729</v>
      </c>
      <c r="E45" s="40" t="s">
        <v>755</v>
      </c>
      <c r="F45" s="40" t="s">
        <v>3756</v>
      </c>
      <c r="G45" s="40" t="s">
        <v>774</v>
      </c>
      <c r="H45" s="54">
        <v>3</v>
      </c>
      <c r="I45" s="40"/>
      <c r="J45" s="446" t="s">
        <v>793</v>
      </c>
      <c r="K45" s="40" t="s">
        <v>3930</v>
      </c>
      <c r="AA45" s="445" t="s">
        <v>901</v>
      </c>
      <c r="AB45" s="97">
        <v>5</v>
      </c>
    </row>
    <row r="46" spans="2:28" ht="15">
      <c r="B46" s="38" t="s">
        <v>788</v>
      </c>
      <c r="C46" s="38" t="s">
        <v>759</v>
      </c>
      <c r="D46" s="62" t="s">
        <v>753</v>
      </c>
      <c r="E46" s="40" t="s">
        <v>756</v>
      </c>
      <c r="F46" s="40" t="s">
        <v>771</v>
      </c>
      <c r="G46" s="40" t="s">
        <v>779</v>
      </c>
      <c r="H46" s="54">
        <v>4</v>
      </c>
      <c r="I46" s="40"/>
      <c r="J46" s="446" t="s">
        <v>767</v>
      </c>
      <c r="K46" s="40" t="s">
        <v>3931</v>
      </c>
      <c r="AA46" s="445" t="s">
        <v>902</v>
      </c>
      <c r="AB46" s="97">
        <v>2</v>
      </c>
    </row>
    <row r="47" spans="2:28" ht="15">
      <c r="C47" s="38" t="s">
        <v>3685</v>
      </c>
      <c r="D47" s="40" t="s">
        <v>741</v>
      </c>
      <c r="E47" s="40" t="s">
        <v>741</v>
      </c>
      <c r="F47" s="40" t="s">
        <v>741</v>
      </c>
      <c r="G47" s="40" t="s">
        <v>780</v>
      </c>
      <c r="H47" s="54">
        <v>5</v>
      </c>
      <c r="I47" s="40"/>
      <c r="J47" s="446" t="s">
        <v>3893</v>
      </c>
      <c r="K47" s="40" t="s">
        <v>703</v>
      </c>
      <c r="AA47" s="445" t="s">
        <v>903</v>
      </c>
      <c r="AB47" s="97">
        <v>5</v>
      </c>
    </row>
    <row r="48" spans="2:28" ht="15">
      <c r="C48" s="40"/>
      <c r="D48" s="40"/>
      <c r="F48" s="40"/>
      <c r="G48" s="40" t="s">
        <v>74</v>
      </c>
      <c r="H48" s="54"/>
      <c r="I48" s="40"/>
      <c r="J48" s="446" t="s">
        <v>775</v>
      </c>
      <c r="K48" s="40" t="s">
        <v>74</v>
      </c>
      <c r="AA48" s="445" t="s">
        <v>904</v>
      </c>
      <c r="AB48" s="97">
        <v>3</v>
      </c>
    </row>
    <row r="49" spans="2:28" ht="15">
      <c r="C49" s="40"/>
      <c r="D49" s="40"/>
      <c r="F49" s="40"/>
      <c r="G49" s="40"/>
      <c r="H49" s="40"/>
      <c r="I49" s="40"/>
      <c r="J49" s="40"/>
      <c r="K49" s="40"/>
      <c r="AA49" s="445" t="s">
        <v>905</v>
      </c>
      <c r="AB49" s="97">
        <v>6</v>
      </c>
    </row>
    <row r="50" spans="2:28" ht="15">
      <c r="B50" s="103"/>
      <c r="C50" s="40"/>
      <c r="D50" s="40"/>
      <c r="E50" s="40"/>
      <c r="F50" s="40"/>
      <c r="G50" s="40"/>
      <c r="H50" s="40"/>
      <c r="I50" s="40"/>
      <c r="J50" s="40"/>
      <c r="AA50" s="445" t="s">
        <v>906</v>
      </c>
      <c r="AB50" s="97">
        <v>1</v>
      </c>
    </row>
    <row r="51" spans="2:28" ht="15">
      <c r="B51" s="103" t="s">
        <v>797</v>
      </c>
      <c r="C51" s="125"/>
      <c r="D51" s="103"/>
      <c r="E51" s="103" t="s">
        <v>801</v>
      </c>
      <c r="F51" s="40"/>
      <c r="G51" s="40"/>
      <c r="H51" s="40"/>
      <c r="I51" s="40"/>
      <c r="J51" s="40"/>
      <c r="AA51" s="445" t="s">
        <v>907</v>
      </c>
      <c r="AB51" s="97">
        <v>4</v>
      </c>
    </row>
    <row r="52" spans="2:28" ht="15">
      <c r="B52" s="40" t="s">
        <v>700</v>
      </c>
      <c r="D52" s="40"/>
      <c r="E52" s="40" t="s">
        <v>802</v>
      </c>
      <c r="F52" s="40"/>
      <c r="G52" s="40"/>
      <c r="H52" s="40"/>
      <c r="I52" s="40"/>
      <c r="J52" s="40"/>
      <c r="AA52" s="445" t="s">
        <v>908</v>
      </c>
      <c r="AB52" s="97">
        <v>6</v>
      </c>
    </row>
    <row r="53" spans="2:28" ht="15">
      <c r="B53" s="40" t="s">
        <v>798</v>
      </c>
      <c r="C53" s="40"/>
      <c r="D53" s="40"/>
      <c r="E53" s="40"/>
      <c r="F53" s="40"/>
      <c r="G53" s="40"/>
      <c r="H53" s="40"/>
      <c r="I53" s="40"/>
      <c r="J53" s="40"/>
      <c r="AA53" s="445" t="s">
        <v>909</v>
      </c>
      <c r="AB53" s="97">
        <v>6</v>
      </c>
    </row>
    <row r="54" spans="2:28" ht="15">
      <c r="B54" s="40" t="s">
        <v>799</v>
      </c>
      <c r="C54" s="40"/>
      <c r="D54" s="40"/>
      <c r="E54" s="40"/>
      <c r="F54" s="40"/>
      <c r="G54" s="40"/>
      <c r="H54" s="40"/>
      <c r="I54" s="40"/>
      <c r="J54" s="40"/>
      <c r="AA54" s="445" t="s">
        <v>910</v>
      </c>
      <c r="AB54" s="97">
        <v>4</v>
      </c>
    </row>
    <row r="55" spans="2:28" ht="15">
      <c r="B55" s="40" t="s">
        <v>800</v>
      </c>
      <c r="C55" s="40"/>
      <c r="D55" s="40"/>
      <c r="E55" s="40"/>
      <c r="F55" s="40"/>
      <c r="G55" s="40"/>
      <c r="H55" s="40"/>
      <c r="I55" s="40"/>
      <c r="J55" s="40"/>
      <c r="AA55" s="445" t="s">
        <v>911</v>
      </c>
      <c r="AB55" s="97">
        <v>5</v>
      </c>
    </row>
    <row r="56" spans="2:28" ht="15">
      <c r="C56" s="40"/>
      <c r="D56" s="40"/>
      <c r="E56" s="40"/>
      <c r="F56" s="40"/>
      <c r="G56" s="40"/>
      <c r="H56" s="40"/>
      <c r="I56" s="40"/>
      <c r="J56" s="40"/>
      <c r="AA56" s="445" t="s">
        <v>912</v>
      </c>
      <c r="AB56" s="97">
        <v>1</v>
      </c>
    </row>
    <row r="57" spans="2:28" ht="15">
      <c r="C57" s="40"/>
      <c r="D57" s="40"/>
      <c r="E57" s="40"/>
      <c r="F57" s="40"/>
      <c r="G57" s="40"/>
      <c r="H57" s="40"/>
      <c r="I57" s="40"/>
      <c r="J57" s="40"/>
      <c r="AA57" s="445" t="s">
        <v>913</v>
      </c>
      <c r="AB57" s="97">
        <v>3</v>
      </c>
    </row>
    <row r="58" spans="2:28" ht="15">
      <c r="B58" s="40"/>
      <c r="C58" s="40"/>
      <c r="D58" s="40"/>
      <c r="E58" s="40"/>
      <c r="F58" s="40"/>
      <c r="G58" s="40"/>
      <c r="H58" s="40"/>
      <c r="I58" s="40"/>
      <c r="J58" s="40"/>
      <c r="AA58" s="445" t="s">
        <v>914</v>
      </c>
      <c r="AB58" s="97">
        <v>5</v>
      </c>
    </row>
    <row r="59" spans="2:28" ht="15">
      <c r="C59" s="40"/>
      <c r="D59" s="40"/>
      <c r="E59" s="40"/>
      <c r="F59" s="40"/>
      <c r="G59" s="40"/>
      <c r="H59" s="40"/>
      <c r="I59" s="40"/>
      <c r="J59" s="40"/>
      <c r="AA59" s="445" t="s">
        <v>915</v>
      </c>
      <c r="AB59" s="97">
        <v>4</v>
      </c>
    </row>
    <row r="60" spans="2:28" ht="15">
      <c r="C60" s="40"/>
      <c r="D60" s="40"/>
      <c r="E60" s="40"/>
      <c r="F60" s="40"/>
      <c r="G60" s="40"/>
      <c r="H60" s="40"/>
      <c r="I60" s="40"/>
      <c r="J60" s="40"/>
      <c r="AA60" s="445" t="s">
        <v>916</v>
      </c>
      <c r="AB60" s="97">
        <v>6</v>
      </c>
    </row>
    <row r="61" spans="2:28" ht="15">
      <c r="C61" s="103" t="s">
        <v>1538</v>
      </c>
      <c r="D61" s="125" t="s">
        <v>1537</v>
      </c>
      <c r="E61" s="103" t="s">
        <v>3811</v>
      </c>
      <c r="F61" s="103" t="s">
        <v>1540</v>
      </c>
      <c r="G61" s="103" t="s">
        <v>1757</v>
      </c>
      <c r="H61" s="103" t="s">
        <v>705</v>
      </c>
      <c r="I61" s="103" t="s">
        <v>742</v>
      </c>
      <c r="J61" s="40"/>
      <c r="AA61" s="445" t="s">
        <v>917</v>
      </c>
      <c r="AB61" s="97">
        <v>1</v>
      </c>
    </row>
    <row r="62" spans="2:28" ht="15">
      <c r="C62" s="62" t="s">
        <v>1763</v>
      </c>
      <c r="D62" s="38" t="s">
        <v>1756</v>
      </c>
      <c r="E62" s="40" t="s">
        <v>742</v>
      </c>
      <c r="F62" s="40" t="s">
        <v>1535</v>
      </c>
      <c r="G62" s="40" t="s">
        <v>73</v>
      </c>
      <c r="H62" s="62" t="s">
        <v>3726</v>
      </c>
      <c r="I62" s="40" t="s">
        <v>1589</v>
      </c>
      <c r="J62" s="103" t="s">
        <v>3810</v>
      </c>
      <c r="AA62" s="445" t="s">
        <v>918</v>
      </c>
      <c r="AB62" s="97">
        <v>1</v>
      </c>
    </row>
    <row r="63" spans="2:28" ht="15">
      <c r="C63" s="62" t="s">
        <v>1534</v>
      </c>
      <c r="D63" s="38" t="str">
        <f>PVMTPRES!B8</f>
        <v>Fog Seal - Rejuvinator</v>
      </c>
      <c r="E63" s="40" t="s">
        <v>3810</v>
      </c>
      <c r="F63" s="40" t="s">
        <v>1541</v>
      </c>
      <c r="G63" s="40" t="s">
        <v>74</v>
      </c>
      <c r="H63" s="62" t="s">
        <v>3727</v>
      </c>
      <c r="I63" s="40" t="s">
        <v>1588</v>
      </c>
      <c r="J63" s="40" t="s">
        <v>1756</v>
      </c>
      <c r="AA63" s="445" t="s">
        <v>919</v>
      </c>
      <c r="AB63" s="97">
        <v>1</v>
      </c>
    </row>
    <row r="64" spans="2:28" ht="15">
      <c r="C64" s="40" t="s">
        <v>703</v>
      </c>
      <c r="D64" s="38" t="str">
        <f>PVMTPRES!B9</f>
        <v>Organic Fog Seal</v>
      </c>
      <c r="E64" s="40"/>
      <c r="F64" s="40" t="s">
        <v>1542</v>
      </c>
      <c r="G64" s="40"/>
      <c r="H64" s="62" t="s">
        <v>741</v>
      </c>
      <c r="J64" s="40" t="s">
        <v>1739</v>
      </c>
      <c r="AA64" s="445" t="s">
        <v>920</v>
      </c>
      <c r="AB64" s="97">
        <v>2</v>
      </c>
    </row>
    <row r="65" spans="3:28" ht="15">
      <c r="C65" s="62" t="s">
        <v>704</v>
      </c>
      <c r="D65" s="38" t="str">
        <f>PVMTPRES!B10</f>
        <v>Chip Seal - Conventional</v>
      </c>
      <c r="F65" s="40"/>
      <c r="J65" s="38" t="s">
        <v>1740</v>
      </c>
      <c r="AA65" s="445" t="s">
        <v>921</v>
      </c>
      <c r="AB65" s="97">
        <v>5</v>
      </c>
    </row>
    <row r="66" spans="3:28">
      <c r="D66" s="38" t="str">
        <f>PVMTPRES!B11</f>
        <v>Microsurfacing - Single</v>
      </c>
      <c r="J66" s="38" t="s">
        <v>1741</v>
      </c>
      <c r="AA66" s="445" t="s">
        <v>922</v>
      </c>
      <c r="AB66" s="97">
        <v>1</v>
      </c>
    </row>
    <row r="67" spans="3:28">
      <c r="D67" s="38" t="str">
        <f>PVMTPRES!B12</f>
        <v>Microsurfacing - Double</v>
      </c>
      <c r="J67" s="38" t="s">
        <v>1742</v>
      </c>
      <c r="AA67" s="445" t="s">
        <v>923</v>
      </c>
      <c r="AB67" s="97">
        <v>3</v>
      </c>
    </row>
    <row r="68" spans="3:28">
      <c r="D68" s="38" t="str">
        <f>PVMTPRES!B13</f>
        <v>Chip Seal - (20% Rubber Chip)</v>
      </c>
      <c r="J68" s="38" t="s">
        <v>1743</v>
      </c>
      <c r="AA68" s="445" t="s">
        <v>924</v>
      </c>
      <c r="AB68" s="97">
        <v>5</v>
      </c>
    </row>
    <row r="69" spans="3:28">
      <c r="D69" s="38" t="str">
        <f>PVMTPRES!B14</f>
        <v>Ultra Thin Lift HMA Overlay (1.0")</v>
      </c>
      <c r="J69" s="38" t="s">
        <v>1744</v>
      </c>
      <c r="AA69" s="445" t="s">
        <v>925</v>
      </c>
      <c r="AB69" s="97">
        <v>1</v>
      </c>
    </row>
    <row r="70" spans="3:28">
      <c r="D70" s="38" t="str">
        <f>PVMTPRES!B15</f>
        <v>Cape Seal (Single Micro over Traditional Chip)</v>
      </c>
      <c r="J70" s="38" t="s">
        <v>1747</v>
      </c>
      <c r="AA70" s="445" t="s">
        <v>926</v>
      </c>
      <c r="AB70" s="97">
        <v>4</v>
      </c>
    </row>
    <row r="71" spans="3:28">
      <c r="D71" s="38" t="str">
        <f>PVMTPRES!B16</f>
        <v>Thin Lift HMA Overlay (2")</v>
      </c>
      <c r="J71" s="38" t="s">
        <v>1745</v>
      </c>
      <c r="AA71" s="445" t="s">
        <v>927</v>
      </c>
      <c r="AB71" s="97">
        <v>1</v>
      </c>
    </row>
    <row r="72" spans="3:28">
      <c r="D72" s="38" t="str">
        <f>PVMTPRES!B17</f>
        <v>Minor Mill &amp; Fill (2" HMA)</v>
      </c>
      <c r="J72" s="38" t="s">
        <v>1746</v>
      </c>
      <c r="AA72" s="445" t="s">
        <v>928</v>
      </c>
      <c r="AB72" s="97">
        <v>1</v>
      </c>
    </row>
    <row r="73" spans="3:28">
      <c r="D73" s="38" t="str">
        <f>PVMTPRES!B18</f>
        <v>Hot In-Place Recycling + Double Micro</v>
      </c>
      <c r="J73" s="38" t="s">
        <v>1748</v>
      </c>
      <c r="AA73" s="445" t="s">
        <v>929</v>
      </c>
      <c r="AB73" s="97">
        <v>1</v>
      </c>
    </row>
    <row r="74" spans="3:28">
      <c r="D74" s="38" t="str">
        <f>PVMTPRES!B19</f>
        <v>Hot In-Place Recycling + 1.5" HMA (Includes Pre-Milling)</v>
      </c>
      <c r="J74" s="38" t="s">
        <v>1749</v>
      </c>
      <c r="AA74" s="445" t="s">
        <v>930</v>
      </c>
      <c r="AB74" s="97">
        <v>4</v>
      </c>
    </row>
    <row r="75" spans="3:28">
      <c r="D75" s="38" t="str">
        <f>PVMTPRES!B20</f>
        <v>Cold In-Place Recycling + 1.5" HMA Overlay</v>
      </c>
      <c r="J75" s="38" t="s">
        <v>1750</v>
      </c>
      <c r="AA75" s="445" t="s">
        <v>931</v>
      </c>
      <c r="AB75" s="97">
        <v>5</v>
      </c>
    </row>
    <row r="76" spans="3:28">
      <c r="D76" s="38" t="str">
        <f>PVMTPRES!B21</f>
        <v>SAMI + 1.5" HMA Overlay</v>
      </c>
      <c r="J76" s="38" t="s">
        <v>1751</v>
      </c>
      <c r="AA76" s="445" t="s">
        <v>932</v>
      </c>
      <c r="AB76" s="97">
        <v>6</v>
      </c>
    </row>
    <row r="77" spans="3:28">
      <c r="D77" s="38" t="str">
        <f>PVMTPRES!B22</f>
        <v>Major Mill &amp; Fill (4" HMA)</v>
      </c>
      <c r="J77" s="38" t="s">
        <v>1752</v>
      </c>
      <c r="AA77" s="445" t="s">
        <v>933</v>
      </c>
      <c r="AB77" s="97">
        <v>2</v>
      </c>
    </row>
    <row r="78" spans="3:28">
      <c r="D78" s="38" t="str">
        <f>PVMTPRES!B23</f>
        <v>Full Depth Reclamation + 4" HMA Overlay</v>
      </c>
      <c r="J78" s="38" t="s">
        <v>1753</v>
      </c>
      <c r="AA78" s="445" t="s">
        <v>934</v>
      </c>
      <c r="AB78" s="97">
        <v>5</v>
      </c>
    </row>
    <row r="79" spans="3:28">
      <c r="D79" s="38" t="str">
        <f>PVMTPRES!B24</f>
        <v>Base Stabilization + 4" HMA Overlay</v>
      </c>
      <c r="J79" s="38" t="s">
        <v>1754</v>
      </c>
      <c r="AA79" s="445" t="s">
        <v>935</v>
      </c>
      <c r="AB79" s="97">
        <v>3</v>
      </c>
    </row>
    <row r="80" spans="3:28">
      <c r="D80" s="38" t="str">
        <f>PVMTPRES!B25</f>
        <v>Full Depth Reclamation + 8" HMA Overlay</v>
      </c>
      <c r="J80" s="38" t="s">
        <v>1755</v>
      </c>
      <c r="AA80" s="445" t="s">
        <v>936</v>
      </c>
      <c r="AB80" s="97">
        <v>5</v>
      </c>
    </row>
    <row r="81" spans="1:28" ht="15">
      <c r="D81" s="38" t="str">
        <f>PVMTPRES!B26</f>
        <v>Base Stabilization + 8" HMA Overlay</v>
      </c>
      <c r="J81" s="40" t="s">
        <v>1589</v>
      </c>
      <c r="AA81" s="445" t="s">
        <v>937</v>
      </c>
      <c r="AB81" s="97">
        <v>3</v>
      </c>
    </row>
    <row r="82" spans="1:28" ht="15">
      <c r="J82" s="40" t="s">
        <v>1588</v>
      </c>
      <c r="AA82" s="445" t="s">
        <v>938</v>
      </c>
      <c r="AB82" s="97">
        <v>6</v>
      </c>
    </row>
    <row r="83" spans="1:28">
      <c r="AA83" s="445" t="s">
        <v>939</v>
      </c>
      <c r="AB83" s="97">
        <v>4</v>
      </c>
    </row>
    <row r="84" spans="1:28">
      <c r="AA84" s="445" t="s">
        <v>940</v>
      </c>
      <c r="AB84" s="97">
        <v>3</v>
      </c>
    </row>
    <row r="85" spans="1:28">
      <c r="AA85" s="445" t="s">
        <v>941</v>
      </c>
      <c r="AB85" s="97">
        <v>3</v>
      </c>
    </row>
    <row r="86" spans="1:28">
      <c r="AA86" s="445" t="s">
        <v>942</v>
      </c>
      <c r="AB86" s="97">
        <v>5</v>
      </c>
    </row>
    <row r="87" spans="1:28">
      <c r="A87" s="38" t="s">
        <v>1849</v>
      </c>
      <c r="D87" s="38" t="s">
        <v>713</v>
      </c>
      <c r="F87" s="38" t="s">
        <v>700</v>
      </c>
      <c r="G87" s="38" t="s">
        <v>799</v>
      </c>
      <c r="AA87" s="445" t="s">
        <v>943</v>
      </c>
      <c r="AB87" s="97">
        <v>5</v>
      </c>
    </row>
    <row r="88" spans="1:28">
      <c r="A88" s="38" t="b">
        <v>0</v>
      </c>
      <c r="B88" s="38" t="s">
        <v>70</v>
      </c>
      <c r="C88" s="38" t="s">
        <v>713</v>
      </c>
      <c r="D88" s="38">
        <f>COUNTIFS($A$88:$A$107,"TRUE",$C$88:$C$107,"Roadway")</f>
        <v>0</v>
      </c>
      <c r="E88" s="38" t="s">
        <v>1840</v>
      </c>
      <c r="F88" s="38">
        <f>COUNTIFS($A$88:$A$107,"TRUE",$C$88:$C$107,"Traffic Control")</f>
        <v>0</v>
      </c>
      <c r="G88" s="38">
        <f>COUNTIFS($A$88:$A$107,"TRUE",$C$88:$C$107,"Pavement")</f>
        <v>0</v>
      </c>
      <c r="AA88" s="445" t="s">
        <v>944</v>
      </c>
      <c r="AB88" s="97">
        <v>3</v>
      </c>
    </row>
    <row r="89" spans="1:28">
      <c r="A89" s="38" t="b">
        <v>0</v>
      </c>
      <c r="B89" s="38" t="s">
        <v>749</v>
      </c>
      <c r="C89" s="38" t="s">
        <v>713</v>
      </c>
      <c r="E89" s="38">
        <f>COUNTIFS($A$88:$A$107,"TRUE",$C$88:$C$107,"Multimodal")</f>
        <v>0</v>
      </c>
      <c r="AA89" s="445" t="s">
        <v>945</v>
      </c>
      <c r="AB89" s="97">
        <v>2</v>
      </c>
    </row>
    <row r="90" spans="1:28">
      <c r="A90" s="38" t="b">
        <v>0</v>
      </c>
      <c r="B90" s="38" t="s">
        <v>1850</v>
      </c>
      <c r="C90" s="38" t="s">
        <v>713</v>
      </c>
      <c r="AA90" s="445" t="s">
        <v>946</v>
      </c>
      <c r="AB90" s="97">
        <v>5</v>
      </c>
    </row>
    <row r="91" spans="1:28">
      <c r="A91" s="38" t="b">
        <v>0</v>
      </c>
      <c r="B91" s="38" t="s">
        <v>1836</v>
      </c>
      <c r="C91" s="38" t="s">
        <v>713</v>
      </c>
      <c r="AA91" s="445" t="s">
        <v>947</v>
      </c>
      <c r="AB91" s="97">
        <v>2</v>
      </c>
    </row>
    <row r="92" spans="1:28">
      <c r="A92" s="38" t="b">
        <v>0</v>
      </c>
      <c r="B92" s="38" t="s">
        <v>1566</v>
      </c>
      <c r="C92" s="38" t="s">
        <v>713</v>
      </c>
      <c r="AA92" s="445" t="s">
        <v>960</v>
      </c>
      <c r="AB92" s="97">
        <v>3</v>
      </c>
    </row>
    <row r="93" spans="1:28">
      <c r="A93" s="38" t="b">
        <v>0</v>
      </c>
      <c r="B93" s="38" t="s">
        <v>1837</v>
      </c>
      <c r="C93" s="38" t="s">
        <v>713</v>
      </c>
      <c r="AA93" s="445" t="s">
        <v>948</v>
      </c>
      <c r="AB93" s="97">
        <v>5</v>
      </c>
    </row>
    <row r="94" spans="1:28">
      <c r="A94" s="38" t="b">
        <v>0</v>
      </c>
      <c r="B94" s="38" t="s">
        <v>1838</v>
      </c>
      <c r="C94" s="38" t="s">
        <v>700</v>
      </c>
      <c r="AA94" s="445" t="s">
        <v>949</v>
      </c>
      <c r="AB94" s="97">
        <v>5</v>
      </c>
    </row>
    <row r="95" spans="1:28">
      <c r="A95" s="38" t="b">
        <v>0</v>
      </c>
      <c r="B95" s="38" t="s">
        <v>3728</v>
      </c>
      <c r="C95" s="38" t="s">
        <v>700</v>
      </c>
      <c r="AA95" s="445" t="s">
        <v>950</v>
      </c>
      <c r="AB95" s="97">
        <v>1</v>
      </c>
    </row>
    <row r="96" spans="1:28">
      <c r="A96" s="38" t="b">
        <v>0</v>
      </c>
      <c r="B96" s="38" t="s">
        <v>1839</v>
      </c>
      <c r="C96" s="38" t="s">
        <v>1840</v>
      </c>
      <c r="AA96" s="445" t="s">
        <v>951</v>
      </c>
      <c r="AB96" s="97">
        <v>2</v>
      </c>
    </row>
    <row r="97" spans="1:28">
      <c r="A97" s="38" t="b">
        <v>0</v>
      </c>
      <c r="B97" s="38" t="s">
        <v>1841</v>
      </c>
      <c r="C97" s="38" t="s">
        <v>700</v>
      </c>
      <c r="AA97" s="445" t="s">
        <v>952</v>
      </c>
      <c r="AB97" s="97">
        <v>4</v>
      </c>
    </row>
    <row r="98" spans="1:28">
      <c r="A98" s="38" t="b">
        <v>0</v>
      </c>
      <c r="B98" s="38" t="s">
        <v>1842</v>
      </c>
      <c r="C98" s="38" t="s">
        <v>713</v>
      </c>
      <c r="AA98" s="445" t="s">
        <v>953</v>
      </c>
      <c r="AB98" s="97">
        <v>4</v>
      </c>
    </row>
    <row r="99" spans="1:28">
      <c r="A99" s="38" t="b">
        <v>0</v>
      </c>
      <c r="B99" s="38" t="s">
        <v>1843</v>
      </c>
      <c r="C99" s="38" t="s">
        <v>1840</v>
      </c>
      <c r="AA99" s="445" t="s">
        <v>954</v>
      </c>
      <c r="AB99" s="97">
        <v>5</v>
      </c>
    </row>
    <row r="100" spans="1:28">
      <c r="A100" s="38" t="b">
        <v>0</v>
      </c>
      <c r="B100" s="38" t="s">
        <v>1578</v>
      </c>
      <c r="C100" s="38" t="s">
        <v>1840</v>
      </c>
      <c r="AA100" s="445" t="s">
        <v>955</v>
      </c>
      <c r="AB100" s="97">
        <v>5</v>
      </c>
    </row>
    <row r="101" spans="1:28">
      <c r="A101" s="38" t="b">
        <v>0</v>
      </c>
      <c r="B101" s="38" t="s">
        <v>1844</v>
      </c>
      <c r="C101" s="38" t="s">
        <v>1840</v>
      </c>
      <c r="AA101" s="445" t="s">
        <v>956</v>
      </c>
      <c r="AB101" s="97">
        <v>5</v>
      </c>
    </row>
    <row r="102" spans="1:28">
      <c r="A102" s="38" t="b">
        <v>0</v>
      </c>
      <c r="B102" s="38" t="s">
        <v>1648</v>
      </c>
      <c r="C102" s="38" t="s">
        <v>1840</v>
      </c>
      <c r="AA102" s="445" t="s">
        <v>957</v>
      </c>
      <c r="AB102" s="97">
        <v>3</v>
      </c>
    </row>
    <row r="103" spans="1:28">
      <c r="A103" s="38" t="b">
        <v>0</v>
      </c>
      <c r="B103" s="38" t="s">
        <v>1845</v>
      </c>
      <c r="C103" s="38" t="s">
        <v>1840</v>
      </c>
      <c r="AA103" s="445" t="s">
        <v>958</v>
      </c>
      <c r="AB103" s="97">
        <v>1</v>
      </c>
    </row>
    <row r="104" spans="1:28">
      <c r="A104" s="38" t="b">
        <v>0</v>
      </c>
      <c r="B104" s="38" t="s">
        <v>1846</v>
      </c>
      <c r="C104" s="38" t="s">
        <v>799</v>
      </c>
      <c r="AA104" s="445" t="s">
        <v>959</v>
      </c>
      <c r="AB104" s="97">
        <v>5</v>
      </c>
    </row>
    <row r="105" spans="1:28">
      <c r="A105" s="38" t="b">
        <v>0</v>
      </c>
      <c r="B105" s="38" t="s">
        <v>1847</v>
      </c>
      <c r="C105" s="38" t="s">
        <v>799</v>
      </c>
      <c r="AA105" s="445" t="s">
        <v>961</v>
      </c>
      <c r="AB105" s="97">
        <v>3</v>
      </c>
    </row>
    <row r="106" spans="1:28">
      <c r="A106" s="38" t="b">
        <v>0</v>
      </c>
      <c r="B106" s="38" t="s">
        <v>1848</v>
      </c>
      <c r="C106" s="38" t="s">
        <v>713</v>
      </c>
      <c r="AA106" s="445" t="s">
        <v>962</v>
      </c>
      <c r="AB106" s="97">
        <v>5</v>
      </c>
    </row>
    <row r="107" spans="1:28">
      <c r="A107" s="38" t="b">
        <v>0</v>
      </c>
      <c r="B107" s="38" t="s">
        <v>742</v>
      </c>
      <c r="C107" s="38" t="s">
        <v>799</v>
      </c>
      <c r="AA107" s="445" t="s">
        <v>963</v>
      </c>
      <c r="AB107" s="97">
        <v>3</v>
      </c>
    </row>
    <row r="108" spans="1:28">
      <c r="AA108" s="445" t="s">
        <v>964</v>
      </c>
      <c r="AB108" s="97">
        <v>4</v>
      </c>
    </row>
    <row r="109" spans="1:28">
      <c r="AA109" s="445" t="s">
        <v>965</v>
      </c>
      <c r="AB109" s="97">
        <v>2</v>
      </c>
    </row>
    <row r="110" spans="1:28">
      <c r="AA110" s="445" t="s">
        <v>966</v>
      </c>
      <c r="AB110" s="97">
        <v>4</v>
      </c>
    </row>
    <row r="111" spans="1:28">
      <c r="AA111" s="445" t="s">
        <v>967</v>
      </c>
      <c r="AB111" s="97">
        <v>1</v>
      </c>
    </row>
    <row r="112" spans="1:28">
      <c r="AA112" s="445" t="s">
        <v>968</v>
      </c>
      <c r="AB112" s="97">
        <v>5</v>
      </c>
    </row>
    <row r="113" spans="1:28">
      <c r="AA113" s="445" t="s">
        <v>969</v>
      </c>
      <c r="AB113" s="97">
        <v>3</v>
      </c>
    </row>
    <row r="114" spans="1:28">
      <c r="AA114" s="445" t="s">
        <v>970</v>
      </c>
      <c r="AB114" s="97">
        <v>2</v>
      </c>
    </row>
    <row r="115" spans="1:28">
      <c r="AA115" s="445" t="s">
        <v>971</v>
      </c>
      <c r="AB115" s="97">
        <v>1</v>
      </c>
    </row>
    <row r="116" spans="1:28">
      <c r="AA116" s="445" t="s">
        <v>972</v>
      </c>
      <c r="AB116" s="97">
        <v>1</v>
      </c>
    </row>
    <row r="117" spans="1:28">
      <c r="AA117" s="445" t="s">
        <v>973</v>
      </c>
      <c r="AB117" s="97">
        <v>2</v>
      </c>
    </row>
    <row r="118" spans="1:28">
      <c r="AA118" s="445" t="s">
        <v>974</v>
      </c>
      <c r="AB118" s="97">
        <v>3</v>
      </c>
    </row>
    <row r="119" spans="1:28">
      <c r="AA119" s="445" t="s">
        <v>975</v>
      </c>
      <c r="AB119" s="97">
        <v>4</v>
      </c>
    </row>
    <row r="120" spans="1:28">
      <c r="A120" s="38" t="s">
        <v>4022</v>
      </c>
      <c r="AA120" s="445" t="s">
        <v>976</v>
      </c>
      <c r="AB120" s="97">
        <v>2</v>
      </c>
    </row>
    <row r="121" spans="1:28">
      <c r="AA121" s="445" t="s">
        <v>977</v>
      </c>
      <c r="AB121" s="97">
        <v>5</v>
      </c>
    </row>
    <row r="122" spans="1:28">
      <c r="AA122" s="445" t="s">
        <v>978</v>
      </c>
      <c r="AB122" s="97">
        <v>4</v>
      </c>
    </row>
    <row r="123" spans="1:28">
      <c r="AA123" s="445" t="s">
        <v>979</v>
      </c>
      <c r="AB123" s="97">
        <v>2</v>
      </c>
    </row>
    <row r="124" spans="1:28">
      <c r="AA124" s="445" t="s">
        <v>980</v>
      </c>
      <c r="AB124" s="97">
        <v>1</v>
      </c>
    </row>
    <row r="125" spans="1:28">
      <c r="AA125" s="445" t="s">
        <v>981</v>
      </c>
      <c r="AB125" s="97">
        <v>5</v>
      </c>
    </row>
    <row r="126" spans="1:28">
      <c r="AA126" s="445" t="s">
        <v>982</v>
      </c>
      <c r="AB126" s="97">
        <v>5</v>
      </c>
    </row>
    <row r="127" spans="1:28">
      <c r="AA127" s="445" t="s">
        <v>983</v>
      </c>
      <c r="AB127" s="97">
        <v>2</v>
      </c>
    </row>
    <row r="128" spans="1:28">
      <c r="AA128" s="445" t="s">
        <v>984</v>
      </c>
      <c r="AB128" s="97">
        <v>3</v>
      </c>
    </row>
    <row r="129" spans="27:28">
      <c r="AA129" s="445" t="s">
        <v>985</v>
      </c>
      <c r="AB129" s="97">
        <v>5</v>
      </c>
    </row>
    <row r="130" spans="27:28">
      <c r="AA130" s="445" t="s">
        <v>986</v>
      </c>
      <c r="AB130" s="97">
        <v>2</v>
      </c>
    </row>
    <row r="131" spans="27:28">
      <c r="AA131" s="445" t="s">
        <v>987</v>
      </c>
      <c r="AB131" s="97">
        <v>4</v>
      </c>
    </row>
    <row r="132" spans="27:28">
      <c r="AA132" s="445" t="s">
        <v>988</v>
      </c>
      <c r="AB132" s="97">
        <v>1</v>
      </c>
    </row>
    <row r="133" spans="27:28">
      <c r="AA133" s="445" t="s">
        <v>989</v>
      </c>
      <c r="AB133" s="97">
        <v>1</v>
      </c>
    </row>
    <row r="134" spans="27:28">
      <c r="AA134" s="445" t="s">
        <v>990</v>
      </c>
      <c r="AB134" s="97">
        <v>5</v>
      </c>
    </row>
    <row r="135" spans="27:28">
      <c r="AA135" s="445" t="s">
        <v>991</v>
      </c>
      <c r="AB135" s="97">
        <v>1</v>
      </c>
    </row>
    <row r="136" spans="27:28">
      <c r="AA136" s="445" t="s">
        <v>992</v>
      </c>
      <c r="AB136" s="97">
        <v>5</v>
      </c>
    </row>
    <row r="137" spans="27:28">
      <c r="AA137" s="445" t="s">
        <v>993</v>
      </c>
      <c r="AB137" s="97">
        <v>3</v>
      </c>
    </row>
    <row r="138" spans="27:28">
      <c r="AA138" s="445" t="s">
        <v>994</v>
      </c>
      <c r="AB138" s="97">
        <v>2</v>
      </c>
    </row>
    <row r="139" spans="27:28">
      <c r="AA139" s="445" t="s">
        <v>995</v>
      </c>
      <c r="AB139" s="97">
        <v>3</v>
      </c>
    </row>
    <row r="140" spans="27:28">
      <c r="AA140" s="445" t="s">
        <v>996</v>
      </c>
      <c r="AB140" s="97">
        <v>2</v>
      </c>
    </row>
    <row r="141" spans="27:28">
      <c r="AA141" s="445" t="s">
        <v>997</v>
      </c>
      <c r="AB141" s="97">
        <v>3</v>
      </c>
    </row>
    <row r="142" spans="27:28">
      <c r="AA142" s="445" t="s">
        <v>998</v>
      </c>
      <c r="AB142" s="97">
        <v>3</v>
      </c>
    </row>
    <row r="143" spans="27:28">
      <c r="AA143" s="445" t="s">
        <v>999</v>
      </c>
      <c r="AB143" s="97">
        <v>3</v>
      </c>
    </row>
    <row r="144" spans="27:28">
      <c r="AA144" s="445" t="s">
        <v>1000</v>
      </c>
      <c r="AB144" s="97">
        <v>3</v>
      </c>
    </row>
    <row r="145" spans="27:28">
      <c r="AA145" s="445" t="s">
        <v>1001</v>
      </c>
      <c r="AB145" s="97">
        <v>5</v>
      </c>
    </row>
    <row r="146" spans="27:28">
      <c r="AA146" s="445" t="s">
        <v>1002</v>
      </c>
      <c r="AB146" s="97">
        <v>1</v>
      </c>
    </row>
    <row r="147" spans="27:28">
      <c r="AA147" s="445" t="s">
        <v>1003</v>
      </c>
      <c r="AB147" s="97">
        <v>4</v>
      </c>
    </row>
    <row r="148" spans="27:28">
      <c r="AA148" s="445" t="s">
        <v>1004</v>
      </c>
      <c r="AB148" s="97">
        <v>5</v>
      </c>
    </row>
    <row r="149" spans="27:28">
      <c r="AA149" s="445" t="s">
        <v>1005</v>
      </c>
      <c r="AB149" s="97">
        <v>5</v>
      </c>
    </row>
    <row r="150" spans="27:28">
      <c r="AA150" s="445" t="s">
        <v>1006</v>
      </c>
      <c r="AB150" s="97">
        <v>3</v>
      </c>
    </row>
    <row r="151" spans="27:28">
      <c r="AA151" s="445" t="s">
        <v>1007</v>
      </c>
      <c r="AB151" s="97">
        <v>1</v>
      </c>
    </row>
    <row r="152" spans="27:28">
      <c r="AA152" s="445" t="s">
        <v>1008</v>
      </c>
      <c r="AB152" s="97">
        <v>4</v>
      </c>
    </row>
    <row r="153" spans="27:28">
      <c r="AA153" s="445" t="s">
        <v>1009</v>
      </c>
      <c r="AB153" s="97">
        <v>1</v>
      </c>
    </row>
    <row r="154" spans="27:28">
      <c r="AA154" s="445" t="s">
        <v>1010</v>
      </c>
      <c r="AB154" s="97">
        <v>3</v>
      </c>
    </row>
    <row r="155" spans="27:28">
      <c r="AA155" s="445" t="s">
        <v>1011</v>
      </c>
      <c r="AB155" s="97">
        <v>1</v>
      </c>
    </row>
    <row r="156" spans="27:28">
      <c r="AA156" s="445" t="s">
        <v>1012</v>
      </c>
      <c r="AB156" s="97">
        <v>3</v>
      </c>
    </row>
    <row r="157" spans="27:28">
      <c r="AA157" s="445" t="s">
        <v>1013</v>
      </c>
      <c r="AB157" s="97">
        <v>2</v>
      </c>
    </row>
    <row r="158" spans="27:28">
      <c r="AA158" s="445" t="s">
        <v>1014</v>
      </c>
      <c r="AB158" s="97">
        <v>4</v>
      </c>
    </row>
    <row r="159" spans="27:28">
      <c r="AA159" s="445" t="s">
        <v>1015</v>
      </c>
      <c r="AB159" s="97">
        <v>2</v>
      </c>
    </row>
    <row r="160" spans="27:28">
      <c r="AA160" s="445" t="s">
        <v>1016</v>
      </c>
      <c r="AB160" s="97">
        <v>4</v>
      </c>
    </row>
    <row r="161" spans="27:28">
      <c r="AA161" s="445" t="s">
        <v>1017</v>
      </c>
      <c r="AB161" s="97">
        <v>3</v>
      </c>
    </row>
    <row r="162" spans="27:28">
      <c r="AA162" s="445" t="s">
        <v>1018</v>
      </c>
      <c r="AB162" s="97">
        <v>2</v>
      </c>
    </row>
    <row r="163" spans="27:28">
      <c r="AA163" s="445" t="s">
        <v>1019</v>
      </c>
      <c r="AB163" s="97">
        <v>4</v>
      </c>
    </row>
    <row r="164" spans="27:28">
      <c r="AA164" s="445" t="s">
        <v>1020</v>
      </c>
      <c r="AB164" s="97">
        <v>2</v>
      </c>
    </row>
    <row r="165" spans="27:28">
      <c r="AA165" s="445" t="s">
        <v>1021</v>
      </c>
      <c r="AB165" s="97">
        <v>3</v>
      </c>
    </row>
    <row r="166" spans="27:28">
      <c r="AA166" s="445" t="s">
        <v>1022</v>
      </c>
      <c r="AB166" s="97">
        <v>4</v>
      </c>
    </row>
    <row r="167" spans="27:28">
      <c r="AA167" s="445" t="s">
        <v>1023</v>
      </c>
      <c r="AB167" s="97">
        <v>4</v>
      </c>
    </row>
    <row r="168" spans="27:28">
      <c r="AA168" s="445" t="s">
        <v>1024</v>
      </c>
      <c r="AB168" s="97">
        <v>4</v>
      </c>
    </row>
    <row r="169" spans="27:28">
      <c r="AA169" s="445" t="s">
        <v>1025</v>
      </c>
      <c r="AB169" s="97">
        <v>4</v>
      </c>
    </row>
    <row r="170" spans="27:28">
      <c r="AA170" s="445" t="s">
        <v>1026</v>
      </c>
      <c r="AB170" s="97">
        <v>5</v>
      </c>
    </row>
    <row r="171" spans="27:28">
      <c r="AA171" s="445" t="s">
        <v>1027</v>
      </c>
      <c r="AB171" s="97">
        <v>4</v>
      </c>
    </row>
    <row r="172" spans="27:28">
      <c r="AA172" s="445" t="s">
        <v>1028</v>
      </c>
      <c r="AB172" s="97">
        <v>5</v>
      </c>
    </row>
    <row r="173" spans="27:28">
      <c r="AA173" s="445" t="s">
        <v>1029</v>
      </c>
      <c r="AB173" s="97">
        <v>3</v>
      </c>
    </row>
    <row r="174" spans="27:28">
      <c r="AA174" s="445" t="s">
        <v>1030</v>
      </c>
      <c r="AB174" s="97">
        <v>5</v>
      </c>
    </row>
    <row r="175" spans="27:28">
      <c r="AA175" s="445" t="s">
        <v>1031</v>
      </c>
      <c r="AB175" s="97">
        <v>5</v>
      </c>
    </row>
    <row r="176" spans="27:28">
      <c r="AA176" s="445" t="s">
        <v>1032</v>
      </c>
      <c r="AB176" s="97">
        <v>5</v>
      </c>
    </row>
    <row r="177" spans="27:28">
      <c r="AA177" s="445" t="s">
        <v>1033</v>
      </c>
      <c r="AB177" s="97">
        <v>3</v>
      </c>
    </row>
    <row r="178" spans="27:28">
      <c r="AA178" s="445" t="s">
        <v>1034</v>
      </c>
      <c r="AB178" s="97">
        <v>3</v>
      </c>
    </row>
    <row r="179" spans="27:28">
      <c r="AA179" s="445" t="s">
        <v>1035</v>
      </c>
      <c r="AB179" s="97">
        <v>4</v>
      </c>
    </row>
    <row r="180" spans="27:28">
      <c r="AA180" s="445" t="s">
        <v>1036</v>
      </c>
      <c r="AB180" s="97">
        <v>3</v>
      </c>
    </row>
    <row r="181" spans="27:28">
      <c r="AA181" s="445" t="s">
        <v>1037</v>
      </c>
      <c r="AB181" s="97">
        <v>4</v>
      </c>
    </row>
    <row r="182" spans="27:28">
      <c r="AA182" s="445" t="s">
        <v>1038</v>
      </c>
      <c r="AB182" s="97">
        <v>3</v>
      </c>
    </row>
    <row r="183" spans="27:28">
      <c r="AA183" s="445" t="s">
        <v>1039</v>
      </c>
      <c r="AB183" s="97">
        <v>4</v>
      </c>
    </row>
    <row r="184" spans="27:28">
      <c r="AA184" s="445" t="s">
        <v>1040</v>
      </c>
      <c r="AB184" s="97">
        <v>4</v>
      </c>
    </row>
    <row r="185" spans="27:28">
      <c r="AA185" s="445" t="s">
        <v>1041</v>
      </c>
      <c r="AB185" s="97">
        <v>5</v>
      </c>
    </row>
    <row r="186" spans="27:28">
      <c r="AA186" s="445" t="s">
        <v>1042</v>
      </c>
      <c r="AB186" s="97">
        <v>1</v>
      </c>
    </row>
    <row r="187" spans="27:28">
      <c r="AA187" s="445" t="s">
        <v>1043</v>
      </c>
      <c r="AB187" s="97">
        <v>4</v>
      </c>
    </row>
    <row r="188" spans="27:28">
      <c r="AA188" s="445" t="s">
        <v>1044</v>
      </c>
      <c r="AB188" s="97">
        <v>3</v>
      </c>
    </row>
    <row r="189" spans="27:28">
      <c r="AA189" s="445" t="s">
        <v>1045</v>
      </c>
      <c r="AB189" s="97">
        <v>3</v>
      </c>
    </row>
    <row r="190" spans="27:28">
      <c r="AA190" s="445" t="s">
        <v>1046</v>
      </c>
      <c r="AB190" s="97">
        <v>3</v>
      </c>
    </row>
    <row r="191" spans="27:28">
      <c r="AA191" s="445" t="s">
        <v>1047</v>
      </c>
      <c r="AB191" s="97">
        <v>3</v>
      </c>
    </row>
    <row r="192" spans="27:28">
      <c r="AA192" s="445" t="s">
        <v>1048</v>
      </c>
      <c r="AB192" s="97">
        <v>6</v>
      </c>
    </row>
    <row r="193" spans="27:28">
      <c r="AA193" s="445" t="s">
        <v>1049</v>
      </c>
      <c r="AB193" s="97">
        <v>1</v>
      </c>
    </row>
    <row r="194" spans="27:28">
      <c r="AA194" s="445" t="s">
        <v>1050</v>
      </c>
      <c r="AB194" s="97">
        <v>2</v>
      </c>
    </row>
    <row r="195" spans="27:28">
      <c r="AA195" s="445" t="s">
        <v>1051</v>
      </c>
      <c r="AB195" s="97">
        <v>2</v>
      </c>
    </row>
    <row r="196" spans="27:28">
      <c r="AA196" s="445" t="s">
        <v>1052</v>
      </c>
      <c r="AB196" s="97">
        <v>1</v>
      </c>
    </row>
    <row r="197" spans="27:28">
      <c r="AA197" s="445" t="s">
        <v>1053</v>
      </c>
      <c r="AB197" s="97">
        <v>1</v>
      </c>
    </row>
    <row r="198" spans="27:28">
      <c r="AA198" s="445" t="s">
        <v>1054</v>
      </c>
      <c r="AB198" s="97">
        <v>1</v>
      </c>
    </row>
    <row r="199" spans="27:28">
      <c r="AA199" s="445" t="s">
        <v>1055</v>
      </c>
      <c r="AB199" s="97">
        <v>4</v>
      </c>
    </row>
    <row r="200" spans="27:28">
      <c r="AA200" s="445" t="s">
        <v>1056</v>
      </c>
      <c r="AB200" s="97">
        <v>5</v>
      </c>
    </row>
    <row r="201" spans="27:28">
      <c r="AA201" s="445" t="s">
        <v>1057</v>
      </c>
      <c r="AB201" s="97">
        <v>3</v>
      </c>
    </row>
    <row r="202" spans="27:28">
      <c r="AA202" s="445" t="s">
        <v>1058</v>
      </c>
      <c r="AB202" s="97">
        <v>6</v>
      </c>
    </row>
    <row r="203" spans="27:28">
      <c r="AA203" s="445" t="s">
        <v>1059</v>
      </c>
      <c r="AB203" s="97">
        <v>1</v>
      </c>
    </row>
    <row r="204" spans="27:28">
      <c r="AA204" s="445" t="s">
        <v>1060</v>
      </c>
      <c r="AB204" s="97">
        <v>5</v>
      </c>
    </row>
    <row r="205" spans="27:28">
      <c r="AA205" s="445" t="s">
        <v>1061</v>
      </c>
      <c r="AB205" s="97">
        <v>2</v>
      </c>
    </row>
    <row r="206" spans="27:28">
      <c r="AA206" s="445" t="s">
        <v>1062</v>
      </c>
      <c r="AB206" s="97">
        <v>1</v>
      </c>
    </row>
    <row r="207" spans="27:28">
      <c r="AA207" s="445" t="s">
        <v>1063</v>
      </c>
      <c r="AB207" s="97">
        <v>2</v>
      </c>
    </row>
    <row r="208" spans="27:28">
      <c r="AA208" s="445" t="s">
        <v>1064</v>
      </c>
      <c r="AB208" s="97">
        <v>4</v>
      </c>
    </row>
    <row r="209" spans="27:28">
      <c r="AA209" s="445" t="s">
        <v>1065</v>
      </c>
      <c r="AB209" s="97">
        <v>4</v>
      </c>
    </row>
    <row r="210" spans="27:28">
      <c r="AA210" s="445" t="s">
        <v>1066</v>
      </c>
      <c r="AB210" s="97">
        <v>6</v>
      </c>
    </row>
    <row r="211" spans="27:28">
      <c r="AA211" s="445" t="s">
        <v>1067</v>
      </c>
      <c r="AB211" s="97">
        <v>5</v>
      </c>
    </row>
    <row r="212" spans="27:28">
      <c r="AA212" s="445" t="s">
        <v>1068</v>
      </c>
      <c r="AB212" s="97">
        <v>1</v>
      </c>
    </row>
    <row r="213" spans="27:28">
      <c r="AA213" s="445" t="s">
        <v>1069</v>
      </c>
      <c r="AB213" s="97">
        <v>4</v>
      </c>
    </row>
    <row r="214" spans="27:28">
      <c r="AA214" s="445" t="s">
        <v>1070</v>
      </c>
      <c r="AB214" s="97">
        <v>5</v>
      </c>
    </row>
    <row r="215" spans="27:28">
      <c r="AA215" s="445" t="s">
        <v>1071</v>
      </c>
      <c r="AB215" s="97">
        <v>3</v>
      </c>
    </row>
    <row r="216" spans="27:28">
      <c r="AA216" s="445" t="s">
        <v>1072</v>
      </c>
      <c r="AB216" s="97">
        <v>4</v>
      </c>
    </row>
    <row r="217" spans="27:28">
      <c r="AA217" s="445" t="s">
        <v>1073</v>
      </c>
      <c r="AB217" s="97">
        <v>2</v>
      </c>
    </row>
    <row r="218" spans="27:28">
      <c r="AA218" s="445" t="s">
        <v>1074</v>
      </c>
      <c r="AB218" s="97">
        <v>3</v>
      </c>
    </row>
    <row r="219" spans="27:28">
      <c r="AA219" s="445" t="s">
        <v>1075</v>
      </c>
      <c r="AB219" s="97">
        <v>3</v>
      </c>
    </row>
    <row r="220" spans="27:28">
      <c r="AA220" s="445" t="s">
        <v>1076</v>
      </c>
      <c r="AB220" s="97">
        <v>2</v>
      </c>
    </row>
    <row r="221" spans="27:28">
      <c r="AA221" s="445" t="s">
        <v>1077</v>
      </c>
      <c r="AB221" s="97">
        <v>5</v>
      </c>
    </row>
    <row r="222" spans="27:28">
      <c r="AA222" s="445" t="s">
        <v>1078</v>
      </c>
      <c r="AB222" s="97">
        <v>5</v>
      </c>
    </row>
    <row r="223" spans="27:28">
      <c r="AA223" s="445" t="s">
        <v>1079</v>
      </c>
      <c r="AB223" s="97">
        <v>5</v>
      </c>
    </row>
    <row r="224" spans="27:28">
      <c r="AA224" s="445" t="s">
        <v>1080</v>
      </c>
      <c r="AB224" s="97">
        <v>5</v>
      </c>
    </row>
    <row r="225" spans="27:28">
      <c r="AA225" s="445" t="s">
        <v>1081</v>
      </c>
      <c r="AB225" s="97">
        <v>3</v>
      </c>
    </row>
    <row r="226" spans="27:28">
      <c r="AA226" s="445" t="s">
        <v>1082</v>
      </c>
      <c r="AB226" s="97">
        <v>2</v>
      </c>
    </row>
    <row r="227" spans="27:28">
      <c r="AA227" s="445" t="s">
        <v>1083</v>
      </c>
      <c r="AB227" s="97">
        <v>5</v>
      </c>
    </row>
    <row r="228" spans="27:28">
      <c r="AA228" s="445" t="s">
        <v>1084</v>
      </c>
      <c r="AB228" s="97">
        <v>1</v>
      </c>
    </row>
    <row r="229" spans="27:28">
      <c r="AA229" s="445" t="s">
        <v>1085</v>
      </c>
      <c r="AB229" s="97">
        <v>3</v>
      </c>
    </row>
    <row r="230" spans="27:28">
      <c r="AA230" s="445" t="s">
        <v>1086</v>
      </c>
      <c r="AB230" s="97">
        <v>2</v>
      </c>
    </row>
    <row r="231" spans="27:28">
      <c r="AA231" s="445" t="s">
        <v>1087</v>
      </c>
      <c r="AB231" s="97">
        <v>3</v>
      </c>
    </row>
    <row r="232" spans="27:28">
      <c r="AA232" s="445" t="s">
        <v>1088</v>
      </c>
      <c r="AB232" s="97">
        <v>4</v>
      </c>
    </row>
    <row r="233" spans="27:28">
      <c r="AA233" s="445" t="s">
        <v>1089</v>
      </c>
      <c r="AB233" s="97">
        <v>2</v>
      </c>
    </row>
    <row r="234" spans="27:28">
      <c r="AA234" s="445" t="s">
        <v>1090</v>
      </c>
      <c r="AB234" s="97">
        <v>5</v>
      </c>
    </row>
    <row r="235" spans="27:28">
      <c r="AA235" s="445" t="s">
        <v>1091</v>
      </c>
      <c r="AB235" s="97">
        <v>3</v>
      </c>
    </row>
    <row r="236" spans="27:28">
      <c r="AA236" s="445" t="s">
        <v>1092</v>
      </c>
      <c r="AB236" s="97">
        <v>1</v>
      </c>
    </row>
    <row r="237" spans="27:28">
      <c r="AA237" s="445" t="s">
        <v>1093</v>
      </c>
      <c r="AB237" s="97">
        <v>2</v>
      </c>
    </row>
    <row r="238" spans="27:28">
      <c r="AA238" s="445" t="s">
        <v>1094</v>
      </c>
      <c r="AB238" s="97">
        <v>2</v>
      </c>
    </row>
    <row r="239" spans="27:28">
      <c r="AA239" s="445" t="s">
        <v>1095</v>
      </c>
      <c r="AB239" s="97">
        <v>1</v>
      </c>
    </row>
    <row r="240" spans="27:28">
      <c r="AA240" s="445" t="s">
        <v>1096</v>
      </c>
      <c r="AB240" s="97">
        <v>1</v>
      </c>
    </row>
    <row r="241" spans="27:28">
      <c r="AA241" s="445" t="s">
        <v>1097</v>
      </c>
      <c r="AB241" s="97">
        <v>5</v>
      </c>
    </row>
    <row r="242" spans="27:28">
      <c r="AA242" s="445" t="s">
        <v>1098</v>
      </c>
      <c r="AB242" s="97">
        <v>5</v>
      </c>
    </row>
    <row r="243" spans="27:28">
      <c r="AA243" s="445" t="s">
        <v>1099</v>
      </c>
      <c r="AB243" s="97">
        <v>5</v>
      </c>
    </row>
    <row r="244" spans="27:28">
      <c r="AA244" s="445" t="s">
        <v>1100</v>
      </c>
      <c r="AB244" s="97">
        <v>3</v>
      </c>
    </row>
    <row r="245" spans="27:28">
      <c r="AA245" s="445" t="s">
        <v>1101</v>
      </c>
      <c r="AB245" s="97">
        <v>5</v>
      </c>
    </row>
    <row r="246" spans="27:28">
      <c r="AA246" s="445" t="s">
        <v>1102</v>
      </c>
      <c r="AB246" s="97">
        <v>6</v>
      </c>
    </row>
    <row r="247" spans="27:28">
      <c r="AA247" s="445" t="s">
        <v>1103</v>
      </c>
      <c r="AB247" s="97">
        <v>6</v>
      </c>
    </row>
    <row r="248" spans="27:28">
      <c r="AA248" s="445" t="s">
        <v>1104</v>
      </c>
      <c r="AB248" s="97">
        <v>5</v>
      </c>
    </row>
    <row r="249" spans="27:28">
      <c r="AA249" s="445" t="s">
        <v>1105</v>
      </c>
      <c r="AB249" s="97">
        <v>4</v>
      </c>
    </row>
    <row r="250" spans="27:28">
      <c r="AA250" s="445" t="s">
        <v>1106</v>
      </c>
      <c r="AB250" s="97">
        <v>5</v>
      </c>
    </row>
    <row r="251" spans="27:28">
      <c r="AA251" s="445" t="s">
        <v>1107</v>
      </c>
      <c r="AB251" s="97">
        <v>4</v>
      </c>
    </row>
    <row r="252" spans="27:28">
      <c r="AA252" s="445" t="s">
        <v>1108</v>
      </c>
      <c r="AB252" s="97">
        <v>1</v>
      </c>
    </row>
    <row r="253" spans="27:28">
      <c r="AA253" s="445" t="s">
        <v>1109</v>
      </c>
      <c r="AB253" s="97">
        <v>5</v>
      </c>
    </row>
    <row r="254" spans="27:28">
      <c r="AA254" s="445" t="s">
        <v>1110</v>
      </c>
      <c r="AB254" s="97">
        <v>5</v>
      </c>
    </row>
    <row r="255" spans="27:28">
      <c r="AA255" s="445" t="s">
        <v>1111</v>
      </c>
      <c r="AB255" s="97">
        <v>4</v>
      </c>
    </row>
    <row r="256" spans="27:28">
      <c r="AA256" s="445" t="s">
        <v>1112</v>
      </c>
      <c r="AB256" s="97">
        <v>1</v>
      </c>
    </row>
    <row r="257" spans="27:28">
      <c r="AA257" s="445" t="s">
        <v>1113</v>
      </c>
      <c r="AB257" s="97">
        <v>4</v>
      </c>
    </row>
    <row r="258" spans="27:28">
      <c r="AA258" s="445" t="s">
        <v>1114</v>
      </c>
      <c r="AB258" s="97">
        <v>2</v>
      </c>
    </row>
    <row r="259" spans="27:28">
      <c r="AA259" s="445" t="s">
        <v>1115</v>
      </c>
      <c r="AB259" s="97">
        <v>1</v>
      </c>
    </row>
    <row r="260" spans="27:28">
      <c r="AA260" s="445" t="s">
        <v>1116</v>
      </c>
      <c r="AB260" s="97">
        <v>3</v>
      </c>
    </row>
    <row r="261" spans="27:28">
      <c r="AA261" s="445" t="s">
        <v>1117</v>
      </c>
      <c r="AB261" s="97">
        <v>4</v>
      </c>
    </row>
    <row r="262" spans="27:28">
      <c r="AA262" s="445" t="s">
        <v>1118</v>
      </c>
      <c r="AB262" s="97">
        <v>4</v>
      </c>
    </row>
    <row r="263" spans="27:28">
      <c r="AA263" s="445" t="s">
        <v>1119</v>
      </c>
      <c r="AB263" s="97">
        <v>1</v>
      </c>
    </row>
    <row r="264" spans="27:28">
      <c r="AA264" s="445" t="s">
        <v>1120</v>
      </c>
      <c r="AB264" s="97">
        <v>5</v>
      </c>
    </row>
    <row r="265" spans="27:28">
      <c r="AA265" s="445" t="s">
        <v>1121</v>
      </c>
      <c r="AB265" s="97">
        <v>4</v>
      </c>
    </row>
    <row r="266" spans="27:28">
      <c r="AA266" s="445" t="s">
        <v>1122</v>
      </c>
      <c r="AB266" s="97">
        <v>1</v>
      </c>
    </row>
    <row r="267" spans="27:28">
      <c r="AA267" s="445" t="s">
        <v>1123</v>
      </c>
      <c r="AB267" s="97">
        <v>5</v>
      </c>
    </row>
    <row r="268" spans="27:28">
      <c r="AA268" s="445" t="s">
        <v>1124</v>
      </c>
      <c r="AB268" s="97">
        <v>5</v>
      </c>
    </row>
    <row r="269" spans="27:28">
      <c r="AA269" s="445" t="s">
        <v>1125</v>
      </c>
      <c r="AB269" s="97">
        <v>5</v>
      </c>
    </row>
    <row r="270" spans="27:28">
      <c r="AA270" s="445" t="s">
        <v>1126</v>
      </c>
      <c r="AB270" s="97">
        <v>1</v>
      </c>
    </row>
    <row r="271" spans="27:28">
      <c r="AA271" s="445" t="s">
        <v>1127</v>
      </c>
      <c r="AB271" s="97">
        <v>1</v>
      </c>
    </row>
    <row r="272" spans="27:28">
      <c r="AA272" s="445" t="s">
        <v>1128</v>
      </c>
      <c r="AB272" s="97">
        <v>3</v>
      </c>
    </row>
    <row r="273" spans="27:28">
      <c r="AA273" s="445" t="s">
        <v>1129</v>
      </c>
      <c r="AB273" s="97">
        <v>3</v>
      </c>
    </row>
    <row r="274" spans="27:28">
      <c r="AA274" s="445" t="s">
        <v>1130</v>
      </c>
      <c r="AB274" s="97">
        <v>3</v>
      </c>
    </row>
    <row r="275" spans="27:28">
      <c r="AA275" s="445" t="s">
        <v>1131</v>
      </c>
      <c r="AB275" s="97">
        <v>2</v>
      </c>
    </row>
    <row r="276" spans="27:28">
      <c r="AA276" s="445" t="s">
        <v>1132</v>
      </c>
      <c r="AB276" s="97">
        <v>5</v>
      </c>
    </row>
    <row r="277" spans="27:28">
      <c r="AA277" s="445" t="s">
        <v>1133</v>
      </c>
      <c r="AB277" s="97">
        <v>4</v>
      </c>
    </row>
    <row r="278" spans="27:28">
      <c r="AA278" s="445" t="s">
        <v>1134</v>
      </c>
      <c r="AB278" s="97">
        <v>2</v>
      </c>
    </row>
    <row r="279" spans="27:28">
      <c r="AA279" s="445" t="s">
        <v>1135</v>
      </c>
      <c r="AB279" s="97">
        <v>2</v>
      </c>
    </row>
    <row r="280" spans="27:28">
      <c r="AA280" s="445" t="s">
        <v>1136</v>
      </c>
      <c r="AB280" s="97">
        <v>3</v>
      </c>
    </row>
    <row r="281" spans="27:28">
      <c r="AA281" s="445" t="s">
        <v>1137</v>
      </c>
      <c r="AB281" s="97">
        <v>3</v>
      </c>
    </row>
    <row r="282" spans="27:28">
      <c r="AA282" s="445" t="s">
        <v>1138</v>
      </c>
      <c r="AB282" s="97">
        <v>2</v>
      </c>
    </row>
    <row r="283" spans="27:28">
      <c r="AA283" s="445" t="s">
        <v>1139</v>
      </c>
      <c r="AB283" s="97">
        <v>3</v>
      </c>
    </row>
    <row r="284" spans="27:28">
      <c r="AA284" s="445" t="s">
        <v>1140</v>
      </c>
      <c r="AB284" s="97">
        <v>2</v>
      </c>
    </row>
    <row r="285" spans="27:28">
      <c r="AA285" s="445" t="s">
        <v>1141</v>
      </c>
      <c r="AB285" s="97">
        <v>3</v>
      </c>
    </row>
    <row r="286" spans="27:28">
      <c r="AA286" s="445" t="s">
        <v>1142</v>
      </c>
      <c r="AB286" s="97">
        <v>1</v>
      </c>
    </row>
    <row r="287" spans="27:28">
      <c r="AA287" s="445" t="s">
        <v>1143</v>
      </c>
      <c r="AB287" s="97">
        <v>4</v>
      </c>
    </row>
    <row r="288" spans="27:28">
      <c r="AA288" s="445" t="s">
        <v>1144</v>
      </c>
      <c r="AB288" s="97">
        <v>5</v>
      </c>
    </row>
    <row r="289" spans="27:28">
      <c r="AA289" s="445" t="s">
        <v>1145</v>
      </c>
      <c r="AB289" s="97">
        <v>3</v>
      </c>
    </row>
    <row r="290" spans="27:28">
      <c r="AA290" s="445" t="s">
        <v>1146</v>
      </c>
      <c r="AB290" s="97">
        <v>3</v>
      </c>
    </row>
    <row r="291" spans="27:28">
      <c r="AA291" s="445" t="s">
        <v>1147</v>
      </c>
      <c r="AB291" s="97">
        <v>3</v>
      </c>
    </row>
    <row r="292" spans="27:28">
      <c r="AA292" s="445" t="s">
        <v>1148</v>
      </c>
      <c r="AB292" s="97">
        <v>2</v>
      </c>
    </row>
    <row r="293" spans="27:28">
      <c r="AA293" s="445" t="s">
        <v>1149</v>
      </c>
      <c r="AB293" s="97">
        <v>3</v>
      </c>
    </row>
    <row r="294" spans="27:28">
      <c r="AA294" s="445" t="s">
        <v>1150</v>
      </c>
      <c r="AB294" s="97">
        <v>4</v>
      </c>
    </row>
    <row r="295" spans="27:28">
      <c r="AA295" s="445" t="s">
        <v>1151</v>
      </c>
      <c r="AB295" s="97">
        <v>5</v>
      </c>
    </row>
    <row r="296" spans="27:28">
      <c r="AA296" s="445" t="s">
        <v>1152</v>
      </c>
      <c r="AB296" s="97">
        <v>5</v>
      </c>
    </row>
    <row r="297" spans="27:28">
      <c r="AA297" s="445" t="s">
        <v>1153</v>
      </c>
      <c r="AB297" s="97">
        <v>2</v>
      </c>
    </row>
    <row r="298" spans="27:28">
      <c r="AA298" s="445" t="s">
        <v>1154</v>
      </c>
      <c r="AB298" s="97">
        <v>4</v>
      </c>
    </row>
    <row r="299" spans="27:28">
      <c r="AA299" s="445" t="s">
        <v>1155</v>
      </c>
      <c r="AB299" s="97">
        <v>5</v>
      </c>
    </row>
    <row r="300" spans="27:28">
      <c r="AA300" s="445" t="s">
        <v>1156</v>
      </c>
      <c r="AB300" s="97">
        <v>1</v>
      </c>
    </row>
    <row r="301" spans="27:28">
      <c r="AA301" s="445" t="s">
        <v>1157</v>
      </c>
      <c r="AB301" s="97">
        <v>4</v>
      </c>
    </row>
    <row r="302" spans="27:28">
      <c r="AA302" s="445" t="s">
        <v>1158</v>
      </c>
      <c r="AB302" s="97">
        <v>3</v>
      </c>
    </row>
    <row r="303" spans="27:28">
      <c r="AA303" s="445" t="s">
        <v>1159</v>
      </c>
      <c r="AB303" s="97">
        <v>5</v>
      </c>
    </row>
    <row r="304" spans="27:28">
      <c r="AA304" s="445" t="s">
        <v>1160</v>
      </c>
      <c r="AB304" s="97">
        <v>4</v>
      </c>
    </row>
    <row r="305" spans="27:28">
      <c r="AA305" s="445" t="s">
        <v>1161</v>
      </c>
      <c r="AB305" s="97">
        <v>1</v>
      </c>
    </row>
    <row r="306" spans="27:28">
      <c r="AA306" s="445" t="s">
        <v>1162</v>
      </c>
      <c r="AB306" s="97">
        <v>3</v>
      </c>
    </row>
    <row r="307" spans="27:28">
      <c r="AA307" s="445" t="s">
        <v>1163</v>
      </c>
      <c r="AB307" s="97">
        <v>3</v>
      </c>
    </row>
    <row r="308" spans="27:28">
      <c r="AA308" s="445" t="s">
        <v>1164</v>
      </c>
      <c r="AB308" s="97">
        <v>4</v>
      </c>
    </row>
    <row r="309" spans="27:28">
      <c r="AA309" s="445" t="s">
        <v>1165</v>
      </c>
      <c r="AB309" s="97">
        <v>2</v>
      </c>
    </row>
    <row r="310" spans="27:28">
      <c r="AA310" s="445" t="s">
        <v>1166</v>
      </c>
      <c r="AB310" s="97">
        <v>5</v>
      </c>
    </row>
    <row r="311" spans="27:28">
      <c r="AA311" s="445" t="s">
        <v>1167</v>
      </c>
      <c r="AB311" s="97">
        <v>4</v>
      </c>
    </row>
    <row r="312" spans="27:28">
      <c r="AA312" s="445" t="s">
        <v>1168</v>
      </c>
      <c r="AB312" s="97">
        <v>2</v>
      </c>
    </row>
    <row r="313" spans="27:28">
      <c r="AA313" s="445" t="s">
        <v>1169</v>
      </c>
      <c r="AB313" s="97">
        <v>5</v>
      </c>
    </row>
    <row r="314" spans="27:28">
      <c r="AA314" s="445" t="s">
        <v>1170</v>
      </c>
      <c r="AB314" s="97">
        <v>2</v>
      </c>
    </row>
    <row r="315" spans="27:28">
      <c r="AA315" s="445" t="s">
        <v>1171</v>
      </c>
      <c r="AB315" s="97">
        <v>2</v>
      </c>
    </row>
    <row r="316" spans="27:28">
      <c r="AA316" s="445" t="s">
        <v>1172</v>
      </c>
      <c r="AB316" s="97">
        <v>1</v>
      </c>
    </row>
    <row r="317" spans="27:28">
      <c r="AA317" s="445" t="s">
        <v>1173</v>
      </c>
      <c r="AB317" s="97">
        <v>6</v>
      </c>
    </row>
    <row r="318" spans="27:28">
      <c r="AA318" s="445" t="s">
        <v>1174</v>
      </c>
      <c r="AB318" s="97">
        <v>3</v>
      </c>
    </row>
    <row r="319" spans="27:28">
      <c r="AA319" s="445" t="s">
        <v>1175</v>
      </c>
      <c r="AB319" s="97">
        <v>3</v>
      </c>
    </row>
    <row r="320" spans="27:28">
      <c r="AA320" s="445" t="s">
        <v>1176</v>
      </c>
      <c r="AB320" s="97">
        <v>6</v>
      </c>
    </row>
    <row r="321" spans="27:28">
      <c r="AA321" s="445" t="s">
        <v>1177</v>
      </c>
      <c r="AB321" s="97">
        <v>5</v>
      </c>
    </row>
    <row r="322" spans="27:28">
      <c r="AA322" s="445" t="s">
        <v>1178</v>
      </c>
      <c r="AB322" s="97">
        <v>2</v>
      </c>
    </row>
    <row r="323" spans="27:28">
      <c r="AA323" s="445" t="s">
        <v>1179</v>
      </c>
      <c r="AB323" s="97">
        <v>4</v>
      </c>
    </row>
    <row r="324" spans="27:28">
      <c r="AA324" s="445" t="s">
        <v>1180</v>
      </c>
      <c r="AB324" s="97">
        <v>3</v>
      </c>
    </row>
    <row r="325" spans="27:28">
      <c r="AA325" s="445" t="s">
        <v>1181</v>
      </c>
      <c r="AB325" s="97">
        <v>5</v>
      </c>
    </row>
    <row r="326" spans="27:28">
      <c r="AA326" s="445" t="s">
        <v>1182</v>
      </c>
      <c r="AB326" s="97">
        <v>2</v>
      </c>
    </row>
    <row r="327" spans="27:28">
      <c r="AA327" s="445" t="s">
        <v>1183</v>
      </c>
      <c r="AB327" s="97">
        <v>4</v>
      </c>
    </row>
    <row r="328" spans="27:28">
      <c r="AA328" s="445" t="s">
        <v>1184</v>
      </c>
      <c r="AB328" s="97">
        <v>2</v>
      </c>
    </row>
    <row r="329" spans="27:28">
      <c r="AA329" s="445" t="s">
        <v>1185</v>
      </c>
      <c r="AB329" s="97">
        <v>1</v>
      </c>
    </row>
    <row r="330" spans="27:28">
      <c r="AA330" s="445" t="s">
        <v>1186</v>
      </c>
      <c r="AB330" s="97">
        <v>5</v>
      </c>
    </row>
    <row r="331" spans="27:28">
      <c r="AA331" s="445" t="s">
        <v>1187</v>
      </c>
      <c r="AB331" s="97">
        <v>3</v>
      </c>
    </row>
    <row r="332" spans="27:28">
      <c r="AA332" s="445" t="s">
        <v>1188</v>
      </c>
      <c r="AB332" s="97">
        <v>2</v>
      </c>
    </row>
    <row r="333" spans="27:28">
      <c r="AA333" s="445" t="s">
        <v>1189</v>
      </c>
      <c r="AB333" s="97">
        <v>3</v>
      </c>
    </row>
    <row r="334" spans="27:28">
      <c r="AA334" s="445" t="s">
        <v>1190</v>
      </c>
      <c r="AB334" s="97">
        <v>2</v>
      </c>
    </row>
    <row r="335" spans="27:28">
      <c r="AA335" s="445" t="s">
        <v>1191</v>
      </c>
      <c r="AB335" s="97">
        <v>3</v>
      </c>
    </row>
    <row r="336" spans="27:28">
      <c r="AA336" s="445" t="s">
        <v>1192</v>
      </c>
      <c r="AB336" s="97">
        <v>6</v>
      </c>
    </row>
    <row r="337" spans="27:28">
      <c r="AA337" s="445" t="s">
        <v>1193</v>
      </c>
      <c r="AB337" s="97">
        <v>5</v>
      </c>
    </row>
    <row r="338" spans="27:28">
      <c r="AA338" s="445" t="s">
        <v>1194</v>
      </c>
      <c r="AB338" s="97">
        <v>6</v>
      </c>
    </row>
    <row r="339" spans="27:28">
      <c r="AA339" s="445" t="s">
        <v>1195</v>
      </c>
      <c r="AB339" s="97">
        <v>6</v>
      </c>
    </row>
    <row r="340" spans="27:28">
      <c r="AA340" s="445" t="s">
        <v>1196</v>
      </c>
      <c r="AB340" s="97">
        <v>2</v>
      </c>
    </row>
    <row r="341" spans="27:28">
      <c r="AA341" s="445" t="s">
        <v>1197</v>
      </c>
      <c r="AB341" s="97">
        <v>5</v>
      </c>
    </row>
    <row r="342" spans="27:28">
      <c r="AA342" s="445" t="s">
        <v>1198</v>
      </c>
      <c r="AB342" s="97">
        <v>2</v>
      </c>
    </row>
    <row r="343" spans="27:28">
      <c r="AA343" s="445" t="s">
        <v>1199</v>
      </c>
      <c r="AB343" s="97">
        <v>1</v>
      </c>
    </row>
    <row r="344" spans="27:28">
      <c r="AA344" s="445" t="s">
        <v>1200</v>
      </c>
      <c r="AB344" s="97">
        <v>1</v>
      </c>
    </row>
    <row r="345" spans="27:28">
      <c r="AA345" s="445" t="s">
        <v>1201</v>
      </c>
      <c r="AB345" s="97">
        <v>4</v>
      </c>
    </row>
    <row r="346" spans="27:28">
      <c r="AA346" s="445" t="s">
        <v>1202</v>
      </c>
      <c r="AB346" s="97">
        <v>2</v>
      </c>
    </row>
    <row r="347" spans="27:28">
      <c r="AA347" s="445" t="s">
        <v>752</v>
      </c>
      <c r="AB347" s="97">
        <v>4</v>
      </c>
    </row>
    <row r="348" spans="27:28">
      <c r="AA348" s="445" t="s">
        <v>1203</v>
      </c>
      <c r="AB348" s="97">
        <v>1</v>
      </c>
    </row>
    <row r="349" spans="27:28">
      <c r="AA349" s="445" t="s">
        <v>1204</v>
      </c>
      <c r="AB349" s="97">
        <v>6</v>
      </c>
    </row>
    <row r="350" spans="27:28">
      <c r="AA350" s="445" t="s">
        <v>1205</v>
      </c>
      <c r="AB350" s="97">
        <v>4</v>
      </c>
    </row>
    <row r="351" spans="27:28">
      <c r="AA351" s="445" t="s">
        <v>1206</v>
      </c>
      <c r="AB351" s="97">
        <v>3</v>
      </c>
    </row>
    <row r="352" spans="27:28">
      <c r="AA352" s="445" t="s">
        <v>1207</v>
      </c>
      <c r="AB352" s="97">
        <v>1</v>
      </c>
    </row>
    <row r="353" spans="27:28">
      <c r="AA353" s="445" t="s">
        <v>1208</v>
      </c>
      <c r="AB353" s="97">
        <v>5</v>
      </c>
    </row>
    <row r="354" spans="27:28">
      <c r="AA354" s="445" t="s">
        <v>1209</v>
      </c>
      <c r="AB354" s="97">
        <v>5</v>
      </c>
    </row>
  </sheetData>
  <pageMargins left="0.7" right="0.7" top="0.75" bottom="0.75" header="0.3" footer="0.3"/>
  <pageSetup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DB5C-51B6-4687-8ADE-3C26174C2212}">
  <sheetPr codeName="Sheet13">
    <tabColor rgb="FFFF0000"/>
  </sheetPr>
  <dimension ref="A1:E2655"/>
  <sheetViews>
    <sheetView workbookViewId="0">
      <selection activeCell="A11" sqref="A11"/>
    </sheetView>
  </sheetViews>
  <sheetFormatPr defaultColWidth="9.140625" defaultRowHeight="15"/>
  <cols>
    <col min="1" max="1" width="79.42578125" style="18" customWidth="1"/>
    <col min="2" max="2" width="12.85546875" style="18" customWidth="1"/>
    <col min="3" max="3" width="86" style="18" customWidth="1"/>
    <col min="4" max="4" width="6.42578125" style="18" customWidth="1"/>
    <col min="5" max="5" width="29.85546875" style="18" bestFit="1" customWidth="1"/>
    <col min="6" max="16384" width="9.140625" style="18"/>
  </cols>
  <sheetData>
    <row r="1" spans="1:5" ht="15.75">
      <c r="A1" s="36"/>
      <c r="B1" s="17" t="s">
        <v>77</v>
      </c>
      <c r="C1" s="16" t="s">
        <v>21</v>
      </c>
      <c r="D1" s="17" t="s">
        <v>57</v>
      </c>
      <c r="E1" s="36" t="s">
        <v>3628</v>
      </c>
    </row>
    <row r="2" spans="1:5">
      <c r="A2" s="18" t="str">
        <f t="shared" ref="A2:A65" si="0">B2&amp;" "&amp;C2</f>
        <v>100 SCHEDULE OF OPERATIONS - FIXED PRICE $                    </v>
      </c>
      <c r="B2" s="19">
        <v>100</v>
      </c>
      <c r="C2" s="20" t="s">
        <v>1936</v>
      </c>
      <c r="D2" s="20" t="s">
        <v>22</v>
      </c>
      <c r="E2" s="36" t="s">
        <v>3629</v>
      </c>
    </row>
    <row r="3" spans="1:5">
      <c r="A3" s="18" t="str">
        <f t="shared" si="0"/>
        <v>100.001 ELECTRICIAN</v>
      </c>
      <c r="B3" s="19">
        <v>100.001</v>
      </c>
      <c r="C3" s="20" t="s">
        <v>82</v>
      </c>
      <c r="D3" s="20" t="s">
        <v>24</v>
      </c>
      <c r="E3" s="36" t="s">
        <v>3630</v>
      </c>
    </row>
    <row r="4" spans="1:5" s="26" customFormat="1">
      <c r="A4" s="18" t="str">
        <f t="shared" si="0"/>
        <v>100.002 LABORER</v>
      </c>
      <c r="B4" s="19">
        <v>100.002</v>
      </c>
      <c r="C4" s="20" t="s">
        <v>83</v>
      </c>
      <c r="D4" s="20" t="s">
        <v>24</v>
      </c>
      <c r="E4" s="37" t="s">
        <v>3631</v>
      </c>
    </row>
    <row r="5" spans="1:5">
      <c r="A5" s="18" t="str">
        <f t="shared" si="0"/>
        <v>100.003 SKILLED LABORER</v>
      </c>
      <c r="B5" s="21">
        <v>100.003</v>
      </c>
      <c r="C5" s="22" t="s">
        <v>1937</v>
      </c>
      <c r="D5" s="22" t="s">
        <v>24</v>
      </c>
      <c r="E5" s="36" t="s">
        <v>3632</v>
      </c>
    </row>
    <row r="6" spans="1:5" s="26" customFormat="1">
      <c r="A6" s="18" t="str">
        <f t="shared" si="0"/>
        <v>100.004 WELDER</v>
      </c>
      <c r="B6" s="21">
        <v>100.004</v>
      </c>
      <c r="C6" s="22" t="s">
        <v>1938</v>
      </c>
      <c r="D6" s="22" t="s">
        <v>24</v>
      </c>
      <c r="E6" s="37" t="s">
        <v>3635</v>
      </c>
    </row>
    <row r="7" spans="1:5">
      <c r="A7" s="18" t="str">
        <f t="shared" si="0"/>
        <v>100.005 PLUMBER</v>
      </c>
      <c r="B7" s="19">
        <v>100.005</v>
      </c>
      <c r="C7" s="20" t="s">
        <v>1270</v>
      </c>
      <c r="D7" s="20" t="s">
        <v>24</v>
      </c>
      <c r="E7" s="36" t="s">
        <v>3633</v>
      </c>
    </row>
    <row r="8" spans="1:5" s="26" customFormat="1">
      <c r="A8" s="18" t="str">
        <f t="shared" si="0"/>
        <v>100.006 CARPENTER</v>
      </c>
      <c r="B8" s="19">
        <v>100.006</v>
      </c>
      <c r="C8" s="20" t="s">
        <v>1939</v>
      </c>
      <c r="D8" s="20" t="s">
        <v>24</v>
      </c>
      <c r="E8" s="37" t="s">
        <v>3636</v>
      </c>
    </row>
    <row r="9" spans="1:5">
      <c r="A9" s="18" t="str">
        <f t="shared" si="0"/>
        <v>100.007 MECHANIC</v>
      </c>
      <c r="B9" s="21">
        <v>100.00700000000001</v>
      </c>
      <c r="C9" s="22" t="s">
        <v>1940</v>
      </c>
      <c r="D9" s="22" t="s">
        <v>24</v>
      </c>
      <c r="E9" s="36" t="s">
        <v>3634</v>
      </c>
    </row>
    <row r="10" spans="1:5" s="26" customFormat="1">
      <c r="A10" s="18" t="str">
        <f t="shared" si="0"/>
        <v>100.008 MILLWRIGHT</v>
      </c>
      <c r="B10" s="21">
        <v>100.008</v>
      </c>
      <c r="C10" s="22" t="s">
        <v>1941</v>
      </c>
      <c r="D10" s="22" t="s">
        <v>24</v>
      </c>
      <c r="E10" s="26" t="s">
        <v>3680</v>
      </c>
    </row>
    <row r="11" spans="1:5">
      <c r="A11" s="18" t="str">
        <f t="shared" si="0"/>
        <v>100.009 EQUIPMENT OPERATOR</v>
      </c>
      <c r="B11" s="21">
        <v>100.009</v>
      </c>
      <c r="C11" s="22" t="s">
        <v>84</v>
      </c>
      <c r="D11" s="22" t="s">
        <v>24</v>
      </c>
    </row>
    <row r="12" spans="1:5" s="26" customFormat="1">
      <c r="A12" s="18" t="str">
        <f t="shared" si="0"/>
        <v>100.01 IRONWORKER</v>
      </c>
      <c r="B12" s="21">
        <v>100.01</v>
      </c>
      <c r="C12" s="22" t="s">
        <v>1942</v>
      </c>
      <c r="D12" s="22" t="s">
        <v>24</v>
      </c>
    </row>
    <row r="13" spans="1:5">
      <c r="A13" s="18" t="str">
        <f t="shared" si="0"/>
        <v>100.011 MACHINIST</v>
      </c>
      <c r="B13" s="19">
        <v>100.011</v>
      </c>
      <c r="C13" s="20" t="s">
        <v>1943</v>
      </c>
      <c r="D13" s="20" t="s">
        <v>24</v>
      </c>
    </row>
    <row r="14" spans="1:5" s="26" customFormat="1">
      <c r="A14" s="18" t="str">
        <f t="shared" si="0"/>
        <v>100.1 BASE LABOR RATE</v>
      </c>
      <c r="B14" s="19">
        <v>100.1</v>
      </c>
      <c r="C14" s="20" t="s">
        <v>85</v>
      </c>
      <c r="D14" s="20" t="s">
        <v>24</v>
      </c>
    </row>
    <row r="15" spans="1:5">
      <c r="A15" s="18" t="str">
        <f t="shared" si="0"/>
        <v>100.4 STORAGE FACILITY OR BUILDING</v>
      </c>
      <c r="B15" s="19">
        <v>100.4</v>
      </c>
      <c r="C15" s="20" t="s">
        <v>1271</v>
      </c>
      <c r="D15" s="20" t="s">
        <v>22</v>
      </c>
    </row>
    <row r="16" spans="1:5" s="26" customFormat="1">
      <c r="A16" s="18" t="str">
        <f t="shared" si="0"/>
        <v>100.5 ELECTRICAL WORK</v>
      </c>
      <c r="B16" s="19">
        <v>100.5</v>
      </c>
      <c r="C16" s="20" t="s">
        <v>1272</v>
      </c>
      <c r="D16" s="20" t="s">
        <v>22</v>
      </c>
    </row>
    <row r="17" spans="1:4">
      <c r="A17" s="18" t="str">
        <f t="shared" si="0"/>
        <v>100.6 PLUMBING WORK</v>
      </c>
      <c r="B17" s="19">
        <v>100.6</v>
      </c>
      <c r="C17" s="20" t="s">
        <v>1944</v>
      </c>
      <c r="D17" s="20" t="s">
        <v>22</v>
      </c>
    </row>
    <row r="18" spans="1:4" s="26" customFormat="1">
      <c r="A18" s="18" t="str">
        <f t="shared" si="0"/>
        <v>100.61 HVAC WORK</v>
      </c>
      <c r="B18" s="21">
        <v>100.61</v>
      </c>
      <c r="C18" s="22" t="s">
        <v>86</v>
      </c>
      <c r="D18" s="22" t="s">
        <v>22</v>
      </c>
    </row>
    <row r="19" spans="1:4">
      <c r="A19" s="18" t="str">
        <f t="shared" si="0"/>
        <v>100.7 ROOFING AND FLASHING WORK</v>
      </c>
      <c r="B19" s="21">
        <v>100.7</v>
      </c>
      <c r="C19" s="22" t="s">
        <v>87</v>
      </c>
      <c r="D19" s="22" t="s">
        <v>22</v>
      </c>
    </row>
    <row r="20" spans="1:4" s="26" customFormat="1">
      <c r="A20" s="18" t="str">
        <f t="shared" si="0"/>
        <v>100.71 MASONRY WORK</v>
      </c>
      <c r="B20" s="19">
        <v>100.71</v>
      </c>
      <c r="C20" s="20" t="s">
        <v>88</v>
      </c>
      <c r="D20" s="20" t="s">
        <v>22</v>
      </c>
    </row>
    <row r="21" spans="1:4">
      <c r="A21" s="18" t="str">
        <f t="shared" si="0"/>
        <v>100.72 LATHING AND PLASTERING WORK</v>
      </c>
      <c r="B21" s="21">
        <v>100.72</v>
      </c>
      <c r="C21" s="22" t="s">
        <v>1945</v>
      </c>
      <c r="D21" s="22" t="s">
        <v>22</v>
      </c>
    </row>
    <row r="22" spans="1:4" s="26" customFormat="1">
      <c r="A22" s="18" t="str">
        <f t="shared" si="0"/>
        <v>100.73 GLASS AND GLAZING WORK</v>
      </c>
      <c r="B22" s="21">
        <v>100.73</v>
      </c>
      <c r="C22" s="22" t="s">
        <v>1946</v>
      </c>
      <c r="D22" s="22" t="s">
        <v>22</v>
      </c>
    </row>
    <row r="23" spans="1:4">
      <c r="A23" s="18" t="str">
        <f t="shared" si="0"/>
        <v>100.74 METAL WINDOWS WORK</v>
      </c>
      <c r="B23" s="21">
        <v>100.74</v>
      </c>
      <c r="C23" s="22" t="s">
        <v>1947</v>
      </c>
      <c r="D23" s="22" t="s">
        <v>22</v>
      </c>
    </row>
    <row r="24" spans="1:4" s="26" customFormat="1">
      <c r="A24" s="18" t="str">
        <f t="shared" si="0"/>
        <v>100.75 PAINTING</v>
      </c>
      <c r="B24" s="19">
        <v>100.75</v>
      </c>
      <c r="C24" s="20" t="s">
        <v>89</v>
      </c>
      <c r="D24" s="20" t="s">
        <v>22</v>
      </c>
    </row>
    <row r="25" spans="1:4">
      <c r="A25" s="18" t="str">
        <f t="shared" si="0"/>
        <v>100.76 TILES</v>
      </c>
      <c r="B25" s="19">
        <v>100.76</v>
      </c>
      <c r="C25" s="20" t="s">
        <v>1948</v>
      </c>
      <c r="D25" s="20" t="s">
        <v>22</v>
      </c>
    </row>
    <row r="26" spans="1:4" s="26" customFormat="1">
      <c r="A26" s="18" t="str">
        <f t="shared" si="0"/>
        <v>100.76 TILES</v>
      </c>
      <c r="B26" s="21">
        <v>100.76</v>
      </c>
      <c r="C26" s="22" t="s">
        <v>1948</v>
      </c>
      <c r="D26" s="22" t="s">
        <v>2</v>
      </c>
    </row>
    <row r="27" spans="1:4">
      <c r="A27" s="18" t="str">
        <f t="shared" si="0"/>
        <v>100.77 RESILENT FLOORING</v>
      </c>
      <c r="B27" s="21">
        <v>100.77</v>
      </c>
      <c r="C27" s="22" t="s">
        <v>1949</v>
      </c>
      <c r="D27" s="22" t="s">
        <v>22</v>
      </c>
    </row>
    <row r="28" spans="1:4" s="26" customFormat="1">
      <c r="A28" s="18" t="str">
        <f t="shared" si="0"/>
        <v>100.78 MISCELLANEOUS AND ORNAMENTAL IRON WORK</v>
      </c>
      <c r="B28" s="21">
        <v>100.78</v>
      </c>
      <c r="C28" s="22" t="s">
        <v>90</v>
      </c>
      <c r="D28" s="22" t="s">
        <v>22</v>
      </c>
    </row>
    <row r="29" spans="1:4">
      <c r="A29" s="18" t="str">
        <f t="shared" si="0"/>
        <v>100.8 ELEVATORS</v>
      </c>
      <c r="B29" s="19">
        <v>100.8</v>
      </c>
      <c r="C29" s="20" t="s">
        <v>91</v>
      </c>
      <c r="D29" s="20" t="s">
        <v>22</v>
      </c>
    </row>
    <row r="30" spans="1:4" s="26" customFormat="1">
      <c r="A30" s="18" t="str">
        <f t="shared" si="0"/>
        <v>101 CLEARING AND GRUBBING</v>
      </c>
      <c r="B30" s="19">
        <v>101</v>
      </c>
      <c r="C30" s="20" t="s">
        <v>54</v>
      </c>
      <c r="D30" s="20" t="s">
        <v>55</v>
      </c>
    </row>
    <row r="31" spans="1:4">
      <c r="A31" s="18" t="str">
        <f t="shared" si="0"/>
        <v>101.1 CLEARING</v>
      </c>
      <c r="B31" s="19">
        <v>101.1</v>
      </c>
      <c r="C31" s="20" t="s">
        <v>1273</v>
      </c>
      <c r="D31" s="20" t="s">
        <v>55</v>
      </c>
    </row>
    <row r="32" spans="1:4" s="26" customFormat="1">
      <c r="A32" s="18" t="str">
        <f t="shared" si="0"/>
        <v>102 SELECTIVE CLEARING AND THINNING</v>
      </c>
      <c r="B32" s="19">
        <v>102</v>
      </c>
      <c r="C32" s="20" t="s">
        <v>92</v>
      </c>
      <c r="D32" s="20" t="s">
        <v>55</v>
      </c>
    </row>
    <row r="33" spans="1:4">
      <c r="A33" s="18" t="str">
        <f t="shared" si="0"/>
        <v>102.01 SELECTIVE CLEARING AND GRUBBING</v>
      </c>
      <c r="B33" s="19">
        <v>102.01</v>
      </c>
      <c r="C33" s="20" t="s">
        <v>1950</v>
      </c>
      <c r="D33" s="20" t="s">
        <v>22</v>
      </c>
    </row>
    <row r="34" spans="1:4" s="26" customFormat="1">
      <c r="A34" s="18" t="str">
        <f t="shared" si="0"/>
        <v>102.1 TREE TRIMMING</v>
      </c>
      <c r="B34" s="19">
        <v>102.1</v>
      </c>
      <c r="C34" s="20" t="s">
        <v>93</v>
      </c>
      <c r="D34" s="20" t="s">
        <v>17</v>
      </c>
    </row>
    <row r="35" spans="1:4">
      <c r="A35" s="18" t="str">
        <f t="shared" si="0"/>
        <v>102.12 TREE TRIMMING</v>
      </c>
      <c r="B35" s="21">
        <v>102.12</v>
      </c>
      <c r="C35" s="22" t="s">
        <v>93</v>
      </c>
      <c r="D35" s="22" t="s">
        <v>2</v>
      </c>
    </row>
    <row r="36" spans="1:4" s="26" customFormat="1">
      <c r="A36" s="18" t="str">
        <f t="shared" si="0"/>
        <v>102.2 TREE TRIMMING</v>
      </c>
      <c r="B36" s="21">
        <v>102.2</v>
      </c>
      <c r="C36" s="22" t="s">
        <v>93</v>
      </c>
      <c r="D36" s="22" t="s">
        <v>22</v>
      </c>
    </row>
    <row r="37" spans="1:4">
      <c r="A37" s="18" t="str">
        <f t="shared" si="0"/>
        <v>102.3 HERBICIDE TREATMENT FOR INVASIVE PLANTS</v>
      </c>
      <c r="B37" s="21">
        <v>102.3</v>
      </c>
      <c r="C37" s="22" t="s">
        <v>1274</v>
      </c>
      <c r="D37" s="22" t="s">
        <v>24</v>
      </c>
    </row>
    <row r="38" spans="1:4" s="26" customFormat="1">
      <c r="A38" s="18" t="str">
        <f t="shared" si="0"/>
        <v>102.33 INVASIVE PLANT MANAGEMENT STRATEGY</v>
      </c>
      <c r="B38" s="19">
        <v>102.33</v>
      </c>
      <c r="C38" s="20" t="s">
        <v>1275</v>
      </c>
      <c r="D38" s="20" t="s">
        <v>24</v>
      </c>
    </row>
    <row r="39" spans="1:4">
      <c r="A39" s="18" t="str">
        <f t="shared" si="0"/>
        <v>102.511 TREE PROTECTION –  ARMORING &amp; PRUNING</v>
      </c>
      <c r="B39" s="21">
        <v>102.511</v>
      </c>
      <c r="C39" s="22" t="s">
        <v>1951</v>
      </c>
      <c r="D39" s="22" t="s">
        <v>2</v>
      </c>
    </row>
    <row r="40" spans="1:4" s="26" customFormat="1">
      <c r="A40" s="18" t="str">
        <f t="shared" si="0"/>
        <v>102.521 TREE AND PLANT PROTECTION FENCE</v>
      </c>
      <c r="B40" s="19">
        <v>102.521</v>
      </c>
      <c r="C40" s="20" t="s">
        <v>1276</v>
      </c>
      <c r="D40" s="20" t="s">
        <v>17</v>
      </c>
    </row>
    <row r="41" spans="1:4">
      <c r="A41" s="18" t="str">
        <f t="shared" si="0"/>
        <v>102.522 TREE AND PLANT PROTECTION FENCE - CHAIN LINK</v>
      </c>
      <c r="B41" s="21">
        <v>102.52200000000001</v>
      </c>
      <c r="C41" s="22" t="s">
        <v>1952</v>
      </c>
      <c r="D41" s="22" t="s">
        <v>17</v>
      </c>
    </row>
    <row r="42" spans="1:4" s="26" customFormat="1">
      <c r="A42" s="18" t="str">
        <f t="shared" si="0"/>
        <v>102.55 ARBORIST</v>
      </c>
      <c r="B42" s="21">
        <v>102.55</v>
      </c>
      <c r="C42" s="22" t="s">
        <v>1277</v>
      </c>
      <c r="D42" s="22" t="s">
        <v>24</v>
      </c>
    </row>
    <row r="43" spans="1:4">
      <c r="A43" s="18" t="str">
        <f t="shared" si="0"/>
        <v>103 TREE REMOVED - DIAMETER UNDER 24 INCHES</v>
      </c>
      <c r="B43" s="19">
        <v>103</v>
      </c>
      <c r="C43" s="20" t="s">
        <v>35</v>
      </c>
      <c r="D43" s="20" t="s">
        <v>2</v>
      </c>
    </row>
    <row r="44" spans="1:4" s="26" customFormat="1">
      <c r="A44" s="18" t="str">
        <f t="shared" si="0"/>
        <v>104 TREE REMOVED - DIAMETER 24 INCHES AND OVER</v>
      </c>
      <c r="B44" s="19">
        <v>104</v>
      </c>
      <c r="C44" s="20" t="s">
        <v>94</v>
      </c>
      <c r="D44" s="20" t="s">
        <v>2</v>
      </c>
    </row>
    <row r="45" spans="1:4">
      <c r="A45" s="18" t="str">
        <f t="shared" si="0"/>
        <v>105 STUMP REMOVED</v>
      </c>
      <c r="B45" s="19">
        <v>105</v>
      </c>
      <c r="C45" s="20" t="s">
        <v>95</v>
      </c>
      <c r="D45" s="20" t="s">
        <v>2</v>
      </c>
    </row>
    <row r="46" spans="1:4" s="26" customFormat="1">
      <c r="A46" s="18" t="str">
        <f t="shared" si="0"/>
        <v>105.4 TREE REMOVED (EXCLUDING STUMP) DIAMETER UNDER 24 INCHES</v>
      </c>
      <c r="B46" s="21">
        <v>105.4</v>
      </c>
      <c r="C46" s="22" t="s">
        <v>1953</v>
      </c>
      <c r="D46" s="22" t="s">
        <v>2</v>
      </c>
    </row>
    <row r="47" spans="1:4">
      <c r="A47" s="18" t="str">
        <f t="shared" si="0"/>
        <v>105.43 TREE REMOVED (EXCLUDING STUMP) DIAMETER 24 INCHES AND OVER</v>
      </c>
      <c r="B47" s="19">
        <v>105.43</v>
      </c>
      <c r="C47" s="20" t="s">
        <v>1954</v>
      </c>
      <c r="D47" s="20" t="s">
        <v>2</v>
      </c>
    </row>
    <row r="48" spans="1:4" s="26" customFormat="1">
      <c r="A48" s="18" t="str">
        <f t="shared" si="0"/>
        <v>106.101 BEARING ADJUSTMENT</v>
      </c>
      <c r="B48" s="21">
        <v>106.101</v>
      </c>
      <c r="C48" s="22" t="s">
        <v>1955</v>
      </c>
      <c r="D48" s="22" t="s">
        <v>2</v>
      </c>
    </row>
    <row r="49" spans="1:4">
      <c r="A49" s="18" t="str">
        <f t="shared" si="0"/>
        <v>106.11 BLEEDER (BRIDGE DECK)</v>
      </c>
      <c r="B49" s="19">
        <v>106.11</v>
      </c>
      <c r="C49" s="20" t="s">
        <v>1956</v>
      </c>
      <c r="D49" s="20" t="s">
        <v>2</v>
      </c>
    </row>
    <row r="50" spans="1:4" s="26" customFormat="1">
      <c r="A50" s="18" t="str">
        <f t="shared" si="0"/>
        <v>106.12 BRIDGE CURB REMOVED AND RESET</v>
      </c>
      <c r="B50" s="21">
        <v>106.12</v>
      </c>
      <c r="C50" s="22" t="s">
        <v>96</v>
      </c>
      <c r="D50" s="22" t="s">
        <v>17</v>
      </c>
    </row>
    <row r="51" spans="1:4">
      <c r="A51" s="18" t="str">
        <f t="shared" si="0"/>
        <v>106.13 BRIDGE FENCE POST ANCHOR BOLT</v>
      </c>
      <c r="B51" s="21">
        <v>106.13</v>
      </c>
      <c r="C51" s="22" t="s">
        <v>1957</v>
      </c>
      <c r="D51" s="22" t="s">
        <v>2</v>
      </c>
    </row>
    <row r="52" spans="1:4" s="26" customFormat="1">
      <c r="A52" s="18" t="str">
        <f t="shared" si="0"/>
        <v>106.14 BRIDGE SCUPPER</v>
      </c>
      <c r="B52" s="21">
        <v>106.14</v>
      </c>
      <c r="C52" s="22" t="s">
        <v>1958</v>
      </c>
      <c r="D52" s="22" t="s">
        <v>2</v>
      </c>
    </row>
    <row r="53" spans="1:4">
      <c r="A53" s="18" t="str">
        <f t="shared" si="0"/>
        <v>106.15 BLEEDER (BRIDGE DECK) PVC</v>
      </c>
      <c r="B53" s="19">
        <v>106.15</v>
      </c>
      <c r="C53" s="20" t="s">
        <v>97</v>
      </c>
      <c r="D53" s="20" t="s">
        <v>2</v>
      </c>
    </row>
    <row r="54" spans="1:4" s="26" customFormat="1">
      <c r="A54" s="18" t="str">
        <f t="shared" si="0"/>
        <v>106.2 CEMENT CONCRETE REFINISHING</v>
      </c>
      <c r="B54" s="21">
        <v>106.2</v>
      </c>
      <c r="C54" s="22" t="s">
        <v>1959</v>
      </c>
      <c r="D54" s="22" t="s">
        <v>1</v>
      </c>
    </row>
    <row r="55" spans="1:4">
      <c r="A55" s="18" t="str">
        <f t="shared" si="0"/>
        <v>106.251 CEMENT MORTAR FOR PATCHING</v>
      </c>
      <c r="B55" s="21">
        <v>106.251</v>
      </c>
      <c r="C55" s="22" t="s">
        <v>1960</v>
      </c>
      <c r="D55" s="22" t="s">
        <v>4</v>
      </c>
    </row>
    <row r="56" spans="1:4" s="26" customFormat="1">
      <c r="A56" s="18" t="str">
        <f t="shared" si="0"/>
        <v>106.28 CLEANING ABUTMENT DRAIN</v>
      </c>
      <c r="B56" s="19">
        <v>106.28</v>
      </c>
      <c r="C56" s="20" t="s">
        <v>1961</v>
      </c>
      <c r="D56" s="20" t="s">
        <v>2</v>
      </c>
    </row>
    <row r="57" spans="1:4">
      <c r="A57" s="18" t="str">
        <f t="shared" si="0"/>
        <v>106.301 CLEAN AND PAINT STRUCTURAL STEEL</v>
      </c>
      <c r="B57" s="19">
        <v>106.301</v>
      </c>
      <c r="C57" s="20" t="s">
        <v>1962</v>
      </c>
      <c r="D57" s="20" t="s">
        <v>22</v>
      </c>
    </row>
    <row r="58" spans="1:4" s="26" customFormat="1">
      <c r="A58" s="18" t="str">
        <f t="shared" si="0"/>
        <v>106.302 CLEAN AND PAINT STRUCTURAL STEEL</v>
      </c>
      <c r="B58" s="19">
        <v>106.30200000000001</v>
      </c>
      <c r="C58" s="20" t="s">
        <v>1962</v>
      </c>
      <c r="D58" s="20" t="s">
        <v>3</v>
      </c>
    </row>
    <row r="59" spans="1:4">
      <c r="A59" s="18" t="str">
        <f t="shared" si="0"/>
        <v>106.33 CLEAN, PAINT + REPAIR HIGHWAY LIGHTING ASSEM.(DOUBLE LUMINAIRE)</v>
      </c>
      <c r="B59" s="21">
        <v>106.33</v>
      </c>
      <c r="C59" s="22" t="s">
        <v>1963</v>
      </c>
      <c r="D59" s="22" t="s">
        <v>2</v>
      </c>
    </row>
    <row r="60" spans="1:4" s="26" customFormat="1">
      <c r="A60" s="18" t="str">
        <f t="shared" si="0"/>
        <v>106.331 CLEAN, PAINT + REPAIR HIGHWAY LIGHTING ASSEM.(SINGLE LUMINAIRE)</v>
      </c>
      <c r="B60" s="21">
        <v>106.331</v>
      </c>
      <c r="C60" s="22" t="s">
        <v>1964</v>
      </c>
      <c r="D60" s="22" t="s">
        <v>2</v>
      </c>
    </row>
    <row r="61" spans="1:4">
      <c r="A61" s="18" t="str">
        <f t="shared" si="0"/>
        <v>106.34 CLEAR COATING</v>
      </c>
      <c r="B61" s="19">
        <v>106.34</v>
      </c>
      <c r="C61" s="20" t="s">
        <v>1965</v>
      </c>
      <c r="D61" s="20" t="s">
        <v>3</v>
      </c>
    </row>
    <row r="62" spans="1:4" s="26" customFormat="1">
      <c r="A62" s="18" t="str">
        <f t="shared" si="0"/>
        <v>106.407 JACKING AND SHORING EXISTING FLOOR BEAM</v>
      </c>
      <c r="B62" s="19">
        <v>106.407</v>
      </c>
      <c r="C62" s="20" t="s">
        <v>1966</v>
      </c>
      <c r="D62" s="20" t="s">
        <v>2</v>
      </c>
    </row>
    <row r="63" spans="1:4">
      <c r="A63" s="18" t="str">
        <f t="shared" si="0"/>
        <v>106.408 JACKING AND SHORING EXISTING PLATE GIRDER</v>
      </c>
      <c r="B63" s="21">
        <v>106.408</v>
      </c>
      <c r="C63" s="22" t="s">
        <v>1967</v>
      </c>
      <c r="D63" s="22" t="s">
        <v>2</v>
      </c>
    </row>
    <row r="64" spans="1:4" s="26" customFormat="1">
      <c r="A64" s="18" t="str">
        <f t="shared" si="0"/>
        <v>106.49 ELASTOMERIC EXPANSION JOINT</v>
      </c>
      <c r="B64" s="21">
        <v>106.49</v>
      </c>
      <c r="C64" s="22" t="s">
        <v>1968</v>
      </c>
      <c r="D64" s="22" t="s">
        <v>17</v>
      </c>
    </row>
    <row r="65" spans="1:4">
      <c r="A65" s="18" t="str">
        <f t="shared" si="0"/>
        <v>106.5 ELASTOMERIC JOINT SEALER</v>
      </c>
      <c r="B65" s="19">
        <v>106.5</v>
      </c>
      <c r="C65" s="20" t="s">
        <v>1969</v>
      </c>
      <c r="D65" s="20" t="s">
        <v>17</v>
      </c>
    </row>
    <row r="66" spans="1:4" s="26" customFormat="1">
      <c r="A66" s="18" t="str">
        <f t="shared" ref="A66:A129" si="1">B66&amp;" "&amp;C66</f>
        <v>106.61 GEARS AND RACKS RENEWED</v>
      </c>
      <c r="B66" s="19">
        <v>106.61</v>
      </c>
      <c r="C66" s="20" t="s">
        <v>1970</v>
      </c>
      <c r="D66" s="20" t="s">
        <v>100</v>
      </c>
    </row>
    <row r="67" spans="1:4">
      <c r="A67" s="18" t="str">
        <f t="shared" si="1"/>
        <v>106.86 HIGHWAY CLEANING</v>
      </c>
      <c r="B67" s="21">
        <v>106.86</v>
      </c>
      <c r="C67" s="22" t="s">
        <v>1971</v>
      </c>
      <c r="D67" s="22" t="s">
        <v>22</v>
      </c>
    </row>
    <row r="68" spans="1:4" s="26" customFormat="1">
      <c r="A68" s="18" t="str">
        <f t="shared" si="1"/>
        <v>106.87 JACKING SUPERSTRUCTURE</v>
      </c>
      <c r="B68" s="19">
        <v>106.87</v>
      </c>
      <c r="C68" s="20" t="s">
        <v>1278</v>
      </c>
      <c r="D68" s="20" t="s">
        <v>22</v>
      </c>
    </row>
    <row r="69" spans="1:4">
      <c r="A69" s="18" t="str">
        <f t="shared" si="1"/>
        <v>106.88 JACKING AND SHORING</v>
      </c>
      <c r="B69" s="19">
        <v>106.88</v>
      </c>
      <c r="C69" s="20" t="s">
        <v>98</v>
      </c>
      <c r="D69" s="20" t="s">
        <v>2</v>
      </c>
    </row>
    <row r="70" spans="1:4" s="26" customFormat="1">
      <c r="A70" s="18" t="str">
        <f t="shared" si="1"/>
        <v>106.9 JOINT FILLER COMPOUND</v>
      </c>
      <c r="B70" s="21">
        <v>106.9</v>
      </c>
      <c r="C70" s="22" t="s">
        <v>1279</v>
      </c>
      <c r="D70" s="22" t="s">
        <v>17</v>
      </c>
    </row>
    <row r="71" spans="1:4">
      <c r="A71" s="18" t="str">
        <f t="shared" si="1"/>
        <v>106.91 JOINT FILLER COMPOUND</v>
      </c>
      <c r="B71" s="21">
        <v>106.91</v>
      </c>
      <c r="C71" s="22" t="s">
        <v>1279</v>
      </c>
      <c r="D71" s="22" t="s">
        <v>20</v>
      </c>
    </row>
    <row r="72" spans="1:4" s="26" customFormat="1">
      <c r="A72" s="18" t="str">
        <f t="shared" si="1"/>
        <v>106.92 JOURNAL REPAIRED</v>
      </c>
      <c r="B72" s="21">
        <v>106.92</v>
      </c>
      <c r="C72" s="22" t="s">
        <v>1972</v>
      </c>
      <c r="D72" s="22" t="s">
        <v>2</v>
      </c>
    </row>
    <row r="73" spans="1:4">
      <c r="A73" s="18" t="str">
        <f t="shared" si="1"/>
        <v>107.02 LOW ALLOY STEEL PLATES</v>
      </c>
      <c r="B73" s="19">
        <v>107.02</v>
      </c>
      <c r="C73" s="20" t="s">
        <v>99</v>
      </c>
      <c r="D73" s="20" t="s">
        <v>100</v>
      </c>
    </row>
    <row r="74" spans="1:4" s="26" customFormat="1">
      <c r="A74" s="18" t="str">
        <f t="shared" si="1"/>
        <v>107.1 MACHINERY AND STRUCTURAL REPAIRS</v>
      </c>
      <c r="B74" s="21">
        <v>107.1</v>
      </c>
      <c r="C74" s="22" t="s">
        <v>1973</v>
      </c>
      <c r="D74" s="22" t="s">
        <v>22</v>
      </c>
    </row>
    <row r="75" spans="1:4">
      <c r="A75" s="18" t="str">
        <f t="shared" si="1"/>
        <v>107.12 MAINTENANCE AND CARE OF NURSERY STOCK</v>
      </c>
      <c r="B75" s="19">
        <v>107.12</v>
      </c>
      <c r="C75" s="20" t="s">
        <v>1974</v>
      </c>
      <c r="D75" s="20" t="s">
        <v>22</v>
      </c>
    </row>
    <row r="76" spans="1:4" s="26" customFormat="1">
      <c r="A76" s="18" t="str">
        <f t="shared" si="1"/>
        <v>107.14 METAL BRIDGE PLANK</v>
      </c>
      <c r="B76" s="21">
        <v>107.14</v>
      </c>
      <c r="C76" s="22" t="s">
        <v>1975</v>
      </c>
      <c r="D76" s="22" t="s">
        <v>3</v>
      </c>
    </row>
    <row r="77" spans="1:4">
      <c r="A77" s="18" t="str">
        <f t="shared" si="1"/>
        <v>107.15 METAL GUTTER</v>
      </c>
      <c r="B77" s="21">
        <v>107.15</v>
      </c>
      <c r="C77" s="22" t="s">
        <v>1976</v>
      </c>
      <c r="D77" s="22" t="s">
        <v>17</v>
      </c>
    </row>
    <row r="78" spans="1:4" s="26" customFormat="1">
      <c r="A78" s="18" t="str">
        <f t="shared" si="1"/>
        <v>107.17 MISCELLANEOUS STEEL FOR MACHINERY</v>
      </c>
      <c r="B78" s="19">
        <v>107.17</v>
      </c>
      <c r="C78" s="20" t="s">
        <v>1977</v>
      </c>
      <c r="D78" s="20" t="s">
        <v>100</v>
      </c>
    </row>
    <row r="79" spans="1:4">
      <c r="A79" s="18" t="str">
        <f t="shared" si="1"/>
        <v>107.18 MISCELLANEOUS STRUCTURAL STEEL</v>
      </c>
      <c r="B79" s="21">
        <v>107.18</v>
      </c>
      <c r="C79" s="22" t="s">
        <v>1978</v>
      </c>
      <c r="D79" s="22" t="s">
        <v>100</v>
      </c>
    </row>
    <row r="80" spans="1:4" s="26" customFormat="1">
      <c r="A80" s="18" t="str">
        <f t="shared" si="1"/>
        <v>107.3 OVERHEAD SIGN SUPPORT CLEANED AND PAINTED</v>
      </c>
      <c r="B80" s="19">
        <v>107.3</v>
      </c>
      <c r="C80" s="20" t="s">
        <v>1979</v>
      </c>
      <c r="D80" s="20" t="s">
        <v>2</v>
      </c>
    </row>
    <row r="81" spans="1:4">
      <c r="A81" s="18" t="str">
        <f t="shared" si="1"/>
        <v>107.31 OVERHEAD SIGN SUPPORT CLEANED AND PAINTED</v>
      </c>
      <c r="B81" s="19">
        <v>107.31</v>
      </c>
      <c r="C81" s="20" t="s">
        <v>1979</v>
      </c>
      <c r="D81" s="20" t="s">
        <v>22</v>
      </c>
    </row>
    <row r="82" spans="1:4" s="26" customFormat="1">
      <c r="A82" s="18" t="str">
        <f t="shared" si="1"/>
        <v>107.4 PAINTING STEEL</v>
      </c>
      <c r="B82" s="21">
        <v>107.4</v>
      </c>
      <c r="C82" s="22" t="s">
        <v>1980</v>
      </c>
      <c r="D82" s="22" t="s">
        <v>22</v>
      </c>
    </row>
    <row r="83" spans="1:4">
      <c r="A83" s="18" t="str">
        <f t="shared" si="1"/>
        <v>107.41 PAINTING STRUCTURE</v>
      </c>
      <c r="B83" s="19">
        <v>107.41</v>
      </c>
      <c r="C83" s="20" t="s">
        <v>1981</v>
      </c>
      <c r="D83" s="20" t="s">
        <v>22</v>
      </c>
    </row>
    <row r="84" spans="1:4" s="26" customFormat="1">
      <c r="A84" s="18" t="str">
        <f t="shared" si="1"/>
        <v>107.43 BRONZE SELF-LUBRICATING BEARING PLATES</v>
      </c>
      <c r="B84" s="19">
        <v>107.43</v>
      </c>
      <c r="C84" s="20" t="s">
        <v>1982</v>
      </c>
      <c r="D84" s="20" t="s">
        <v>2</v>
      </c>
    </row>
    <row r="85" spans="1:4">
      <c r="A85" s="18" t="str">
        <f t="shared" si="1"/>
        <v>107.44 PNEUMATICALLY APPLIED MORTAR</v>
      </c>
      <c r="B85" s="21">
        <v>107.44</v>
      </c>
      <c r="C85" s="22" t="s">
        <v>1983</v>
      </c>
      <c r="D85" s="22" t="s">
        <v>3</v>
      </c>
    </row>
    <row r="86" spans="1:4" s="26" customFormat="1">
      <c r="A86" s="18" t="str">
        <f t="shared" si="1"/>
        <v>107.441 REMOVAL OF EXISTING GUNITE</v>
      </c>
      <c r="B86" s="21">
        <v>107.441</v>
      </c>
      <c r="C86" s="22" t="s">
        <v>1984</v>
      </c>
      <c r="D86" s="22" t="s">
        <v>22</v>
      </c>
    </row>
    <row r="87" spans="1:4">
      <c r="A87" s="18" t="str">
        <f t="shared" si="1"/>
        <v>107.45 PNEUMATICALLY APPLIED MORTAR</v>
      </c>
      <c r="B87" s="19">
        <v>107.45</v>
      </c>
      <c r="C87" s="20" t="s">
        <v>1983</v>
      </c>
      <c r="D87" s="20" t="s">
        <v>668</v>
      </c>
    </row>
    <row r="88" spans="1:4" s="26" customFormat="1">
      <c r="A88" s="18" t="str">
        <f t="shared" si="1"/>
        <v>107.46 PREFORMED COMPRESSION JOINT</v>
      </c>
      <c r="B88" s="19">
        <v>107.46</v>
      </c>
      <c r="C88" s="20" t="s">
        <v>1985</v>
      </c>
      <c r="D88" s="20" t="s">
        <v>17</v>
      </c>
    </row>
    <row r="89" spans="1:4">
      <c r="A89" s="18" t="str">
        <f t="shared" si="1"/>
        <v>107.47 PREFORMED ELASTOMERIC COMPRESSION JOINT SEALER</v>
      </c>
      <c r="B89" s="21">
        <v>107.47</v>
      </c>
      <c r="C89" s="22" t="s">
        <v>1986</v>
      </c>
      <c r="D89" s="22" t="s">
        <v>17</v>
      </c>
    </row>
    <row r="90" spans="1:4" s="26" customFormat="1">
      <c r="A90" s="18" t="str">
        <f t="shared" si="1"/>
        <v>107.48 PREFORMED JOINT FILLER</v>
      </c>
      <c r="B90" s="21">
        <v>107.48</v>
      </c>
      <c r="C90" s="22" t="s">
        <v>101</v>
      </c>
      <c r="D90" s="22" t="s">
        <v>17</v>
      </c>
    </row>
    <row r="91" spans="1:4">
      <c r="A91" s="18" t="str">
        <f t="shared" si="1"/>
        <v>107.63 REMOVAL AND REPLACEMENT OF WALKS</v>
      </c>
      <c r="B91" s="21">
        <v>107.63</v>
      </c>
      <c r="C91" s="22" t="s">
        <v>1987</v>
      </c>
      <c r="D91" s="22" t="s">
        <v>22</v>
      </c>
    </row>
    <row r="92" spans="1:4" s="26" customFormat="1">
      <c r="A92" s="18" t="str">
        <f t="shared" si="1"/>
        <v>107.64 REMOVAL AND REPLACEMENT OF BRIDGE RAILING</v>
      </c>
      <c r="B92" s="19">
        <v>107.64</v>
      </c>
      <c r="C92" s="20" t="s">
        <v>1988</v>
      </c>
      <c r="D92" s="20" t="s">
        <v>17</v>
      </c>
    </row>
    <row r="93" spans="1:4">
      <c r="A93" s="18" t="str">
        <f t="shared" si="1"/>
        <v>107.68 ROADWAY EXPANSION DAM ASSEMBLY REMOVED AND RESET</v>
      </c>
      <c r="B93" s="19">
        <v>107.68</v>
      </c>
      <c r="C93" s="20" t="s">
        <v>1989</v>
      </c>
      <c r="D93" s="20" t="s">
        <v>2</v>
      </c>
    </row>
    <row r="94" spans="1:4" s="26" customFormat="1">
      <c r="A94" s="18" t="str">
        <f t="shared" si="1"/>
        <v>107.81 SAFETY TRUCK</v>
      </c>
      <c r="B94" s="21">
        <v>107.81</v>
      </c>
      <c r="C94" s="22" t="s">
        <v>1990</v>
      </c>
      <c r="D94" s="22" t="s">
        <v>24</v>
      </c>
    </row>
    <row r="95" spans="1:4">
      <c r="A95" s="18" t="str">
        <f t="shared" si="1"/>
        <v>107.82 SCUPPER REMOVED AND RESET</v>
      </c>
      <c r="B95" s="19">
        <v>107.82</v>
      </c>
      <c r="C95" s="20" t="s">
        <v>1991</v>
      </c>
      <c r="D95" s="20" t="s">
        <v>2</v>
      </c>
    </row>
    <row r="96" spans="1:4" s="26" customFormat="1">
      <c r="A96" s="18" t="str">
        <f t="shared" si="1"/>
        <v>107.84 SEALING LONGITUDINAL JOINTS IN CEMENT CONCRETE PAVEMENT</v>
      </c>
      <c r="B96" s="21">
        <v>107.84</v>
      </c>
      <c r="C96" s="22" t="s">
        <v>1992</v>
      </c>
      <c r="D96" s="22" t="s">
        <v>17</v>
      </c>
    </row>
    <row r="97" spans="1:4">
      <c r="A97" s="18" t="str">
        <f t="shared" si="1"/>
        <v>107.85 SEALING RANDOM CRACKS IN CEMENT CONCRETE PAVEMENT</v>
      </c>
      <c r="B97" s="21">
        <v>107.85</v>
      </c>
      <c r="C97" s="22" t="s">
        <v>1280</v>
      </c>
      <c r="D97" s="22" t="s">
        <v>17</v>
      </c>
    </row>
    <row r="98" spans="1:4" s="26" customFormat="1">
      <c r="A98" s="18" t="str">
        <f t="shared" si="1"/>
        <v>107.855 PRESSURE INJECTION OF CRACKS</v>
      </c>
      <c r="B98" s="21">
        <v>107.855</v>
      </c>
      <c r="C98" s="22" t="s">
        <v>102</v>
      </c>
      <c r="D98" s="22" t="s">
        <v>17</v>
      </c>
    </row>
    <row r="99" spans="1:4">
      <c r="A99" s="18" t="str">
        <f t="shared" si="1"/>
        <v>107.856 PRESSURE INJECTION OF VOIDS UNDER ARMORED JOINT ANGLES</v>
      </c>
      <c r="B99" s="19">
        <v>107.85599999999999</v>
      </c>
      <c r="C99" s="20" t="s">
        <v>1993</v>
      </c>
      <c r="D99" s="20" t="s">
        <v>17</v>
      </c>
    </row>
    <row r="100" spans="1:4" s="26" customFormat="1">
      <c r="A100" s="18" t="str">
        <f t="shared" si="1"/>
        <v>107.86 SEALING CRACKS IN  ASPHALT PAVEMENT</v>
      </c>
      <c r="B100" s="21">
        <v>107.86</v>
      </c>
      <c r="C100" s="22" t="s">
        <v>1994</v>
      </c>
      <c r="D100" s="22" t="s">
        <v>17</v>
      </c>
    </row>
    <row r="101" spans="1:4">
      <c r="A101" s="18" t="str">
        <f t="shared" si="1"/>
        <v>107.87 CAULKING JOINTS AND RANDOM CRACKS</v>
      </c>
      <c r="B101" s="19">
        <v>107.87</v>
      </c>
      <c r="C101" s="20" t="s">
        <v>1995</v>
      </c>
      <c r="D101" s="20" t="s">
        <v>17</v>
      </c>
    </row>
    <row r="102" spans="1:4" s="26" customFormat="1">
      <c r="A102" s="18" t="str">
        <f t="shared" si="1"/>
        <v>107.89 SIGN SUPPORT FOUNDATION REPAIR</v>
      </c>
      <c r="B102" s="19">
        <v>107.89</v>
      </c>
      <c r="C102" s="20" t="s">
        <v>1996</v>
      </c>
      <c r="D102" s="20" t="s">
        <v>2</v>
      </c>
    </row>
    <row r="103" spans="1:4">
      <c r="A103" s="18" t="str">
        <f t="shared" si="1"/>
        <v>107.9 SIGN OVERLAY</v>
      </c>
      <c r="B103" s="21">
        <v>107.9</v>
      </c>
      <c r="C103" s="22" t="s">
        <v>1997</v>
      </c>
      <c r="D103" s="22" t="s">
        <v>3</v>
      </c>
    </row>
    <row r="104" spans="1:4" s="26" customFormat="1">
      <c r="A104" s="18" t="str">
        <f t="shared" si="1"/>
        <v>107.94 STEEL GRATING FOR WALK</v>
      </c>
      <c r="B104" s="21">
        <v>107.94</v>
      </c>
      <c r="C104" s="22" t="s">
        <v>1998</v>
      </c>
      <c r="D104" s="22" t="s">
        <v>3</v>
      </c>
    </row>
    <row r="105" spans="1:4">
      <c r="A105" s="18" t="str">
        <f t="shared" si="1"/>
        <v>107.95 STEEL GRID DECKING</v>
      </c>
      <c r="B105" s="19">
        <v>107.95</v>
      </c>
      <c r="C105" s="20" t="s">
        <v>1999</v>
      </c>
      <c r="D105" s="20" t="s">
        <v>1</v>
      </c>
    </row>
    <row r="106" spans="1:4" s="26" customFormat="1">
      <c r="A106" s="18" t="str">
        <f t="shared" si="1"/>
        <v>107.96 STRUCTURAL STEEL REPAIRS</v>
      </c>
      <c r="B106" s="21">
        <v>107.96</v>
      </c>
      <c r="C106" s="22" t="s">
        <v>103</v>
      </c>
      <c r="D106" s="22" t="s">
        <v>22</v>
      </c>
    </row>
    <row r="107" spans="1:4">
      <c r="A107" s="18" t="str">
        <f t="shared" si="1"/>
        <v>107.97 STRUCTURAL STEEL REPAIRS</v>
      </c>
      <c r="B107" s="21">
        <v>107.97</v>
      </c>
      <c r="C107" s="22" t="s">
        <v>103</v>
      </c>
      <c r="D107" s="22" t="s">
        <v>100</v>
      </c>
    </row>
    <row r="108" spans="1:4" s="26" customFormat="1">
      <c r="A108" s="18" t="str">
        <f t="shared" si="1"/>
        <v>108.23 TRAFFIC GATE FOR DRAW SPAN</v>
      </c>
      <c r="B108" s="19">
        <v>108.23</v>
      </c>
      <c r="C108" s="20" t="s">
        <v>2000</v>
      </c>
      <c r="D108" s="20" t="s">
        <v>22</v>
      </c>
    </row>
    <row r="109" spans="1:4">
      <c r="A109" s="18" t="str">
        <f t="shared" si="1"/>
        <v>108.24 TRAFFIC WARNING DEVICES</v>
      </c>
      <c r="B109" s="21">
        <v>108.24</v>
      </c>
      <c r="C109" s="22" t="s">
        <v>2001</v>
      </c>
      <c r="D109" s="22" t="s">
        <v>22</v>
      </c>
    </row>
    <row r="110" spans="1:4" s="26" customFormat="1">
      <c r="A110" s="18" t="str">
        <f t="shared" si="1"/>
        <v>108.25 TRAVEL TRASH DISPOSAL (MHD CONTAINER)</v>
      </c>
      <c r="B110" s="19">
        <v>108.25</v>
      </c>
      <c r="C110" s="20" t="s">
        <v>2002</v>
      </c>
      <c r="D110" s="20" t="s">
        <v>2</v>
      </c>
    </row>
    <row r="111" spans="1:4">
      <c r="A111" s="18" t="str">
        <f t="shared" si="1"/>
        <v>108.26 TRAVEL TRASH DISPOSAL (CONTRACTOR'S CONTAINER)</v>
      </c>
      <c r="B111" s="21">
        <v>108.26</v>
      </c>
      <c r="C111" s="22" t="s">
        <v>2003</v>
      </c>
      <c r="D111" s="22" t="s">
        <v>2</v>
      </c>
    </row>
    <row r="112" spans="1:4" s="26" customFormat="1">
      <c r="A112" s="18" t="str">
        <f t="shared" si="1"/>
        <v>108.41 WATER TRUCK</v>
      </c>
      <c r="B112" s="21">
        <v>108.41</v>
      </c>
      <c r="C112" s="22" t="s">
        <v>2004</v>
      </c>
      <c r="D112" s="22" t="s">
        <v>24</v>
      </c>
    </row>
    <row r="113" spans="1:4">
      <c r="A113" s="18" t="str">
        <f t="shared" si="1"/>
        <v>112.1 DEMOLITION OF BUILDING  NO.           </v>
      </c>
      <c r="B113" s="19">
        <v>112.1</v>
      </c>
      <c r="C113" s="20" t="s">
        <v>2005</v>
      </c>
      <c r="D113" s="20" t="s">
        <v>22</v>
      </c>
    </row>
    <row r="114" spans="1:4" s="26" customFormat="1">
      <c r="A114" s="18" t="str">
        <f t="shared" si="1"/>
        <v>112.2 DEMOLITION OF BUILDING  NO.           </v>
      </c>
      <c r="B114" s="19">
        <v>112.2</v>
      </c>
      <c r="C114" s="20" t="s">
        <v>2005</v>
      </c>
      <c r="D114" s="20" t="s">
        <v>22</v>
      </c>
    </row>
    <row r="115" spans="1:4">
      <c r="A115" s="18" t="str">
        <f t="shared" si="1"/>
        <v>112.3 DEMOLITION OF BUILDING NO.           </v>
      </c>
      <c r="B115" s="19">
        <v>112.3</v>
      </c>
      <c r="C115" s="20" t="s">
        <v>2006</v>
      </c>
      <c r="D115" s="20" t="s">
        <v>22</v>
      </c>
    </row>
    <row r="116" spans="1:4" s="26" customFormat="1">
      <c r="A116" s="18" t="str">
        <f t="shared" si="1"/>
        <v>114.1 DEMOLITION OF SUPERSTRUCTURE OF BRIDGE NO.           </v>
      </c>
      <c r="B116" s="21">
        <v>114.1</v>
      </c>
      <c r="C116" s="22" t="s">
        <v>2007</v>
      </c>
      <c r="D116" s="22" t="s">
        <v>22</v>
      </c>
    </row>
    <row r="117" spans="1:4">
      <c r="A117" s="18" t="str">
        <f t="shared" si="1"/>
        <v>114.2 DEMOLITION OF SUPERSTRUCTURE OF BRIDGE NO.           </v>
      </c>
      <c r="B117" s="19">
        <v>114.2</v>
      </c>
      <c r="C117" s="20" t="s">
        <v>2007</v>
      </c>
      <c r="D117" s="20" t="s">
        <v>22</v>
      </c>
    </row>
    <row r="118" spans="1:4" s="26" customFormat="1">
      <c r="A118" s="18" t="str">
        <f t="shared" si="1"/>
        <v>114.3 DEMOLITION OF SUPERSTRUCTURE OF BRIDGE NO.           </v>
      </c>
      <c r="B118" s="19">
        <v>114.3</v>
      </c>
      <c r="C118" s="20" t="s">
        <v>2007</v>
      </c>
      <c r="D118" s="20" t="s">
        <v>22</v>
      </c>
    </row>
    <row r="119" spans="1:4">
      <c r="A119" s="18" t="str">
        <f t="shared" si="1"/>
        <v>115.1 DEMOLITION OF BRIDGE NO.           </v>
      </c>
      <c r="B119" s="19">
        <v>115.1</v>
      </c>
      <c r="C119" s="20" t="s">
        <v>2008</v>
      </c>
      <c r="D119" s="20" t="s">
        <v>22</v>
      </c>
    </row>
    <row r="120" spans="1:4" s="26" customFormat="1">
      <c r="A120" s="18" t="str">
        <f t="shared" si="1"/>
        <v>115.2 DEMOLITION OF BRIDGE NO.           </v>
      </c>
      <c r="B120" s="21">
        <v>115.2</v>
      </c>
      <c r="C120" s="22" t="s">
        <v>2008</v>
      </c>
      <c r="D120" s="22" t="s">
        <v>22</v>
      </c>
    </row>
    <row r="121" spans="1:4">
      <c r="A121" s="18" t="str">
        <f t="shared" si="1"/>
        <v>115.3 DEMOLITION OF BRIDGE NO.           </v>
      </c>
      <c r="B121" s="21">
        <v>115.3</v>
      </c>
      <c r="C121" s="22" t="s">
        <v>2008</v>
      </c>
      <c r="D121" s="22" t="s">
        <v>22</v>
      </c>
    </row>
    <row r="122" spans="1:4" s="26" customFormat="1">
      <c r="A122" s="18" t="str">
        <f t="shared" si="1"/>
        <v>116 REMOVAL OF TEMPORARY STRUCTURE</v>
      </c>
      <c r="B122" s="21">
        <v>116</v>
      </c>
      <c r="C122" s="22" t="s">
        <v>2009</v>
      </c>
      <c r="D122" s="22" t="s">
        <v>22</v>
      </c>
    </row>
    <row r="123" spans="1:4">
      <c r="A123" s="18" t="str">
        <f t="shared" si="1"/>
        <v>116.2 REMOVAL OF TEMPORARY DETOUR</v>
      </c>
      <c r="B123" s="19">
        <v>116.2</v>
      </c>
      <c r="C123" s="20" t="s">
        <v>2010</v>
      </c>
      <c r="D123" s="20" t="s">
        <v>22</v>
      </c>
    </row>
    <row r="124" spans="1:4" s="26" customFormat="1">
      <c r="A124" s="18" t="str">
        <f t="shared" si="1"/>
        <v>118 TEMPORARY CONSTRUCTION ACCESS ROAD</v>
      </c>
      <c r="B124" s="19">
        <v>118</v>
      </c>
      <c r="C124" s="20" t="s">
        <v>1281</v>
      </c>
      <c r="D124" s="20" t="s">
        <v>22</v>
      </c>
    </row>
    <row r="125" spans="1:4">
      <c r="A125" s="18" t="str">
        <f t="shared" si="1"/>
        <v>119 RODENT CONTROL</v>
      </c>
      <c r="B125" s="21">
        <v>119</v>
      </c>
      <c r="C125" s="22" t="s">
        <v>106</v>
      </c>
      <c r="D125" s="22" t="s">
        <v>22</v>
      </c>
    </row>
    <row r="126" spans="1:4" s="26" customFormat="1">
      <c r="A126" s="18" t="str">
        <f t="shared" si="1"/>
        <v>119.4 PEST BIRD CONTROL</v>
      </c>
      <c r="B126" s="21">
        <v>119.4</v>
      </c>
      <c r="C126" s="22" t="s">
        <v>2011</v>
      </c>
      <c r="D126" s="22" t="s">
        <v>22</v>
      </c>
    </row>
    <row r="127" spans="1:4">
      <c r="A127" s="18" t="str">
        <f t="shared" si="1"/>
        <v>120 EARTH EXCAVATION</v>
      </c>
      <c r="B127" s="21">
        <v>120</v>
      </c>
      <c r="C127" s="22" t="s">
        <v>107</v>
      </c>
      <c r="D127" s="22" t="s">
        <v>4</v>
      </c>
    </row>
    <row r="128" spans="1:4" s="26" customFormat="1">
      <c r="A128" s="18" t="str">
        <f t="shared" si="1"/>
        <v>120.1 UNCLASSIFIED EXCAVATION</v>
      </c>
      <c r="B128" s="19">
        <v>120.1</v>
      </c>
      <c r="C128" s="20" t="s">
        <v>19</v>
      </c>
      <c r="D128" s="20" t="s">
        <v>4</v>
      </c>
    </row>
    <row r="129" spans="1:4">
      <c r="A129" s="18" t="str">
        <f t="shared" si="1"/>
        <v>121 CLASS A ROCK EXCAVATION</v>
      </c>
      <c r="B129" s="19">
        <v>121</v>
      </c>
      <c r="C129" s="20" t="s">
        <v>108</v>
      </c>
      <c r="D129" s="20" t="s">
        <v>4</v>
      </c>
    </row>
    <row r="130" spans="1:4" s="26" customFormat="1">
      <c r="A130" s="18" t="str">
        <f t="shared" ref="A130:A193" si="2">B130&amp;" "&amp;C130</f>
        <v>122 PRESPLITTING ROCK</v>
      </c>
      <c r="B130" s="21">
        <v>122</v>
      </c>
      <c r="C130" s="22" t="s">
        <v>2012</v>
      </c>
      <c r="D130" s="22" t="s">
        <v>1</v>
      </c>
    </row>
    <row r="131" spans="1:4">
      <c r="A131" s="18" t="str">
        <f t="shared" si="2"/>
        <v>123 MUCK EXCAVATION</v>
      </c>
      <c r="B131" s="19">
        <v>123</v>
      </c>
      <c r="C131" s="20" t="s">
        <v>109</v>
      </c>
      <c r="D131" s="20" t="s">
        <v>4</v>
      </c>
    </row>
    <row r="132" spans="1:4" s="26" customFormat="1">
      <c r="A132" s="18" t="str">
        <f t="shared" si="2"/>
        <v>124 LOAM EXCAVATED AND STACKED</v>
      </c>
      <c r="B132" s="19">
        <v>124</v>
      </c>
      <c r="C132" s="20" t="s">
        <v>2013</v>
      </c>
      <c r="D132" s="20" t="s">
        <v>4</v>
      </c>
    </row>
    <row r="133" spans="1:4">
      <c r="A133" s="18" t="str">
        <f t="shared" si="2"/>
        <v>125 TOPSOIL EXCAVATED AND STACKED</v>
      </c>
      <c r="B133" s="21">
        <v>125</v>
      </c>
      <c r="C133" s="22" t="s">
        <v>110</v>
      </c>
      <c r="D133" s="22" t="s">
        <v>4</v>
      </c>
    </row>
    <row r="134" spans="1:4" s="26" customFormat="1">
      <c r="A134" s="18" t="str">
        <f t="shared" si="2"/>
        <v>127 CONCRETE EXCAVATION</v>
      </c>
      <c r="B134" s="19">
        <v>127</v>
      </c>
      <c r="C134" s="20" t="s">
        <v>111</v>
      </c>
      <c r="D134" s="20" t="s">
        <v>4</v>
      </c>
    </row>
    <row r="135" spans="1:4">
      <c r="A135" s="18" t="str">
        <f t="shared" si="2"/>
        <v>127.1 REINFORCED CONCRETE EXCAVATION</v>
      </c>
      <c r="B135" s="21">
        <v>127.1</v>
      </c>
      <c r="C135" s="22" t="s">
        <v>112</v>
      </c>
      <c r="D135" s="22" t="s">
        <v>4</v>
      </c>
    </row>
    <row r="136" spans="1:4" s="26" customFormat="1">
      <c r="A136" s="18" t="str">
        <f t="shared" si="2"/>
        <v>127.11 REINFORCED CONCRETE EXCAVATION</v>
      </c>
      <c r="B136" s="19">
        <v>127.11</v>
      </c>
      <c r="C136" s="20" t="s">
        <v>112</v>
      </c>
      <c r="D136" s="20" t="s">
        <v>22</v>
      </c>
    </row>
    <row r="137" spans="1:4">
      <c r="A137" s="18" t="str">
        <f t="shared" si="2"/>
        <v>127.21 SCARIFYING REINFORCED CONCRETE SURFACE</v>
      </c>
      <c r="B137" s="21">
        <v>127.21</v>
      </c>
      <c r="C137" s="22" t="s">
        <v>2014</v>
      </c>
      <c r="D137" s="22" t="s">
        <v>4</v>
      </c>
    </row>
    <row r="138" spans="1:4" s="26" customFormat="1">
      <c r="A138" s="18" t="str">
        <f t="shared" si="2"/>
        <v>127.3 REINFORCED CONCRETE SURFACE EXCAVATION</v>
      </c>
      <c r="B138" s="19">
        <v>127.3</v>
      </c>
      <c r="C138" s="20" t="s">
        <v>1282</v>
      </c>
      <c r="D138" s="20" t="s">
        <v>1</v>
      </c>
    </row>
    <row r="139" spans="1:4">
      <c r="A139" s="18" t="str">
        <f t="shared" si="2"/>
        <v>127.4 REINFORCED CONCRETE DECK EXCAVATION (FULL DEPTH)</v>
      </c>
      <c r="B139" s="19">
        <v>127.4</v>
      </c>
      <c r="C139" s="20" t="s">
        <v>113</v>
      </c>
      <c r="D139" s="20" t="s">
        <v>1</v>
      </c>
    </row>
    <row r="140" spans="1:4" s="26" customFormat="1">
      <c r="A140" s="18" t="str">
        <f t="shared" si="2"/>
        <v>127.41 REINFORCED CONCRETE DECK EXCAVATION (PARTIAL DEPTH)</v>
      </c>
      <c r="B140" s="21">
        <v>127.41</v>
      </c>
      <c r="C140" s="22" t="s">
        <v>114</v>
      </c>
      <c r="D140" s="22" t="s">
        <v>4</v>
      </c>
    </row>
    <row r="141" spans="1:4">
      <c r="A141" s="18" t="str">
        <f t="shared" si="2"/>
        <v>129.2 OLD PAVEMENT EXCAVATION</v>
      </c>
      <c r="B141" s="21">
        <v>129.19999999999999</v>
      </c>
      <c r="C141" s="22" t="s">
        <v>115</v>
      </c>
      <c r="D141" s="22" t="s">
        <v>1</v>
      </c>
    </row>
    <row r="142" spans="1:4" s="26" customFormat="1">
      <c r="A142" s="18" t="str">
        <f t="shared" si="2"/>
        <v>129.3 OLD PAVEMENT EXCAVATION</v>
      </c>
      <c r="B142" s="19">
        <v>129.30000000000001</v>
      </c>
      <c r="C142" s="20" t="s">
        <v>115</v>
      </c>
      <c r="D142" s="20" t="s">
        <v>4</v>
      </c>
    </row>
    <row r="143" spans="1:4">
      <c r="A143" s="18" t="str">
        <f t="shared" si="2"/>
        <v>129.4 DUMP EXCAVATION</v>
      </c>
      <c r="B143" s="19">
        <v>129.4</v>
      </c>
      <c r="C143" s="20" t="s">
        <v>2015</v>
      </c>
      <c r="D143" s="20" t="s">
        <v>4</v>
      </c>
    </row>
    <row r="144" spans="1:4" s="26" customFormat="1">
      <c r="A144" s="18" t="str">
        <f t="shared" si="2"/>
        <v>129.5 TRACK EXCAVATION</v>
      </c>
      <c r="B144" s="21">
        <v>129.5</v>
      </c>
      <c r="C144" s="22" t="s">
        <v>116</v>
      </c>
      <c r="D144" s="22" t="s">
        <v>17</v>
      </c>
    </row>
    <row r="145" spans="1:4">
      <c r="A145" s="18" t="str">
        <f t="shared" si="2"/>
        <v>129.6 BRIDGE PAVEMENT EXCAVATION</v>
      </c>
      <c r="B145" s="19">
        <v>129.6</v>
      </c>
      <c r="C145" s="20" t="s">
        <v>117</v>
      </c>
      <c r="D145" s="20" t="s">
        <v>1</v>
      </c>
    </row>
    <row r="146" spans="1:4" s="26" customFormat="1">
      <c r="A146" s="18" t="str">
        <f t="shared" si="2"/>
        <v>140 BRIDGE EXCAVATION</v>
      </c>
      <c r="B146" s="21">
        <v>140</v>
      </c>
      <c r="C146" s="22" t="s">
        <v>118</v>
      </c>
      <c r="D146" s="22" t="s">
        <v>4</v>
      </c>
    </row>
    <row r="147" spans="1:4">
      <c r="A147" s="18" t="str">
        <f t="shared" si="2"/>
        <v>140.1 BRIDGE EXCAVATION WITHIN COFFERDAM</v>
      </c>
      <c r="B147" s="19">
        <v>140.1</v>
      </c>
      <c r="C147" s="20" t="s">
        <v>119</v>
      </c>
      <c r="D147" s="20" t="s">
        <v>4</v>
      </c>
    </row>
    <row r="148" spans="1:4" s="26" customFormat="1">
      <c r="A148" s="18" t="str">
        <f t="shared" si="2"/>
        <v>141 CLASS A TRENCH EXCAVATION</v>
      </c>
      <c r="B148" s="21">
        <v>141</v>
      </c>
      <c r="C148" s="22" t="s">
        <v>120</v>
      </c>
      <c r="D148" s="22" t="s">
        <v>4</v>
      </c>
    </row>
    <row r="149" spans="1:4">
      <c r="A149" s="18" t="str">
        <f t="shared" si="2"/>
        <v>141.1 TEST PIT FOR EXPLORATION</v>
      </c>
      <c r="B149" s="19">
        <v>141.1</v>
      </c>
      <c r="C149" s="20" t="s">
        <v>121</v>
      </c>
      <c r="D149" s="20" t="s">
        <v>4</v>
      </c>
    </row>
    <row r="150" spans="1:4" s="26" customFormat="1">
      <c r="A150" s="18" t="str">
        <f t="shared" si="2"/>
        <v>142 CLASS B TRENCH EXCAVATION</v>
      </c>
      <c r="B150" s="21">
        <v>142</v>
      </c>
      <c r="C150" s="22" t="s">
        <v>122</v>
      </c>
      <c r="D150" s="22" t="s">
        <v>4</v>
      </c>
    </row>
    <row r="151" spans="1:4">
      <c r="A151" s="18" t="str">
        <f t="shared" si="2"/>
        <v>143 CHANNEL EXCAVATION</v>
      </c>
      <c r="B151" s="21">
        <v>143</v>
      </c>
      <c r="C151" s="22" t="s">
        <v>123</v>
      </c>
      <c r="D151" s="22" t="s">
        <v>4</v>
      </c>
    </row>
    <row r="152" spans="1:4" s="26" customFormat="1">
      <c r="A152" s="18" t="str">
        <f t="shared" si="2"/>
        <v>144 CLASS B ROCK EXCAVATION</v>
      </c>
      <c r="B152" s="19">
        <v>144</v>
      </c>
      <c r="C152" s="20" t="s">
        <v>124</v>
      </c>
      <c r="D152" s="20" t="s">
        <v>4</v>
      </c>
    </row>
    <row r="153" spans="1:4">
      <c r="A153" s="18" t="str">
        <f t="shared" si="2"/>
        <v>144.1 CLASS B ROCK EXCAVATION - PIERS IN DEEP WATER</v>
      </c>
      <c r="B153" s="21">
        <v>144.1</v>
      </c>
      <c r="C153" s="22" t="s">
        <v>2016</v>
      </c>
      <c r="D153" s="22" t="s">
        <v>4</v>
      </c>
    </row>
    <row r="154" spans="1:4" s="26" customFormat="1">
      <c r="A154" s="18" t="str">
        <f t="shared" si="2"/>
        <v>145 DRAINAGE STRUCTURE ABANDONED</v>
      </c>
      <c r="B154" s="19">
        <v>145</v>
      </c>
      <c r="C154" s="20" t="s">
        <v>125</v>
      </c>
      <c r="D154" s="20" t="s">
        <v>2</v>
      </c>
    </row>
    <row r="155" spans="1:4">
      <c r="A155" s="18" t="str">
        <f t="shared" si="2"/>
        <v>146 DRAINAGE STRUCTURE REMOVED</v>
      </c>
      <c r="B155" s="21">
        <v>146</v>
      </c>
      <c r="C155" s="22" t="s">
        <v>126</v>
      </c>
      <c r="D155" s="22" t="s">
        <v>2</v>
      </c>
    </row>
    <row r="156" spans="1:4" s="26" customFormat="1">
      <c r="A156" s="18" t="str">
        <f t="shared" si="2"/>
        <v>148 DREDGING AND DISPOSING OF MATERIAL</v>
      </c>
      <c r="B156" s="19">
        <v>148</v>
      </c>
      <c r="C156" s="20" t="s">
        <v>127</v>
      </c>
      <c r="D156" s="20" t="s">
        <v>4</v>
      </c>
    </row>
    <row r="157" spans="1:4">
      <c r="A157" s="18" t="str">
        <f t="shared" si="2"/>
        <v>148.1 DREDGING AND DISPOSING OF MATERIAL (HYDRAULIC METHOD)</v>
      </c>
      <c r="B157" s="21">
        <v>148.1</v>
      </c>
      <c r="C157" s="22" t="s">
        <v>2017</v>
      </c>
      <c r="D157" s="22" t="s">
        <v>4</v>
      </c>
    </row>
    <row r="158" spans="1:4" s="26" customFormat="1">
      <c r="A158" s="18" t="str">
        <f t="shared" si="2"/>
        <v>148.2 REMOVAL AND DISPOSAL OF ROCK FROM DREDGED AREAS</v>
      </c>
      <c r="B158" s="21">
        <v>148.19999999999999</v>
      </c>
      <c r="C158" s="22" t="s">
        <v>2018</v>
      </c>
      <c r="D158" s="22" t="s">
        <v>4</v>
      </c>
    </row>
    <row r="159" spans="1:4">
      <c r="A159" s="18" t="str">
        <f t="shared" si="2"/>
        <v>148.3 REMOVAL AND DISPOSAL OF LEDGE FROM DREDGED AREAS</v>
      </c>
      <c r="B159" s="19">
        <v>148.30000000000001</v>
      </c>
      <c r="C159" s="20" t="s">
        <v>2019</v>
      </c>
      <c r="D159" s="20" t="s">
        <v>4</v>
      </c>
    </row>
    <row r="160" spans="1:4" s="26" customFormat="1">
      <c r="A160" s="18" t="str">
        <f t="shared" si="2"/>
        <v>148.4 DREDGING, MOBILIZATION AND DEMOBILIZATION</v>
      </c>
      <c r="B160" s="21">
        <v>148.4</v>
      </c>
      <c r="C160" s="22" t="s">
        <v>1283</v>
      </c>
      <c r="D160" s="22" t="s">
        <v>22</v>
      </c>
    </row>
    <row r="161" spans="1:4">
      <c r="A161" s="18" t="str">
        <f t="shared" si="2"/>
        <v>149.2 PUBLIC OUTREACH</v>
      </c>
      <c r="B161" s="21">
        <v>149.19999999999999</v>
      </c>
      <c r="C161" s="22" t="s">
        <v>1284</v>
      </c>
      <c r="D161" s="22" t="s">
        <v>22</v>
      </c>
    </row>
    <row r="162" spans="1:4" s="26" customFormat="1">
      <c r="A162" s="18" t="str">
        <f t="shared" si="2"/>
        <v>150 ORDINARY BORROW</v>
      </c>
      <c r="B162" s="19">
        <v>150</v>
      </c>
      <c r="C162" s="20" t="s">
        <v>128</v>
      </c>
      <c r="D162" s="20" t="s">
        <v>4</v>
      </c>
    </row>
    <row r="163" spans="1:4">
      <c r="A163" s="18" t="str">
        <f t="shared" si="2"/>
        <v>150.1 SPECIAL BORROW</v>
      </c>
      <c r="B163" s="19">
        <v>150.1</v>
      </c>
      <c r="C163" s="20" t="s">
        <v>129</v>
      </c>
      <c r="D163" s="20" t="s">
        <v>4</v>
      </c>
    </row>
    <row r="164" spans="1:4" s="26" customFormat="1">
      <c r="A164" s="18" t="str">
        <f t="shared" si="2"/>
        <v>151 GRAVEL BORROW</v>
      </c>
      <c r="B164" s="19">
        <v>151</v>
      </c>
      <c r="C164" s="20" t="s">
        <v>5</v>
      </c>
      <c r="D164" s="20" t="s">
        <v>4</v>
      </c>
    </row>
    <row r="165" spans="1:4">
      <c r="A165" s="18" t="str">
        <f t="shared" si="2"/>
        <v>151.01 GRAVEL BORROW - TYPE C</v>
      </c>
      <c r="B165" s="21">
        <v>151.01</v>
      </c>
      <c r="C165" s="22" t="s">
        <v>130</v>
      </c>
      <c r="D165" s="22" t="s">
        <v>4</v>
      </c>
    </row>
    <row r="166" spans="1:4" s="26" customFormat="1">
      <c r="A166" s="18" t="str">
        <f t="shared" si="2"/>
        <v>151.02 GRAVEL BORROW</v>
      </c>
      <c r="B166" s="21">
        <v>151.02000000000001</v>
      </c>
      <c r="C166" s="22" t="s">
        <v>5</v>
      </c>
      <c r="D166" s="22" t="s">
        <v>7</v>
      </c>
    </row>
    <row r="167" spans="1:4">
      <c r="A167" s="18" t="str">
        <f t="shared" si="2"/>
        <v>151.03 GRAVEL BORROW - TYPE C</v>
      </c>
      <c r="B167" s="19">
        <v>151.03</v>
      </c>
      <c r="C167" s="20" t="s">
        <v>130</v>
      </c>
      <c r="D167" s="20" t="s">
        <v>7</v>
      </c>
    </row>
    <row r="168" spans="1:4" s="26" customFormat="1">
      <c r="A168" s="18" t="str">
        <f t="shared" si="2"/>
        <v>151.1 GRAVEL BORROW FOR BRIDGE FOUNDATION</v>
      </c>
      <c r="B168" s="19">
        <v>151.1</v>
      </c>
      <c r="C168" s="20" t="s">
        <v>131</v>
      </c>
      <c r="D168" s="20" t="s">
        <v>4</v>
      </c>
    </row>
    <row r="169" spans="1:4">
      <c r="A169" s="18" t="str">
        <f t="shared" si="2"/>
        <v>151.2 GRAVEL BORROW FOR BACKFILLING STRUCTURES AND PIPES</v>
      </c>
      <c r="B169" s="19">
        <v>151.19999999999999</v>
      </c>
      <c r="C169" s="20" t="s">
        <v>52</v>
      </c>
      <c r="D169" s="20" t="s">
        <v>4</v>
      </c>
    </row>
    <row r="170" spans="1:4" s="26" customFormat="1">
      <c r="A170" s="18" t="str">
        <f t="shared" si="2"/>
        <v>151.21 GRAVEL BORROW FOR RIPRAP</v>
      </c>
      <c r="B170" s="19">
        <v>151.21</v>
      </c>
      <c r="C170" s="20" t="s">
        <v>1285</v>
      </c>
      <c r="D170" s="20" t="s">
        <v>4</v>
      </c>
    </row>
    <row r="171" spans="1:4">
      <c r="A171" s="18" t="str">
        <f t="shared" si="2"/>
        <v>151.22 GRAVEL BORROW FOR SIDEWALK</v>
      </c>
      <c r="B171" s="19">
        <v>151.22</v>
      </c>
      <c r="C171" s="20" t="s">
        <v>2020</v>
      </c>
      <c r="D171" s="20" t="s">
        <v>4</v>
      </c>
    </row>
    <row r="172" spans="1:4" s="26" customFormat="1">
      <c r="A172" s="18" t="str">
        <f t="shared" si="2"/>
        <v>151.3 GRAVEL BORROW FOR SLOPE TREATMENT</v>
      </c>
      <c r="B172" s="21">
        <v>151.30000000000001</v>
      </c>
      <c r="C172" s="22" t="s">
        <v>1286</v>
      </c>
      <c r="D172" s="22" t="s">
        <v>4</v>
      </c>
    </row>
    <row r="173" spans="1:4">
      <c r="A173" s="18" t="str">
        <f t="shared" si="2"/>
        <v>151.5 GRAVEL BORROW IN COFFERDAMS</v>
      </c>
      <c r="B173" s="19">
        <v>151.5</v>
      </c>
      <c r="C173" s="20" t="s">
        <v>2021</v>
      </c>
      <c r="D173" s="20" t="s">
        <v>4</v>
      </c>
    </row>
    <row r="174" spans="1:4" s="26" customFormat="1">
      <c r="A174" s="18" t="str">
        <f t="shared" si="2"/>
        <v>152 PROCESSED GRAVEL</v>
      </c>
      <c r="B174" s="21">
        <v>152</v>
      </c>
      <c r="C174" s="22" t="s">
        <v>132</v>
      </c>
      <c r="D174" s="22" t="s">
        <v>4</v>
      </c>
    </row>
    <row r="175" spans="1:4">
      <c r="A175" s="18" t="str">
        <f t="shared" si="2"/>
        <v>152.01 PROCESSED GRAVEL</v>
      </c>
      <c r="B175" s="21">
        <v>152.01</v>
      </c>
      <c r="C175" s="22" t="s">
        <v>132</v>
      </c>
      <c r="D175" s="22" t="s">
        <v>7</v>
      </c>
    </row>
    <row r="176" spans="1:4" s="26" customFormat="1">
      <c r="A176" s="18" t="str">
        <f t="shared" si="2"/>
        <v>152.1 SCREENED GRAVEL</v>
      </c>
      <c r="B176" s="21">
        <v>152.1</v>
      </c>
      <c r="C176" s="22" t="s">
        <v>2022</v>
      </c>
      <c r="D176" s="22" t="s">
        <v>4</v>
      </c>
    </row>
    <row r="177" spans="1:4">
      <c r="A177" s="18" t="str">
        <f t="shared" si="2"/>
        <v>152.3 PEASTONE FOR INTEGRAL ABUTMENTS</v>
      </c>
      <c r="B177" s="21">
        <v>152.30000000000001</v>
      </c>
      <c r="C177" s="22" t="s">
        <v>2023</v>
      </c>
      <c r="D177" s="22" t="s">
        <v>7</v>
      </c>
    </row>
    <row r="178" spans="1:4" s="26" customFormat="1">
      <c r="A178" s="18" t="str">
        <f t="shared" si="2"/>
        <v>152.4 PEASTONE FOR SEDIMENTATION POOL</v>
      </c>
      <c r="B178" s="21">
        <v>152.4</v>
      </c>
      <c r="C178" s="22" t="s">
        <v>2024</v>
      </c>
      <c r="D178" s="22" t="s">
        <v>7</v>
      </c>
    </row>
    <row r="179" spans="1:4">
      <c r="A179" s="18" t="str">
        <f t="shared" si="2"/>
        <v>152.5 PEASTONE FOR DRIVEWAYS</v>
      </c>
      <c r="B179" s="19">
        <v>152.5</v>
      </c>
      <c r="C179" s="20" t="s">
        <v>2025</v>
      </c>
      <c r="D179" s="20" t="s">
        <v>7</v>
      </c>
    </row>
    <row r="180" spans="1:4" s="26" customFormat="1">
      <c r="A180" s="18" t="str">
        <f t="shared" si="2"/>
        <v>152.6 PEASTONE FOR SIDEWALKS</v>
      </c>
      <c r="B180" s="19">
        <v>152.6</v>
      </c>
      <c r="C180" s="20" t="s">
        <v>2026</v>
      </c>
      <c r="D180" s="20" t="s">
        <v>7</v>
      </c>
    </row>
    <row r="181" spans="1:4">
      <c r="A181" s="18" t="str">
        <f t="shared" si="2"/>
        <v>152.7 PEASTONE</v>
      </c>
      <c r="B181" s="19">
        <v>152.69999999999999</v>
      </c>
      <c r="C181" s="20" t="s">
        <v>133</v>
      </c>
      <c r="D181" s="20" t="s">
        <v>7</v>
      </c>
    </row>
    <row r="182" spans="1:4" s="26" customFormat="1">
      <c r="A182" s="18" t="str">
        <f t="shared" si="2"/>
        <v>153 CONTROLLED DENSITY FILL - EXCAVATABLE</v>
      </c>
      <c r="B182" s="19">
        <v>153</v>
      </c>
      <c r="C182" s="20" t="s">
        <v>134</v>
      </c>
      <c r="D182" s="20" t="s">
        <v>4</v>
      </c>
    </row>
    <row r="183" spans="1:4">
      <c r="A183" s="18" t="str">
        <f t="shared" si="2"/>
        <v>153.1 CONTROLLED DENSITY FILL - NON-EXCAVATABLE</v>
      </c>
      <c r="B183" s="19">
        <v>153.1</v>
      </c>
      <c r="C183" s="20" t="s">
        <v>135</v>
      </c>
      <c r="D183" s="20" t="s">
        <v>4</v>
      </c>
    </row>
    <row r="184" spans="1:4" s="26" customFormat="1">
      <c r="A184" s="18" t="str">
        <f t="shared" si="2"/>
        <v>154 SAND BORROW</v>
      </c>
      <c r="B184" s="21">
        <v>154</v>
      </c>
      <c r="C184" s="22" t="s">
        <v>136</v>
      </c>
      <c r="D184" s="22" t="s">
        <v>4</v>
      </c>
    </row>
    <row r="185" spans="1:4">
      <c r="A185" s="18" t="str">
        <f t="shared" si="2"/>
        <v>154.1 SAND BORROW (COVER)</v>
      </c>
      <c r="B185" s="21">
        <v>154.1</v>
      </c>
      <c r="C185" s="22" t="s">
        <v>2027</v>
      </c>
      <c r="D185" s="22" t="s">
        <v>4</v>
      </c>
    </row>
    <row r="186" spans="1:4" s="26" customFormat="1">
      <c r="A186" s="18" t="str">
        <f t="shared" si="2"/>
        <v>154.2 SAND BORROW IN COFFERDAM</v>
      </c>
      <c r="B186" s="19">
        <v>154.19999999999999</v>
      </c>
      <c r="C186" s="20" t="s">
        <v>2028</v>
      </c>
      <c r="D186" s="20" t="s">
        <v>4</v>
      </c>
    </row>
    <row r="187" spans="1:4">
      <c r="A187" s="18" t="str">
        <f t="shared" si="2"/>
        <v>154.3 SAND BORROW FOR BRIDGE MEDIAN</v>
      </c>
      <c r="B187" s="19">
        <v>154.30000000000001</v>
      </c>
      <c r="C187" s="20" t="s">
        <v>2029</v>
      </c>
      <c r="D187" s="20" t="s">
        <v>4</v>
      </c>
    </row>
    <row r="188" spans="1:4" s="26" customFormat="1">
      <c r="A188" s="18" t="str">
        <f t="shared" si="2"/>
        <v>154.4 SAND BORROW FOR DUMPED RIPRAP</v>
      </c>
      <c r="B188" s="21">
        <v>154.4</v>
      </c>
      <c r="C188" s="22" t="s">
        <v>2030</v>
      </c>
      <c r="D188" s="22" t="s">
        <v>4</v>
      </c>
    </row>
    <row r="189" spans="1:4">
      <c r="A189" s="18" t="str">
        <f t="shared" si="2"/>
        <v>154.5 SAND BORROW FOR FILTER BLANKET</v>
      </c>
      <c r="B189" s="21">
        <v>154.5</v>
      </c>
      <c r="C189" s="22" t="s">
        <v>2031</v>
      </c>
      <c r="D189" s="22" t="s">
        <v>4</v>
      </c>
    </row>
    <row r="190" spans="1:4" s="26" customFormat="1">
      <c r="A190" s="18" t="str">
        <f t="shared" si="2"/>
        <v>155 LOAM OR CLAY HARDENING</v>
      </c>
      <c r="B190" s="19">
        <v>155</v>
      </c>
      <c r="C190" s="20" t="s">
        <v>2032</v>
      </c>
      <c r="D190" s="20" t="s">
        <v>4</v>
      </c>
    </row>
    <row r="191" spans="1:4">
      <c r="A191" s="18" t="str">
        <f t="shared" si="2"/>
        <v>156 CRUSHED STONE</v>
      </c>
      <c r="B191" s="21">
        <v>156</v>
      </c>
      <c r="C191" s="22" t="s">
        <v>26</v>
      </c>
      <c r="D191" s="22" t="s">
        <v>7</v>
      </c>
    </row>
    <row r="192" spans="1:4" s="26" customFormat="1">
      <c r="A192" s="18" t="str">
        <f t="shared" si="2"/>
        <v>156.1 CRUSHED STONE FOR BRIDGE FOUNDATIONS</v>
      </c>
      <c r="B192" s="21">
        <v>156.1</v>
      </c>
      <c r="C192" s="22" t="s">
        <v>137</v>
      </c>
      <c r="D192" s="22" t="s">
        <v>7</v>
      </c>
    </row>
    <row r="193" spans="1:4">
      <c r="A193" s="18" t="str">
        <f t="shared" si="2"/>
        <v>156.12 CRUSHED STONE FOR CURB FOUNDATION</v>
      </c>
      <c r="B193" s="19">
        <v>156.12</v>
      </c>
      <c r="C193" s="20" t="s">
        <v>2033</v>
      </c>
      <c r="D193" s="20" t="s">
        <v>7</v>
      </c>
    </row>
    <row r="194" spans="1:4" s="26" customFormat="1">
      <c r="A194" s="18" t="str">
        <f t="shared" ref="A194:A257" si="3">B194&amp;" "&amp;C194</f>
        <v>156.2 CRUSHED STONE FOR SLOPE TREATMENT</v>
      </c>
      <c r="B194" s="19">
        <v>156.19999999999999</v>
      </c>
      <c r="C194" s="20" t="s">
        <v>2034</v>
      </c>
      <c r="D194" s="20" t="s">
        <v>7</v>
      </c>
    </row>
    <row r="195" spans="1:4">
      <c r="A195" s="18" t="str">
        <f t="shared" si="3"/>
        <v>156.3 CRUSHED STONE FOR BACKING</v>
      </c>
      <c r="B195" s="21">
        <v>156.30000000000001</v>
      </c>
      <c r="C195" s="22" t="s">
        <v>2035</v>
      </c>
      <c r="D195" s="22" t="s">
        <v>7</v>
      </c>
    </row>
    <row r="196" spans="1:4" s="26" customFormat="1">
      <c r="A196" s="18" t="str">
        <f t="shared" si="3"/>
        <v>156.4 CRUSHED STONE FOR UNDERDRAIN</v>
      </c>
      <c r="B196" s="21">
        <v>156.4</v>
      </c>
      <c r="C196" s="22" t="s">
        <v>2036</v>
      </c>
      <c r="D196" s="22" t="s">
        <v>17</v>
      </c>
    </row>
    <row r="197" spans="1:4">
      <c r="A197" s="18" t="str">
        <f t="shared" si="3"/>
        <v>156.5 CRUSHED STONE FOR FILTER BLANKET</v>
      </c>
      <c r="B197" s="19">
        <v>156.5</v>
      </c>
      <c r="C197" s="20" t="s">
        <v>138</v>
      </c>
      <c r="D197" s="20" t="s">
        <v>4</v>
      </c>
    </row>
    <row r="198" spans="1:4" s="26" customFormat="1">
      <c r="A198" s="18" t="str">
        <f t="shared" si="3"/>
        <v>156.8 CRUSHED STONE FOR SUB-BASE</v>
      </c>
      <c r="B198" s="19">
        <v>156.80000000000001</v>
      </c>
      <c r="C198" s="20" t="s">
        <v>2037</v>
      </c>
      <c r="D198" s="20" t="s">
        <v>4</v>
      </c>
    </row>
    <row r="199" spans="1:4">
      <c r="A199" s="18" t="str">
        <f t="shared" si="3"/>
        <v>156.9 CRUSHED STONE FOR CHANNEL PAVING FOUNDATION</v>
      </c>
      <c r="B199" s="21">
        <v>156.9</v>
      </c>
      <c r="C199" s="22" t="s">
        <v>2038</v>
      </c>
      <c r="D199" s="22" t="s">
        <v>7</v>
      </c>
    </row>
    <row r="200" spans="1:4" s="26" customFormat="1">
      <c r="A200" s="18" t="str">
        <f t="shared" si="3"/>
        <v>157 STONE FOR DRAINAGE END</v>
      </c>
      <c r="B200" s="21">
        <v>157</v>
      </c>
      <c r="C200" s="22" t="s">
        <v>2039</v>
      </c>
      <c r="D200" s="22" t="s">
        <v>1</v>
      </c>
    </row>
    <row r="201" spans="1:4">
      <c r="A201" s="18" t="str">
        <f t="shared" si="3"/>
        <v>157.1 GABIONS</v>
      </c>
      <c r="B201" s="21">
        <v>157.1</v>
      </c>
      <c r="C201" s="22" t="s">
        <v>139</v>
      </c>
      <c r="D201" s="22" t="s">
        <v>4</v>
      </c>
    </row>
    <row r="202" spans="1:4" s="26" customFormat="1">
      <c r="A202" s="18" t="str">
        <f t="shared" si="3"/>
        <v>157.2 RENO MATTRESS</v>
      </c>
      <c r="B202" s="19">
        <v>157.19999999999999</v>
      </c>
      <c r="C202" s="20" t="s">
        <v>140</v>
      </c>
      <c r="D202" s="20" t="s">
        <v>4</v>
      </c>
    </row>
    <row r="203" spans="1:4">
      <c r="A203" s="18" t="str">
        <f t="shared" si="3"/>
        <v>160 PIEZOMETER</v>
      </c>
      <c r="B203" s="19">
        <v>160</v>
      </c>
      <c r="C203" s="20" t="s">
        <v>2040</v>
      </c>
      <c r="D203" s="20" t="s">
        <v>2</v>
      </c>
    </row>
    <row r="204" spans="1:4" s="26" customFormat="1">
      <c r="A204" s="18" t="str">
        <f t="shared" si="3"/>
        <v>160.1 PIEZOMETER - VIBRATION WIRE</v>
      </c>
      <c r="B204" s="21">
        <v>160.1</v>
      </c>
      <c r="C204" s="22" t="s">
        <v>2041</v>
      </c>
      <c r="D204" s="22" t="s">
        <v>2</v>
      </c>
    </row>
    <row r="205" spans="1:4">
      <c r="A205" s="18" t="str">
        <f t="shared" si="3"/>
        <v>160.2 PIEZOMETER - HYDRAULIC (SINGLE TUBE)</v>
      </c>
      <c r="B205" s="21">
        <v>160.19999999999999</v>
      </c>
      <c r="C205" s="22" t="s">
        <v>2042</v>
      </c>
      <c r="D205" s="22" t="s">
        <v>2</v>
      </c>
    </row>
    <row r="206" spans="1:4" s="26" customFormat="1">
      <c r="A206" s="18" t="str">
        <f t="shared" si="3"/>
        <v>160.3 PIEZOMETER - HYDRAULIC (DOUBLE TUBE)</v>
      </c>
      <c r="B206" s="19">
        <v>160.30000000000001</v>
      </c>
      <c r="C206" s="20" t="s">
        <v>2043</v>
      </c>
      <c r="D206" s="20" t="s">
        <v>2</v>
      </c>
    </row>
    <row r="207" spans="1:4">
      <c r="A207" s="18" t="str">
        <f t="shared" si="3"/>
        <v>160.4 INCLINOMETER CASING</v>
      </c>
      <c r="B207" s="19">
        <v>160.4</v>
      </c>
      <c r="C207" s="20" t="s">
        <v>2044</v>
      </c>
      <c r="D207" s="20" t="s">
        <v>17</v>
      </c>
    </row>
    <row r="208" spans="1:4" s="26" customFormat="1">
      <c r="A208" s="18" t="str">
        <f t="shared" si="3"/>
        <v>160.5 INCLINATOR CASING</v>
      </c>
      <c r="B208" s="21">
        <v>160.5</v>
      </c>
      <c r="C208" s="22" t="s">
        <v>2045</v>
      </c>
      <c r="D208" s="22" t="s">
        <v>2</v>
      </c>
    </row>
    <row r="209" spans="1:4">
      <c r="A209" s="18" t="str">
        <f t="shared" si="3"/>
        <v>160.6 TIDE GAUGE</v>
      </c>
      <c r="B209" s="21">
        <v>160.6</v>
      </c>
      <c r="C209" s="22" t="s">
        <v>2046</v>
      </c>
      <c r="D209" s="22" t="s">
        <v>2</v>
      </c>
    </row>
    <row r="210" spans="1:4" s="26" customFormat="1">
      <c r="A210" s="18" t="str">
        <f t="shared" si="3"/>
        <v>160.7 PERMANENT BENCH MARK</v>
      </c>
      <c r="B210" s="19">
        <v>160.69999999999999</v>
      </c>
      <c r="C210" s="20" t="s">
        <v>2047</v>
      </c>
      <c r="D210" s="20" t="s">
        <v>2</v>
      </c>
    </row>
    <row r="211" spans="1:4">
      <c r="A211" s="18" t="str">
        <f t="shared" si="3"/>
        <v>161 SETTLEMENT PLATFORM</v>
      </c>
      <c r="B211" s="19">
        <v>161</v>
      </c>
      <c r="C211" s="20" t="s">
        <v>2048</v>
      </c>
      <c r="D211" s="20" t="s">
        <v>2</v>
      </c>
    </row>
    <row r="212" spans="1:4" s="26" customFormat="1">
      <c r="A212" s="18" t="str">
        <f t="shared" si="3"/>
        <v>161.1 SETTLEMENT ANCHOR</v>
      </c>
      <c r="B212" s="21">
        <v>161.1</v>
      </c>
      <c r="C212" s="22" t="s">
        <v>2049</v>
      </c>
      <c r="D212" s="22" t="s">
        <v>2</v>
      </c>
    </row>
    <row r="213" spans="1:4">
      <c r="A213" s="18" t="str">
        <f t="shared" si="3"/>
        <v>162 DISPLACEMENT STAKE</v>
      </c>
      <c r="B213" s="21">
        <v>162</v>
      </c>
      <c r="C213" s="22" t="s">
        <v>2050</v>
      </c>
      <c r="D213" s="22" t="s">
        <v>2</v>
      </c>
    </row>
    <row r="214" spans="1:4" s="26" customFormat="1">
      <c r="A214" s="18" t="str">
        <f t="shared" si="3"/>
        <v>170 FINE GRADING AND COMPACTING  - SUBGRADE AREA</v>
      </c>
      <c r="B214" s="21">
        <v>170</v>
      </c>
      <c r="C214" s="22" t="s">
        <v>2051</v>
      </c>
      <c r="D214" s="22" t="s">
        <v>1</v>
      </c>
    </row>
    <row r="215" spans="1:4">
      <c r="A215" s="18" t="str">
        <f t="shared" si="3"/>
        <v>180.01 ENVIRONMENTAL HEALTH AND SAFETY PROGRAM</v>
      </c>
      <c r="B215" s="19">
        <v>180.01</v>
      </c>
      <c r="C215" s="20" t="s">
        <v>1288</v>
      </c>
      <c r="D215" s="20" t="s">
        <v>22</v>
      </c>
    </row>
    <row r="216" spans="1:4" s="26" customFormat="1">
      <c r="A216" s="18" t="str">
        <f t="shared" si="3"/>
        <v>180.02 PERSONAL PROTECTION LEVEL C UPGRADE</v>
      </c>
      <c r="B216" s="19">
        <v>180.02</v>
      </c>
      <c r="C216" s="20" t="s">
        <v>1289</v>
      </c>
      <c r="D216" s="20" t="s">
        <v>24</v>
      </c>
    </row>
    <row r="217" spans="1:4">
      <c r="A217" s="18" t="str">
        <f t="shared" si="3"/>
        <v>180.03 LICENSED SITE PROFESSIONAL SERVICES</v>
      </c>
      <c r="B217" s="21">
        <v>180.03</v>
      </c>
      <c r="C217" s="22" t="s">
        <v>1290</v>
      </c>
      <c r="D217" s="22" t="s">
        <v>24</v>
      </c>
    </row>
    <row r="218" spans="1:4" s="26" customFormat="1">
      <c r="A218" s="18" t="str">
        <f t="shared" si="3"/>
        <v>181.11 DISPOSAL OF UNREGULATED SOIL</v>
      </c>
      <c r="B218" s="19">
        <v>181.11</v>
      </c>
      <c r="C218" s="20" t="s">
        <v>58</v>
      </c>
      <c r="D218" s="20" t="s">
        <v>7</v>
      </c>
    </row>
    <row r="219" spans="1:4">
      <c r="A219" s="18" t="str">
        <f t="shared" si="3"/>
        <v>181.12 DISPOSAL OF REGULATED SOIL - IN-STATE FACILITY</v>
      </c>
      <c r="B219" s="19">
        <v>181.12</v>
      </c>
      <c r="C219" s="20" t="s">
        <v>141</v>
      </c>
      <c r="D219" s="20" t="s">
        <v>7</v>
      </c>
    </row>
    <row r="220" spans="1:4" s="26" customFormat="1">
      <c r="A220" s="18" t="str">
        <f t="shared" si="3"/>
        <v>181.13 DISPOSAL OF REGULATED SOIL - OUT-OF-STATE FACILITY</v>
      </c>
      <c r="B220" s="19">
        <v>181.13</v>
      </c>
      <c r="C220" s="20" t="s">
        <v>142</v>
      </c>
      <c r="D220" s="20" t="s">
        <v>7</v>
      </c>
    </row>
    <row r="221" spans="1:4">
      <c r="A221" s="18" t="str">
        <f t="shared" si="3"/>
        <v>181.14 DISPOSAL OF HAZARDOUS WASTE</v>
      </c>
      <c r="B221" s="21">
        <v>181.14</v>
      </c>
      <c r="C221" s="22" t="s">
        <v>59</v>
      </c>
      <c r="D221" s="22" t="s">
        <v>7</v>
      </c>
    </row>
    <row r="222" spans="1:4" s="26" customFormat="1">
      <c r="A222" s="18" t="str">
        <f t="shared" si="3"/>
        <v>182.1 INSPECTION AND TESTING FOR ASBESTOS</v>
      </c>
      <c r="B222" s="21">
        <v>182.1</v>
      </c>
      <c r="C222" s="22" t="s">
        <v>143</v>
      </c>
      <c r="D222" s="22" t="s">
        <v>22</v>
      </c>
    </row>
    <row r="223" spans="1:4">
      <c r="A223" s="18" t="str">
        <f t="shared" si="3"/>
        <v>182.2 REMOVAL OF ASBESTOS</v>
      </c>
      <c r="B223" s="21">
        <v>182.2</v>
      </c>
      <c r="C223" s="22" t="s">
        <v>144</v>
      </c>
      <c r="D223" s="22" t="s">
        <v>17</v>
      </c>
    </row>
    <row r="224" spans="1:4" s="26" customFormat="1">
      <c r="A224" s="18" t="str">
        <f t="shared" si="3"/>
        <v>182.3 ASBESTOS ABATEMENT FOR BUILDING DEMOLITION</v>
      </c>
      <c r="B224" s="19">
        <v>182.3</v>
      </c>
      <c r="C224" s="20" t="s">
        <v>145</v>
      </c>
      <c r="D224" s="20" t="s">
        <v>22</v>
      </c>
    </row>
    <row r="225" spans="1:4">
      <c r="A225" s="18" t="str">
        <f t="shared" si="3"/>
        <v>183.1 TREATMENT OF CONTAMINATED GROUNDWATER</v>
      </c>
      <c r="B225" s="21">
        <v>183.1</v>
      </c>
      <c r="C225" s="22" t="s">
        <v>146</v>
      </c>
      <c r="D225" s="22" t="s">
        <v>20</v>
      </c>
    </row>
    <row r="226" spans="1:4" s="26" customFormat="1">
      <c r="A226" s="18" t="str">
        <f t="shared" si="3"/>
        <v>183.2 DISPOSAL OF GRANULAR ACTIVATED CARBON</v>
      </c>
      <c r="B226" s="19">
        <v>183.2</v>
      </c>
      <c r="C226" s="20" t="s">
        <v>147</v>
      </c>
      <c r="D226" s="20" t="s">
        <v>100</v>
      </c>
    </row>
    <row r="227" spans="1:4">
      <c r="A227" s="18" t="str">
        <f t="shared" si="3"/>
        <v>184.1 DISPOSAL OF TREATED WOOD PRODUCTS</v>
      </c>
      <c r="B227" s="19">
        <v>184.1</v>
      </c>
      <c r="C227" s="20" t="s">
        <v>148</v>
      </c>
      <c r="D227" s="20" t="s">
        <v>7</v>
      </c>
    </row>
    <row r="228" spans="1:4" s="26" customFormat="1">
      <c r="A228" s="18" t="str">
        <f t="shared" si="3"/>
        <v>185.1 UNDERGROUND STORAGE TANK REMOVAL (FUEL OIL OR DIESEL)</v>
      </c>
      <c r="B228" s="21">
        <v>185.1</v>
      </c>
      <c r="C228" s="22" t="s">
        <v>2052</v>
      </c>
      <c r="D228" s="22" t="s">
        <v>22</v>
      </c>
    </row>
    <row r="229" spans="1:4">
      <c r="A229" s="18" t="str">
        <f t="shared" si="3"/>
        <v>185.2 UST REMOVAL/ 5,000-10,000 GALLONS (FUEL OIL OR DIESEL)</v>
      </c>
      <c r="B229" s="21">
        <v>185.2</v>
      </c>
      <c r="C229" s="22" t="s">
        <v>2053</v>
      </c>
      <c r="D229" s="22" t="s">
        <v>22</v>
      </c>
    </row>
    <row r="230" spans="1:4" s="26" customFormat="1">
      <c r="A230" s="18" t="str">
        <f t="shared" si="3"/>
        <v>185.3 UST REMOVAL/ OVER 10,000 GALLONS (FUEL OIL OR DIESEL)</v>
      </c>
      <c r="B230" s="19">
        <v>185.3</v>
      </c>
      <c r="C230" s="20" t="s">
        <v>2054</v>
      </c>
      <c r="D230" s="20" t="s">
        <v>22</v>
      </c>
    </row>
    <row r="231" spans="1:4">
      <c r="A231" s="18" t="str">
        <f t="shared" si="3"/>
        <v>185.4 UST REMOVAL/ UNDER 5,000 GALLONS (GASOLINE)</v>
      </c>
      <c r="B231" s="21">
        <v>185.4</v>
      </c>
      <c r="C231" s="22" t="s">
        <v>2055</v>
      </c>
      <c r="D231" s="22" t="s">
        <v>22</v>
      </c>
    </row>
    <row r="232" spans="1:4" s="26" customFormat="1">
      <c r="A232" s="18" t="str">
        <f t="shared" si="3"/>
        <v>185.5 UST REMOVAL/ 5,000-10,000 GALLONS (GASOLINE)</v>
      </c>
      <c r="B232" s="21">
        <v>185.5</v>
      </c>
      <c r="C232" s="22" t="s">
        <v>2056</v>
      </c>
      <c r="D232" s="22" t="s">
        <v>22</v>
      </c>
    </row>
    <row r="233" spans="1:4">
      <c r="A233" s="18" t="str">
        <f t="shared" si="3"/>
        <v>185.6 UST REMOVAL/ UNDER 1,000 GALLONS (WASTE OIL)</v>
      </c>
      <c r="B233" s="19">
        <v>185.6</v>
      </c>
      <c r="C233" s="20" t="s">
        <v>2057</v>
      </c>
      <c r="D233" s="20" t="s">
        <v>22</v>
      </c>
    </row>
    <row r="234" spans="1:4" s="26" customFormat="1">
      <c r="A234" s="18" t="str">
        <f t="shared" si="3"/>
        <v>185.7 UST REMOVAL/ 1,000-5,000 GALLONS (WASTE OIL)</v>
      </c>
      <c r="B234" s="19">
        <v>185.7</v>
      </c>
      <c r="C234" s="20" t="s">
        <v>2058</v>
      </c>
      <c r="D234" s="20" t="s">
        <v>22</v>
      </c>
    </row>
    <row r="235" spans="1:4">
      <c r="A235" s="18" t="str">
        <f t="shared" si="3"/>
        <v>186.1 DISPOSAL OF RECLAIMABLE - RECYCLABLE WASTE LIQUID</v>
      </c>
      <c r="B235" s="21">
        <v>186.1</v>
      </c>
      <c r="C235" s="22" t="s">
        <v>1291</v>
      </c>
      <c r="D235" s="22" t="s">
        <v>20</v>
      </c>
    </row>
    <row r="236" spans="1:4" s="26" customFormat="1">
      <c r="A236" s="18" t="str">
        <f t="shared" si="3"/>
        <v>186.2 DISPOSAL OF NON-RECLAIMABLE - RECYCLABLE WASTE LIQUID</v>
      </c>
      <c r="B236" s="21">
        <v>186.2</v>
      </c>
      <c r="C236" s="22" t="s">
        <v>2059</v>
      </c>
      <c r="D236" s="22" t="s">
        <v>20</v>
      </c>
    </row>
    <row r="237" spans="1:4">
      <c r="A237" s="18" t="str">
        <f t="shared" si="3"/>
        <v>188.1 TESTING OF PCB BALLASTS</v>
      </c>
      <c r="B237" s="19">
        <v>188.1</v>
      </c>
      <c r="C237" s="20" t="s">
        <v>1435</v>
      </c>
      <c r="D237" s="20" t="s">
        <v>22</v>
      </c>
    </row>
    <row r="238" spans="1:4" s="26" customFormat="1">
      <c r="A238" s="18" t="str">
        <f t="shared" si="3"/>
        <v>188.2 DISPOSAL OF PCB BALLASTS</v>
      </c>
      <c r="B238" s="21">
        <v>188.2</v>
      </c>
      <c r="C238" s="22" t="s">
        <v>149</v>
      </c>
      <c r="D238" s="22" t="s">
        <v>22</v>
      </c>
    </row>
    <row r="239" spans="1:4">
      <c r="A239" s="18" t="str">
        <f t="shared" si="3"/>
        <v>188.3 DISPOSAL OF MERCURY CONTAINING LAMPS</v>
      </c>
      <c r="B239" s="19">
        <v>188.3</v>
      </c>
      <c r="C239" s="20" t="s">
        <v>150</v>
      </c>
      <c r="D239" s="20" t="s">
        <v>2</v>
      </c>
    </row>
    <row r="240" spans="1:4" s="26" customFormat="1">
      <c r="A240" s="18" t="str">
        <f t="shared" si="3"/>
        <v>188.4 DISPOSAL OF MERCURY CONTAINING DEVICES</v>
      </c>
      <c r="B240" s="19">
        <v>188.4</v>
      </c>
      <c r="C240" s="20" t="s">
        <v>1292</v>
      </c>
      <c r="D240" s="20" t="s">
        <v>2</v>
      </c>
    </row>
    <row r="241" spans="1:4">
      <c r="A241" s="18" t="str">
        <f t="shared" si="3"/>
        <v>191 DRIVE SAMPLE BORING</v>
      </c>
      <c r="B241" s="21">
        <v>191</v>
      </c>
      <c r="C241" s="22" t="s">
        <v>151</v>
      </c>
      <c r="D241" s="22" t="s">
        <v>17</v>
      </c>
    </row>
    <row r="242" spans="1:4" s="26" customFormat="1">
      <c r="A242" s="18" t="str">
        <f t="shared" si="3"/>
        <v>191.1 HOLLOW STEM AUGER BORINGS</v>
      </c>
      <c r="B242" s="21">
        <v>191.1</v>
      </c>
      <c r="C242" s="22" t="s">
        <v>152</v>
      </c>
      <c r="D242" s="22" t="s">
        <v>17</v>
      </c>
    </row>
    <row r="243" spans="1:4">
      <c r="A243" s="18" t="str">
        <f t="shared" si="3"/>
        <v>191.11 CORE BORING</v>
      </c>
      <c r="B243" s="19">
        <v>191.11</v>
      </c>
      <c r="C243" s="20" t="s">
        <v>153</v>
      </c>
      <c r="D243" s="20" t="s">
        <v>17</v>
      </c>
    </row>
    <row r="244" spans="1:4" s="26" customFormat="1">
      <c r="A244" s="18" t="str">
        <f t="shared" si="3"/>
        <v>191.2 UNDISTURBED SAMPLE PREPARTORY BORING</v>
      </c>
      <c r="B244" s="19">
        <v>191.2</v>
      </c>
      <c r="C244" s="20" t="s">
        <v>2060</v>
      </c>
      <c r="D244" s="20" t="s">
        <v>17</v>
      </c>
    </row>
    <row r="245" spans="1:4">
      <c r="A245" s="18" t="str">
        <f t="shared" si="3"/>
        <v>191.21 UNDISTURBED SAMPLE</v>
      </c>
      <c r="B245" s="19">
        <v>191.21</v>
      </c>
      <c r="C245" s="20" t="s">
        <v>2061</v>
      </c>
      <c r="D245" s="20" t="s">
        <v>2</v>
      </c>
    </row>
    <row r="246" spans="1:4" s="26" customFormat="1">
      <c r="A246" s="18" t="str">
        <f t="shared" si="3"/>
        <v>191.3 VANE SHEAR TEST PREP. BORING</v>
      </c>
      <c r="B246" s="19">
        <v>191.3</v>
      </c>
      <c r="C246" s="20" t="s">
        <v>2062</v>
      </c>
      <c r="D246" s="20" t="s">
        <v>17</v>
      </c>
    </row>
    <row r="247" spans="1:4">
      <c r="A247" s="18" t="str">
        <f t="shared" si="3"/>
        <v>191.31 VANE SHEAR TEST</v>
      </c>
      <c r="B247" s="21">
        <v>191.31</v>
      </c>
      <c r="C247" s="22" t="s">
        <v>2063</v>
      </c>
      <c r="D247" s="22" t="s">
        <v>2</v>
      </c>
    </row>
    <row r="248" spans="1:4" s="26" customFormat="1">
      <c r="A248" s="18" t="str">
        <f t="shared" si="3"/>
        <v>191.4 AUGER BORING</v>
      </c>
      <c r="B248" s="19">
        <v>191.4</v>
      </c>
      <c r="C248" s="20" t="s">
        <v>2064</v>
      </c>
      <c r="D248" s="20" t="s">
        <v>17</v>
      </c>
    </row>
    <row r="249" spans="1:4">
      <c r="A249" s="18" t="str">
        <f t="shared" si="3"/>
        <v>191.41 AUGER BORING SAMPLE</v>
      </c>
      <c r="B249" s="21">
        <v>191.41</v>
      </c>
      <c r="C249" s="22" t="s">
        <v>2065</v>
      </c>
      <c r="D249" s="22" t="s">
        <v>2</v>
      </c>
    </row>
    <row r="250" spans="1:4" s="26" customFormat="1">
      <c r="A250" s="18" t="str">
        <f t="shared" si="3"/>
        <v>191.5 THIN WALL STEEL TUBE DRIVE SAMPLE</v>
      </c>
      <c r="B250" s="21">
        <v>191.5</v>
      </c>
      <c r="C250" s="22" t="s">
        <v>2066</v>
      </c>
      <c r="D250" s="22" t="s">
        <v>2</v>
      </c>
    </row>
    <row r="251" spans="1:4">
      <c r="A251" s="18" t="str">
        <f t="shared" si="3"/>
        <v>191.6 TEST PIT</v>
      </c>
      <c r="B251" s="21">
        <v>191.6</v>
      </c>
      <c r="C251" s="22" t="s">
        <v>2067</v>
      </c>
      <c r="D251" s="22" t="s">
        <v>2</v>
      </c>
    </row>
    <row r="252" spans="1:4" s="26" customFormat="1">
      <c r="A252" s="18" t="str">
        <f t="shared" si="3"/>
        <v>191.61 TEST PIT THROUGH PAVEMENT</v>
      </c>
      <c r="B252" s="19">
        <v>191.61</v>
      </c>
      <c r="C252" s="20" t="s">
        <v>2068</v>
      </c>
      <c r="D252" s="20" t="s">
        <v>2</v>
      </c>
    </row>
    <row r="253" spans="1:4">
      <c r="A253" s="18" t="str">
        <f t="shared" si="3"/>
        <v>192 GROUND WATER OBSERVATION WELLPOINT TYPE I</v>
      </c>
      <c r="B253" s="19">
        <v>192</v>
      </c>
      <c r="C253" s="20" t="s">
        <v>2069</v>
      </c>
      <c r="D253" s="20" t="s">
        <v>17</v>
      </c>
    </row>
    <row r="254" spans="1:4" s="26" customFormat="1">
      <c r="A254" s="18" t="str">
        <f t="shared" si="3"/>
        <v>192.1 GROUND WATER OBSERVATION WELLPOINT TYPE II</v>
      </c>
      <c r="B254" s="21">
        <v>192.1</v>
      </c>
      <c r="C254" s="22" t="s">
        <v>2070</v>
      </c>
      <c r="D254" s="22" t="s">
        <v>17</v>
      </c>
    </row>
    <row r="255" spans="1:4">
      <c r="A255" s="18" t="str">
        <f t="shared" si="3"/>
        <v>192.2 GROUND WATER OBSERVATION WELLPOINT TY III-SOLID PIPE</v>
      </c>
      <c r="B255" s="21">
        <v>192.2</v>
      </c>
      <c r="C255" s="22" t="s">
        <v>2071</v>
      </c>
      <c r="D255" s="22" t="s">
        <v>17</v>
      </c>
    </row>
    <row r="256" spans="1:4" s="26" customFormat="1">
      <c r="A256" s="18" t="str">
        <f t="shared" si="3"/>
        <v>192.21 GROUND WATER OBSERVATION WELLPOINT TY III-WELLSCREEN</v>
      </c>
      <c r="B256" s="21">
        <v>192.21</v>
      </c>
      <c r="C256" s="22" t="s">
        <v>2072</v>
      </c>
      <c r="D256" s="22" t="s">
        <v>17</v>
      </c>
    </row>
    <row r="257" spans="1:4">
      <c r="A257" s="18" t="str">
        <f t="shared" si="3"/>
        <v>192.3 GROUND WATER OBSERVATION WELLPOINT TY IV-SOLID PIPE</v>
      </c>
      <c r="B257" s="19">
        <v>192.3</v>
      </c>
      <c r="C257" s="20" t="s">
        <v>2073</v>
      </c>
      <c r="D257" s="20" t="s">
        <v>17</v>
      </c>
    </row>
    <row r="258" spans="1:4" s="26" customFormat="1">
      <c r="A258" s="18" t="str">
        <f t="shared" ref="A258:A321" si="4">B258&amp;" "&amp;C258</f>
        <v>192.31 GROUND WATER OBSERVATION WELLPOINT TY IV-WELLSCREEN</v>
      </c>
      <c r="B258" s="21">
        <v>192.31</v>
      </c>
      <c r="C258" s="22" t="s">
        <v>2074</v>
      </c>
      <c r="D258" s="22" t="s">
        <v>17</v>
      </c>
    </row>
    <row r="259" spans="1:4">
      <c r="A259" s="18" t="str">
        <f t="shared" si="4"/>
        <v>193 MOBILIZATION AND DISMANTLING OF BORING EQUIPMENT</v>
      </c>
      <c r="B259" s="19">
        <v>193</v>
      </c>
      <c r="C259" s="20" t="s">
        <v>154</v>
      </c>
      <c r="D259" s="20" t="s">
        <v>22</v>
      </c>
    </row>
    <row r="260" spans="1:4" s="26" customFormat="1">
      <c r="A260" s="18" t="str">
        <f t="shared" si="4"/>
        <v>201 CATCH BASIN</v>
      </c>
      <c r="B260" s="19">
        <v>201</v>
      </c>
      <c r="C260" s="20" t="s">
        <v>155</v>
      </c>
      <c r="D260" s="20" t="s">
        <v>2</v>
      </c>
    </row>
    <row r="261" spans="1:4">
      <c r="A261" s="18" t="str">
        <f t="shared" si="4"/>
        <v>201.3 SPECIAL CATCH BASIN</v>
      </c>
      <c r="B261" s="19">
        <v>201.3</v>
      </c>
      <c r="C261" s="20" t="s">
        <v>156</v>
      </c>
      <c r="D261" s="20" t="s">
        <v>2</v>
      </c>
    </row>
    <row r="262" spans="1:4" s="26" customFormat="1">
      <c r="A262" s="18" t="str">
        <f t="shared" si="4"/>
        <v>201.5 CATCH BASIN - MUNICIPAL STANDARD</v>
      </c>
      <c r="B262" s="19">
        <v>201.5</v>
      </c>
      <c r="C262" s="20" t="s">
        <v>2075</v>
      </c>
      <c r="D262" s="20" t="s">
        <v>2</v>
      </c>
    </row>
    <row r="263" spans="1:4">
      <c r="A263" s="18" t="str">
        <f t="shared" si="4"/>
        <v>202 MANHOLE</v>
      </c>
      <c r="B263" s="19">
        <v>202</v>
      </c>
      <c r="C263" s="20" t="s">
        <v>157</v>
      </c>
      <c r="D263" s="20" t="s">
        <v>2</v>
      </c>
    </row>
    <row r="264" spans="1:4" s="26" customFormat="1">
      <c r="A264" s="18" t="str">
        <f t="shared" si="4"/>
        <v>202.01 MANHOLE - MUNICIPAL STANDARD</v>
      </c>
      <c r="B264" s="21">
        <v>202.01</v>
      </c>
      <c r="C264" s="22" t="s">
        <v>2076</v>
      </c>
      <c r="D264" s="22" t="s">
        <v>2</v>
      </c>
    </row>
    <row r="265" spans="1:4">
      <c r="A265" s="18" t="str">
        <f t="shared" si="4"/>
        <v>202.2 MANHOLE (9 TO 14 FOOT DEPTH)</v>
      </c>
      <c r="B265" s="19">
        <v>202.2</v>
      </c>
      <c r="C265" s="20" t="s">
        <v>158</v>
      </c>
      <c r="D265" s="20" t="s">
        <v>2</v>
      </c>
    </row>
    <row r="266" spans="1:4" s="26" customFormat="1">
      <c r="A266" s="18" t="str">
        <f t="shared" si="4"/>
        <v>202.21 MANHOLE (9 TO 14 FOOT DEPTH) - MUNICIPAL STANDARD</v>
      </c>
      <c r="B266" s="21">
        <v>202.21</v>
      </c>
      <c r="C266" s="22" t="s">
        <v>2077</v>
      </c>
      <c r="D266" s="22" t="s">
        <v>2</v>
      </c>
    </row>
    <row r="267" spans="1:4">
      <c r="A267" s="18" t="str">
        <f t="shared" si="4"/>
        <v>202.3 MANHOLE (14 TO 18 FOOT DEPTH)</v>
      </c>
      <c r="B267" s="21">
        <v>202.3</v>
      </c>
      <c r="C267" s="22" t="s">
        <v>2078</v>
      </c>
      <c r="D267" s="22" t="s">
        <v>2</v>
      </c>
    </row>
    <row r="268" spans="1:4" s="26" customFormat="1">
      <c r="A268" s="18" t="str">
        <f t="shared" si="4"/>
        <v>202.31 MANHOLE (14 TO 18 FOOT DEPTH) - MUNICIPAL STANDARD</v>
      </c>
      <c r="B268" s="21">
        <v>202.31</v>
      </c>
      <c r="C268" s="22" t="s">
        <v>2079</v>
      </c>
      <c r="D268" s="22" t="s">
        <v>2</v>
      </c>
    </row>
    <row r="269" spans="1:4">
      <c r="A269" s="18" t="str">
        <f t="shared" si="4"/>
        <v>202.4 MANHOLE (18 FOOT AND OVER)</v>
      </c>
      <c r="B269" s="21">
        <v>202.4</v>
      </c>
      <c r="C269" s="22" t="s">
        <v>2080</v>
      </c>
      <c r="D269" s="22" t="s">
        <v>2</v>
      </c>
    </row>
    <row r="270" spans="1:4" s="26" customFormat="1">
      <c r="A270" s="18" t="str">
        <f t="shared" si="4"/>
        <v>203 SPECIAL MANHOLE</v>
      </c>
      <c r="B270" s="19">
        <v>203</v>
      </c>
      <c r="C270" s="20" t="s">
        <v>159</v>
      </c>
      <c r="D270" s="20" t="s">
        <v>2</v>
      </c>
    </row>
    <row r="271" spans="1:4">
      <c r="A271" s="18" t="str">
        <f t="shared" si="4"/>
        <v>203.11 SPECIAL MANHOLE - MUNICIPAL STANDARD</v>
      </c>
      <c r="B271" s="19">
        <v>203.11</v>
      </c>
      <c r="C271" s="20" t="s">
        <v>1293</v>
      </c>
      <c r="D271" s="20" t="s">
        <v>2</v>
      </c>
    </row>
    <row r="272" spans="1:4" s="26" customFormat="1">
      <c r="A272" s="18" t="str">
        <f t="shared" si="4"/>
        <v>204 GUTTER INLET</v>
      </c>
      <c r="B272" s="19">
        <v>204</v>
      </c>
      <c r="C272" s="20" t="s">
        <v>160</v>
      </c>
      <c r="D272" s="20" t="s">
        <v>2</v>
      </c>
    </row>
    <row r="273" spans="1:4">
      <c r="A273" s="18" t="str">
        <f t="shared" si="4"/>
        <v>204.11 GUTTER INLET - SPECIAL</v>
      </c>
      <c r="B273" s="21">
        <v>204.11</v>
      </c>
      <c r="C273" s="22" t="s">
        <v>1294</v>
      </c>
      <c r="D273" s="22" t="s">
        <v>2</v>
      </c>
    </row>
    <row r="274" spans="1:4" s="26" customFormat="1">
      <c r="A274" s="18" t="str">
        <f t="shared" si="4"/>
        <v>204.3 GUTTER INLET - MUNICIPAL STANDARD</v>
      </c>
      <c r="B274" s="19">
        <v>204.3</v>
      </c>
      <c r="C274" s="20" t="s">
        <v>2081</v>
      </c>
      <c r="D274" s="20" t="s">
        <v>2</v>
      </c>
    </row>
    <row r="275" spans="1:4">
      <c r="A275" s="18" t="str">
        <f t="shared" si="4"/>
        <v>205 LEACHING BASIN</v>
      </c>
      <c r="B275" s="21">
        <v>205</v>
      </c>
      <c r="C275" s="22" t="s">
        <v>161</v>
      </c>
      <c r="D275" s="22" t="s">
        <v>2</v>
      </c>
    </row>
    <row r="276" spans="1:4" s="26" customFormat="1">
      <c r="A276" s="18" t="str">
        <f t="shared" si="4"/>
        <v>206 DROP INLET, TYPE A</v>
      </c>
      <c r="B276" s="19">
        <v>206</v>
      </c>
      <c r="C276" s="20" t="s">
        <v>162</v>
      </c>
      <c r="D276" s="20" t="s">
        <v>2</v>
      </c>
    </row>
    <row r="277" spans="1:4">
      <c r="A277" s="18" t="str">
        <f t="shared" si="4"/>
        <v>206.1 DROP INLET, TYPE AF</v>
      </c>
      <c r="B277" s="21">
        <v>206.1</v>
      </c>
      <c r="C277" s="22" t="s">
        <v>163</v>
      </c>
      <c r="D277" s="22" t="s">
        <v>2</v>
      </c>
    </row>
    <row r="278" spans="1:4" s="26" customFormat="1">
      <c r="A278" s="18" t="str">
        <f t="shared" si="4"/>
        <v>207 DROP INLET, TYPE B</v>
      </c>
      <c r="B278" s="21">
        <v>207</v>
      </c>
      <c r="C278" s="22" t="s">
        <v>164</v>
      </c>
      <c r="D278" s="22" t="s">
        <v>2</v>
      </c>
    </row>
    <row r="279" spans="1:4">
      <c r="A279" s="18" t="str">
        <f t="shared" si="4"/>
        <v>207.1 DROP INLET, TYPE BF</v>
      </c>
      <c r="B279" s="21">
        <v>207.1</v>
      </c>
      <c r="C279" s="22" t="s">
        <v>165</v>
      </c>
      <c r="D279" s="22" t="s">
        <v>2</v>
      </c>
    </row>
    <row r="280" spans="1:4" s="26" customFormat="1">
      <c r="A280" s="18" t="str">
        <f t="shared" si="4"/>
        <v>208 DROP INLET, TYPE C</v>
      </c>
      <c r="B280" s="21">
        <v>208</v>
      </c>
      <c r="C280" s="22" t="s">
        <v>1295</v>
      </c>
      <c r="D280" s="22" t="s">
        <v>2</v>
      </c>
    </row>
    <row r="281" spans="1:4">
      <c r="A281" s="18" t="str">
        <f t="shared" si="4"/>
        <v>208.1 DROP INLET, TYPE CF</v>
      </c>
      <c r="B281" s="19">
        <v>208.1</v>
      </c>
      <c r="C281" s="20" t="s">
        <v>2082</v>
      </c>
      <c r="D281" s="20" t="s">
        <v>2</v>
      </c>
    </row>
    <row r="282" spans="1:4" s="26" customFormat="1">
      <c r="A282" s="18" t="str">
        <f t="shared" si="4"/>
        <v>208.11 DROP INLET (DOUBLE) TYPE CF</v>
      </c>
      <c r="B282" s="19">
        <v>208.11</v>
      </c>
      <c r="C282" s="20" t="s">
        <v>2083</v>
      </c>
      <c r="D282" s="20" t="s">
        <v>2</v>
      </c>
    </row>
    <row r="283" spans="1:4">
      <c r="A283" s="18" t="str">
        <f t="shared" si="4"/>
        <v>209 DROP INLET, TYPE D</v>
      </c>
      <c r="B283" s="21">
        <v>209</v>
      </c>
      <c r="C283" s="22" t="s">
        <v>1296</v>
      </c>
      <c r="D283" s="22" t="s">
        <v>2</v>
      </c>
    </row>
    <row r="284" spans="1:4" s="26" customFormat="1">
      <c r="A284" s="18" t="str">
        <f t="shared" si="4"/>
        <v>209.1 DROP INLET, TYPE DF</v>
      </c>
      <c r="B284" s="19">
        <v>209.1</v>
      </c>
      <c r="C284" s="20" t="s">
        <v>166</v>
      </c>
      <c r="D284" s="20" t="s">
        <v>2</v>
      </c>
    </row>
    <row r="285" spans="1:4">
      <c r="A285" s="18" t="str">
        <f t="shared" si="4"/>
        <v>209.2 SPECIAL DROP INLET</v>
      </c>
      <c r="B285" s="19">
        <v>209.2</v>
      </c>
      <c r="C285" s="20" t="s">
        <v>167</v>
      </c>
      <c r="D285" s="20" t="s">
        <v>2</v>
      </c>
    </row>
    <row r="286" spans="1:4" s="26" customFormat="1">
      <c r="A286" s="18" t="str">
        <f t="shared" si="4"/>
        <v>209.3 DROP INLET CHANGE IN TYPE</v>
      </c>
      <c r="B286" s="19">
        <v>209.3</v>
      </c>
      <c r="C286" s="20" t="s">
        <v>168</v>
      </c>
      <c r="D286" s="20" t="s">
        <v>2</v>
      </c>
    </row>
    <row r="287" spans="1:4">
      <c r="A287" s="18" t="str">
        <f t="shared" si="4"/>
        <v>209.4 DROP INLET REMODELED</v>
      </c>
      <c r="B287" s="21">
        <v>209.4</v>
      </c>
      <c r="C287" s="22" t="s">
        <v>2084</v>
      </c>
      <c r="D287" s="22" t="s">
        <v>2</v>
      </c>
    </row>
    <row r="288" spans="1:4" s="26" customFormat="1">
      <c r="A288" s="18" t="str">
        <f t="shared" si="4"/>
        <v>209.5 DROP INLET REBUILT</v>
      </c>
      <c r="B288" s="21">
        <v>209.5</v>
      </c>
      <c r="C288" s="22" t="s">
        <v>2085</v>
      </c>
      <c r="D288" s="22" t="s">
        <v>17</v>
      </c>
    </row>
    <row r="289" spans="1:4">
      <c r="A289" s="18" t="str">
        <f t="shared" si="4"/>
        <v>209.5 DROP INLET REBUILT</v>
      </c>
      <c r="B289" s="21">
        <v>209.5</v>
      </c>
      <c r="C289" s="22" t="s">
        <v>2085</v>
      </c>
      <c r="D289" s="22" t="s">
        <v>2</v>
      </c>
    </row>
    <row r="290" spans="1:4" s="26" customFormat="1">
      <c r="A290" s="18" t="str">
        <f t="shared" si="4"/>
        <v>210 SANITARY SEWER MANHOLE</v>
      </c>
      <c r="B290" s="19">
        <v>210</v>
      </c>
      <c r="C290" s="20" t="s">
        <v>169</v>
      </c>
      <c r="D290" s="20" t="s">
        <v>2</v>
      </c>
    </row>
    <row r="291" spans="1:4">
      <c r="A291" s="18" t="str">
        <f t="shared" si="4"/>
        <v>210.02 SANITARY SEWER MANHOLE REMOVED</v>
      </c>
      <c r="B291" s="19">
        <v>210.02</v>
      </c>
      <c r="C291" s="20" t="s">
        <v>170</v>
      </c>
      <c r="D291" s="20" t="s">
        <v>2</v>
      </c>
    </row>
    <row r="292" spans="1:4" s="26" customFormat="1">
      <c r="A292" s="18" t="str">
        <f t="shared" si="4"/>
        <v>210.1 SANITARY SEWER MANHOLE MUNICIPAL STANDARD</v>
      </c>
      <c r="B292" s="21">
        <v>210.1</v>
      </c>
      <c r="C292" s="22" t="s">
        <v>171</v>
      </c>
      <c r="D292" s="22" t="s">
        <v>2</v>
      </c>
    </row>
    <row r="293" spans="1:4">
      <c r="A293" s="18" t="str">
        <f t="shared" si="4"/>
        <v>210.2 SANITARY SEWER MANHOLE (9 TO 14 FOOT DEPTH)</v>
      </c>
      <c r="B293" s="21">
        <v>210.2</v>
      </c>
      <c r="C293" s="22" t="s">
        <v>1297</v>
      </c>
      <c r="D293" s="22" t="s">
        <v>2</v>
      </c>
    </row>
    <row r="294" spans="1:4" s="26" customFormat="1">
      <c r="A294" s="18" t="str">
        <f t="shared" si="4"/>
        <v>210.3 SANITARY SEWER MANHOLE (14 TO 18 FOOT DEPTH)</v>
      </c>
      <c r="B294" s="19">
        <v>210.3</v>
      </c>
      <c r="C294" s="20" t="s">
        <v>1298</v>
      </c>
      <c r="D294" s="20" t="s">
        <v>2</v>
      </c>
    </row>
    <row r="295" spans="1:4">
      <c r="A295" s="18" t="str">
        <f t="shared" si="4"/>
        <v>210.4 SANITARY SEWER MANHOLE (18 FOOT AND OVER)</v>
      </c>
      <c r="B295" s="19">
        <v>210.4</v>
      </c>
      <c r="C295" s="20" t="s">
        <v>2086</v>
      </c>
      <c r="D295" s="20" t="s">
        <v>2</v>
      </c>
    </row>
    <row r="296" spans="1:4" s="26" customFormat="1">
      <c r="A296" s="18" t="str">
        <f t="shared" si="4"/>
        <v>211 SPECIAL SANITARY SEWER MANHOLE</v>
      </c>
      <c r="B296" s="19">
        <v>211</v>
      </c>
      <c r="C296" s="20" t="s">
        <v>1299</v>
      </c>
      <c r="D296" s="20" t="s">
        <v>2</v>
      </c>
    </row>
    <row r="297" spans="1:4">
      <c r="A297" s="18" t="str">
        <f t="shared" si="4"/>
        <v>220 DRAINAGE STRUCTURE ADJUSTED</v>
      </c>
      <c r="B297" s="21">
        <v>220</v>
      </c>
      <c r="C297" s="22" t="s">
        <v>172</v>
      </c>
      <c r="D297" s="22" t="s">
        <v>2</v>
      </c>
    </row>
    <row r="298" spans="1:4" s="26" customFormat="1">
      <c r="A298" s="18" t="str">
        <f t="shared" si="4"/>
        <v>220.2 DRAINAGE STRUCTURE REBUILT</v>
      </c>
      <c r="B298" s="21">
        <v>220.2</v>
      </c>
      <c r="C298" s="22" t="s">
        <v>173</v>
      </c>
      <c r="D298" s="22" t="s">
        <v>17</v>
      </c>
    </row>
    <row r="299" spans="1:4">
      <c r="A299" s="18" t="str">
        <f t="shared" si="4"/>
        <v>220.3 DRAINAGE STRUCTURE CHANGE IN TYPE</v>
      </c>
      <c r="B299" s="19">
        <v>220.3</v>
      </c>
      <c r="C299" s="20" t="s">
        <v>174</v>
      </c>
      <c r="D299" s="20" t="s">
        <v>2</v>
      </c>
    </row>
    <row r="300" spans="1:4" s="26" customFormat="1">
      <c r="A300" s="18" t="str">
        <f t="shared" si="4"/>
        <v>220.5 DRAINAGE STRUCTURE REMODELED</v>
      </c>
      <c r="B300" s="21">
        <v>220.5</v>
      </c>
      <c r="C300" s="22" t="s">
        <v>175</v>
      </c>
      <c r="D300" s="22" t="s">
        <v>2</v>
      </c>
    </row>
    <row r="301" spans="1:4">
      <c r="A301" s="18" t="str">
        <f t="shared" si="4"/>
        <v>220.51 DRAINAGE STRUCTURE REMODELED</v>
      </c>
      <c r="B301" s="19">
        <v>220.51</v>
      </c>
      <c r="C301" s="20" t="s">
        <v>175</v>
      </c>
      <c r="D301" s="20" t="s">
        <v>17</v>
      </c>
    </row>
    <row r="302" spans="1:4" s="26" customFormat="1">
      <c r="A302" s="18" t="str">
        <f t="shared" si="4"/>
        <v>220.6 SANITARY STRUCTURE REBUILT</v>
      </c>
      <c r="B302" s="19">
        <v>220.6</v>
      </c>
      <c r="C302" s="20" t="s">
        <v>176</v>
      </c>
      <c r="D302" s="20" t="s">
        <v>17</v>
      </c>
    </row>
    <row r="303" spans="1:4">
      <c r="A303" s="18" t="str">
        <f t="shared" si="4"/>
        <v>220.7 SANITARY STRUCTURE ADJUSTED</v>
      </c>
      <c r="B303" s="19">
        <v>220.7</v>
      </c>
      <c r="C303" s="20" t="s">
        <v>177</v>
      </c>
      <c r="D303" s="20" t="s">
        <v>2</v>
      </c>
    </row>
    <row r="304" spans="1:4" s="26" customFormat="1">
      <c r="A304" s="18" t="str">
        <f t="shared" si="4"/>
        <v>220.8 SANITARY STRUCTURE REMODELED</v>
      </c>
      <c r="B304" s="21">
        <v>220.8</v>
      </c>
      <c r="C304" s="22" t="s">
        <v>178</v>
      </c>
      <c r="D304" s="22" t="s">
        <v>2</v>
      </c>
    </row>
    <row r="305" spans="1:4">
      <c r="A305" s="18" t="str">
        <f t="shared" si="4"/>
        <v>220.9 SANITARY STRUCTURE ABANDONED</v>
      </c>
      <c r="B305" s="21">
        <v>220.9</v>
      </c>
      <c r="C305" s="22" t="s">
        <v>179</v>
      </c>
      <c r="D305" s="22" t="s">
        <v>2</v>
      </c>
    </row>
    <row r="306" spans="1:4" s="26" customFormat="1">
      <c r="A306" s="18" t="str">
        <f t="shared" si="4"/>
        <v>221 FRAME AND COVER</v>
      </c>
      <c r="B306" s="21">
        <v>221</v>
      </c>
      <c r="C306" s="22" t="s">
        <v>180</v>
      </c>
      <c r="D306" s="22" t="s">
        <v>2</v>
      </c>
    </row>
    <row r="307" spans="1:4">
      <c r="A307" s="18" t="str">
        <f t="shared" si="4"/>
        <v>221.1 FRAME AND COVER - SECURED</v>
      </c>
      <c r="B307" s="21">
        <v>221.1</v>
      </c>
      <c r="C307" s="22" t="s">
        <v>1300</v>
      </c>
      <c r="D307" s="22" t="s">
        <v>2</v>
      </c>
    </row>
    <row r="308" spans="1:4" s="26" customFormat="1">
      <c r="A308" s="18" t="str">
        <f t="shared" si="4"/>
        <v>222 FRAME AND GRATE - MASSDOT BAR TYPE</v>
      </c>
      <c r="B308" s="21">
        <v>222</v>
      </c>
      <c r="C308" s="22" t="s">
        <v>181</v>
      </c>
      <c r="D308" s="22" t="s">
        <v>2</v>
      </c>
    </row>
    <row r="309" spans="1:4">
      <c r="A309" s="18" t="str">
        <f t="shared" si="4"/>
        <v>222.1 FRAME AND GRATE - MASSDOT CASCADE TYPE</v>
      </c>
      <c r="B309" s="21">
        <v>222.1</v>
      </c>
      <c r="C309" s="22" t="s">
        <v>182</v>
      </c>
      <c r="D309" s="22" t="s">
        <v>2</v>
      </c>
    </row>
    <row r="310" spans="1:4" s="26" customFormat="1">
      <c r="A310" s="18" t="str">
        <f t="shared" si="4"/>
        <v>222.2 FRAME AND GRATE - MASSDOT DROP INLET</v>
      </c>
      <c r="B310" s="19">
        <v>222.2</v>
      </c>
      <c r="C310" s="20" t="s">
        <v>183</v>
      </c>
      <c r="D310" s="20" t="s">
        <v>2</v>
      </c>
    </row>
    <row r="311" spans="1:4">
      <c r="A311" s="18" t="str">
        <f t="shared" si="4"/>
        <v>222.3 FRAME AND GRATE (OR COVER) MUNICIPAL STANDARD</v>
      </c>
      <c r="B311" s="19">
        <v>222.3</v>
      </c>
      <c r="C311" s="20" t="s">
        <v>29</v>
      </c>
      <c r="D311" s="20" t="s">
        <v>2</v>
      </c>
    </row>
    <row r="312" spans="1:4" s="26" customFormat="1">
      <c r="A312" s="18" t="str">
        <f t="shared" si="4"/>
        <v>222.4 LARGE HOOK LOCK BAR GRATE – FURNISHED AND INSTALLED</v>
      </c>
      <c r="B312" s="19">
        <v>222.4</v>
      </c>
      <c r="C312" s="20" t="s">
        <v>1301</v>
      </c>
      <c r="D312" s="20" t="s">
        <v>2</v>
      </c>
    </row>
    <row r="313" spans="1:4">
      <c r="A313" s="18" t="str">
        <f t="shared" si="4"/>
        <v>223.1 FRAME AND GRATE (OR COVER) REMOVED AND STACKED</v>
      </c>
      <c r="B313" s="19">
        <v>223.1</v>
      </c>
      <c r="C313" s="20" t="s">
        <v>184</v>
      </c>
      <c r="D313" s="20" t="s">
        <v>2</v>
      </c>
    </row>
    <row r="314" spans="1:4" s="26" customFormat="1">
      <c r="A314" s="18" t="str">
        <f t="shared" si="4"/>
        <v>223.2 FRAME AND GRATE (OR COVER) REMOVED AND DISCARDED</v>
      </c>
      <c r="B314" s="19">
        <v>223.2</v>
      </c>
      <c r="C314" s="20" t="s">
        <v>185</v>
      </c>
      <c r="D314" s="20" t="s">
        <v>2</v>
      </c>
    </row>
    <row r="315" spans="1:4">
      <c r="A315" s="18" t="str">
        <f t="shared" si="4"/>
        <v>223.3 EXTENSION RING FOR MANHOLE</v>
      </c>
      <c r="B315" s="21">
        <v>223.3</v>
      </c>
      <c r="C315" s="22" t="s">
        <v>2087</v>
      </c>
      <c r="D315" s="22" t="s">
        <v>2</v>
      </c>
    </row>
    <row r="316" spans="1:4" s="26" customFormat="1">
      <c r="A316" s="18" t="str">
        <f t="shared" si="4"/>
        <v>224.08 8 INCH HOOD</v>
      </c>
      <c r="B316" s="21">
        <v>224.08</v>
      </c>
      <c r="C316" s="22" t="s">
        <v>1302</v>
      </c>
      <c r="D316" s="22" t="s">
        <v>2</v>
      </c>
    </row>
    <row r="317" spans="1:4">
      <c r="A317" s="18" t="str">
        <f t="shared" si="4"/>
        <v>224.1 10 INCH HOOD</v>
      </c>
      <c r="B317" s="21">
        <v>224.1</v>
      </c>
      <c r="C317" s="22" t="s">
        <v>186</v>
      </c>
      <c r="D317" s="22" t="s">
        <v>2</v>
      </c>
    </row>
    <row r="318" spans="1:4" s="26" customFormat="1">
      <c r="A318" s="18" t="str">
        <f t="shared" si="4"/>
        <v>224.12 12 INCH HOOD</v>
      </c>
      <c r="B318" s="21">
        <v>224.12</v>
      </c>
      <c r="C318" s="22" t="s">
        <v>187</v>
      </c>
      <c r="D318" s="22" t="s">
        <v>2</v>
      </c>
    </row>
    <row r="319" spans="1:4">
      <c r="A319" s="18" t="str">
        <f t="shared" si="4"/>
        <v>224.15 15 INCH HOOD</v>
      </c>
      <c r="B319" s="19">
        <v>224.15</v>
      </c>
      <c r="C319" s="20" t="s">
        <v>2088</v>
      </c>
      <c r="D319" s="20" t="s">
        <v>2</v>
      </c>
    </row>
    <row r="320" spans="1:4" s="26" customFormat="1">
      <c r="A320" s="18" t="str">
        <f t="shared" si="4"/>
        <v>224.18 18 INCH HOOD</v>
      </c>
      <c r="B320" s="19">
        <v>224.18</v>
      </c>
      <c r="C320" s="20" t="s">
        <v>188</v>
      </c>
      <c r="D320" s="20" t="s">
        <v>2</v>
      </c>
    </row>
    <row r="321" spans="1:4">
      <c r="A321" s="18" t="str">
        <f t="shared" si="4"/>
        <v>225.52 TRAP AND HOOD MUNICIPAL STANDARD</v>
      </c>
      <c r="B321" s="21">
        <v>225.52</v>
      </c>
      <c r="C321" s="22" t="s">
        <v>1303</v>
      </c>
      <c r="D321" s="22" t="s">
        <v>2</v>
      </c>
    </row>
    <row r="322" spans="1:4" s="26" customFormat="1">
      <c r="A322" s="18" t="str">
        <f t="shared" ref="A322:A385" si="5">B322&amp;" "&amp;C322</f>
        <v>227 TRASH RACK</v>
      </c>
      <c r="B322" s="19">
        <v>227</v>
      </c>
      <c r="C322" s="20" t="s">
        <v>2089</v>
      </c>
      <c r="D322" s="20" t="s">
        <v>2</v>
      </c>
    </row>
    <row r="323" spans="1:4">
      <c r="A323" s="18" t="str">
        <f t="shared" si="5"/>
        <v>227.1 TIDE GATE</v>
      </c>
      <c r="B323" s="19">
        <v>227.1</v>
      </c>
      <c r="C323" s="20" t="s">
        <v>1304</v>
      </c>
      <c r="D323" s="20" t="s">
        <v>2</v>
      </c>
    </row>
    <row r="324" spans="1:4" s="26" customFormat="1">
      <c r="A324" s="18" t="str">
        <f t="shared" si="5"/>
        <v>227.2 SLUICE GATE</v>
      </c>
      <c r="B324" s="19">
        <v>227.2</v>
      </c>
      <c r="C324" s="20" t="s">
        <v>2090</v>
      </c>
      <c r="D324" s="20" t="s">
        <v>22</v>
      </c>
    </row>
    <row r="325" spans="1:4">
      <c r="A325" s="18" t="str">
        <f t="shared" si="5"/>
        <v>227.3 REMOVAL OF DRAINAGE STRUCTURE SEDIMENT</v>
      </c>
      <c r="B325" s="21">
        <v>227.3</v>
      </c>
      <c r="C325" s="22" t="s">
        <v>189</v>
      </c>
      <c r="D325" s="22" t="s">
        <v>4</v>
      </c>
    </row>
    <row r="326" spans="1:4" s="26" customFormat="1">
      <c r="A326" s="18" t="str">
        <f t="shared" si="5"/>
        <v>227.31 REMOVAL OF DRAINAGE PIPE SEDIMENT</v>
      </c>
      <c r="B326" s="21">
        <v>227.31</v>
      </c>
      <c r="C326" s="22" t="s">
        <v>190</v>
      </c>
      <c r="D326" s="22" t="s">
        <v>17</v>
      </c>
    </row>
    <row r="327" spans="1:4">
      <c r="A327" s="18" t="str">
        <f t="shared" si="5"/>
        <v>227.4 MASONRY PLUG</v>
      </c>
      <c r="B327" s="19">
        <v>227.4</v>
      </c>
      <c r="C327" s="20" t="s">
        <v>191</v>
      </c>
      <c r="D327" s="20" t="s">
        <v>3</v>
      </c>
    </row>
    <row r="328" spans="1:4" s="26" customFormat="1">
      <c r="A328" s="18" t="str">
        <f t="shared" si="5"/>
        <v>230.112 12 INCH CORRUGATED METAL PIPE 16 GAGE</v>
      </c>
      <c r="B328" s="21">
        <v>230.11199999999999</v>
      </c>
      <c r="C328" s="22" t="s">
        <v>1305</v>
      </c>
      <c r="D328" s="22" t="s">
        <v>17</v>
      </c>
    </row>
    <row r="329" spans="1:4">
      <c r="A329" s="18" t="str">
        <f t="shared" si="5"/>
        <v>230.115 15 INCH CORRUGATED METAL PIPE 16 GAGE</v>
      </c>
      <c r="B329" s="21">
        <v>230.11500000000001</v>
      </c>
      <c r="C329" s="22" t="s">
        <v>1306</v>
      </c>
      <c r="D329" s="22" t="s">
        <v>17</v>
      </c>
    </row>
    <row r="330" spans="1:4" s="26" customFormat="1">
      <c r="A330" s="18" t="str">
        <f t="shared" si="5"/>
        <v>230.118 18 INCH CORRUGATED METAL PIPE 16 GAGE</v>
      </c>
      <c r="B330" s="19">
        <v>230.11799999999999</v>
      </c>
      <c r="C330" s="20" t="s">
        <v>1307</v>
      </c>
      <c r="D330" s="20" t="s">
        <v>17</v>
      </c>
    </row>
    <row r="331" spans="1:4">
      <c r="A331" s="18" t="str">
        <f t="shared" si="5"/>
        <v>230.124 24 INCH CORRUGATED METAL PIPE 16 GAGE</v>
      </c>
      <c r="B331" s="19">
        <v>230.124</v>
      </c>
      <c r="C331" s="20" t="s">
        <v>2091</v>
      </c>
      <c r="D331" s="20" t="s">
        <v>17</v>
      </c>
    </row>
    <row r="332" spans="1:4" s="26" customFormat="1">
      <c r="A332" s="18" t="str">
        <f t="shared" si="5"/>
        <v>230.212 12 INCH CORRUGATED METAL PIPE 14 GAGE</v>
      </c>
      <c r="B332" s="21">
        <v>230.21199999999999</v>
      </c>
      <c r="C332" s="22" t="s">
        <v>2092</v>
      </c>
      <c r="D332" s="22" t="s">
        <v>17</v>
      </c>
    </row>
    <row r="333" spans="1:4">
      <c r="A333" s="18" t="str">
        <f t="shared" si="5"/>
        <v>230.215 15 INCH CORRUGATED METAL PIPE 14 GAGE</v>
      </c>
      <c r="B333" s="21">
        <v>230.215</v>
      </c>
      <c r="C333" s="22" t="s">
        <v>2093</v>
      </c>
      <c r="D333" s="22" t="s">
        <v>17</v>
      </c>
    </row>
    <row r="334" spans="1:4" s="26" customFormat="1">
      <c r="A334" s="18" t="str">
        <f t="shared" si="5"/>
        <v>230.218 18 INCH CORRUGATED METAL PIPE 14 GAGE</v>
      </c>
      <c r="B334" s="19">
        <v>230.21799999999999</v>
      </c>
      <c r="C334" s="20" t="s">
        <v>2094</v>
      </c>
      <c r="D334" s="20" t="s">
        <v>17</v>
      </c>
    </row>
    <row r="335" spans="1:4">
      <c r="A335" s="18" t="str">
        <f t="shared" si="5"/>
        <v>230.224 24 INCH CORRUGATED METAL PIPE 14 GAGE</v>
      </c>
      <c r="B335" s="21">
        <v>230.22399999999999</v>
      </c>
      <c r="C335" s="22" t="s">
        <v>2095</v>
      </c>
      <c r="D335" s="22" t="s">
        <v>17</v>
      </c>
    </row>
    <row r="336" spans="1:4" s="26" customFormat="1">
      <c r="A336" s="18" t="str">
        <f t="shared" si="5"/>
        <v>230.23 30 INCH CORRUGATED METAL PIPE 14 GAGE</v>
      </c>
      <c r="B336" s="19">
        <v>230.23</v>
      </c>
      <c r="C336" s="20" t="s">
        <v>2096</v>
      </c>
      <c r="D336" s="20" t="s">
        <v>17</v>
      </c>
    </row>
    <row r="337" spans="1:4">
      <c r="A337" s="18" t="str">
        <f t="shared" si="5"/>
        <v>230.236 36 INCH CORRUGATED METAL PIPE 14 GAGE</v>
      </c>
      <c r="B337" s="21">
        <v>230.23599999999999</v>
      </c>
      <c r="C337" s="22" t="s">
        <v>2097</v>
      </c>
      <c r="D337" s="22" t="s">
        <v>17</v>
      </c>
    </row>
    <row r="338" spans="1:4" s="26" customFormat="1">
      <c r="A338" s="18" t="str">
        <f t="shared" si="5"/>
        <v>230.315 15 INCH CORRUGATED METAL PIPE 12 GAGE</v>
      </c>
      <c r="B338" s="19">
        <v>230.315</v>
      </c>
      <c r="C338" s="20" t="s">
        <v>2098</v>
      </c>
      <c r="D338" s="20" t="s">
        <v>17</v>
      </c>
    </row>
    <row r="339" spans="1:4">
      <c r="A339" s="18" t="str">
        <f t="shared" si="5"/>
        <v>230.318 18 INCH CORRUGATED METAL PIPE 12 GAGE</v>
      </c>
      <c r="B339" s="19">
        <v>230.31800000000001</v>
      </c>
      <c r="C339" s="20" t="s">
        <v>2099</v>
      </c>
      <c r="D339" s="20" t="s">
        <v>17</v>
      </c>
    </row>
    <row r="340" spans="1:4" s="26" customFormat="1">
      <c r="A340" s="18" t="str">
        <f t="shared" si="5"/>
        <v>230.324 24 INCH CORRUGATED METAL PIPE 12 GAGE</v>
      </c>
      <c r="B340" s="21">
        <v>230.32400000000001</v>
      </c>
      <c r="C340" s="22" t="s">
        <v>2100</v>
      </c>
      <c r="D340" s="22" t="s">
        <v>17</v>
      </c>
    </row>
    <row r="341" spans="1:4">
      <c r="A341" s="18" t="str">
        <f t="shared" si="5"/>
        <v>230.33 30 INCH CORRUGATED METAL PIPE 12 GAGE</v>
      </c>
      <c r="B341" s="19">
        <v>230.33</v>
      </c>
      <c r="C341" s="20" t="s">
        <v>2101</v>
      </c>
      <c r="D341" s="20" t="s">
        <v>17</v>
      </c>
    </row>
    <row r="342" spans="1:4" s="26" customFormat="1">
      <c r="A342" s="18" t="str">
        <f t="shared" si="5"/>
        <v>230.336 36 INCH CORRUGATED METAL PIPE 12 GAGE</v>
      </c>
      <c r="B342" s="21">
        <v>230.33600000000001</v>
      </c>
      <c r="C342" s="22" t="s">
        <v>2102</v>
      </c>
      <c r="D342" s="22" t="s">
        <v>17</v>
      </c>
    </row>
    <row r="343" spans="1:4">
      <c r="A343" s="18" t="str">
        <f t="shared" si="5"/>
        <v>230.342 42 INCH CORRUGATED METAL PIPE 12 GAGE</v>
      </c>
      <c r="B343" s="21">
        <v>230.34200000000001</v>
      </c>
      <c r="C343" s="22" t="s">
        <v>2103</v>
      </c>
      <c r="D343" s="22" t="s">
        <v>17</v>
      </c>
    </row>
    <row r="344" spans="1:4" s="26" customFormat="1">
      <c r="A344" s="18" t="str">
        <f t="shared" si="5"/>
        <v>230.348 48 INCH CORRUGATED METAL PIPE 12 GAGE</v>
      </c>
      <c r="B344" s="19">
        <v>230.34800000000001</v>
      </c>
      <c r="C344" s="20" t="s">
        <v>2104</v>
      </c>
      <c r="D344" s="20" t="s">
        <v>17</v>
      </c>
    </row>
    <row r="345" spans="1:4">
      <c r="A345" s="18" t="str">
        <f t="shared" si="5"/>
        <v>230.354 54 INCH CORRUGATED METAL PIPE 12 GAGE</v>
      </c>
      <c r="B345" s="19">
        <v>230.35400000000001</v>
      </c>
      <c r="C345" s="20" t="s">
        <v>2105</v>
      </c>
      <c r="D345" s="20" t="s">
        <v>17</v>
      </c>
    </row>
    <row r="346" spans="1:4" s="26" customFormat="1">
      <c r="A346" s="18" t="str">
        <f t="shared" si="5"/>
        <v>230.424 24 INCH CORRUGATED METAL PIPE 10 GAGE</v>
      </c>
      <c r="B346" s="19">
        <v>230.42400000000001</v>
      </c>
      <c r="C346" s="20" t="s">
        <v>2106</v>
      </c>
      <c r="D346" s="20" t="s">
        <v>17</v>
      </c>
    </row>
    <row r="347" spans="1:4">
      <c r="A347" s="18" t="str">
        <f t="shared" si="5"/>
        <v>230.43 30 INCH CORRUGATED METAL PIPE 10 GAGE</v>
      </c>
      <c r="B347" s="19">
        <v>230.43</v>
      </c>
      <c r="C347" s="20" t="s">
        <v>2107</v>
      </c>
      <c r="D347" s="20" t="s">
        <v>17</v>
      </c>
    </row>
    <row r="348" spans="1:4" s="26" customFormat="1">
      <c r="A348" s="18" t="str">
        <f t="shared" si="5"/>
        <v>230.436 36 INCH CORRUGATED METAL PIPE 10 GAGE</v>
      </c>
      <c r="B348" s="21">
        <v>230.43600000000001</v>
      </c>
      <c r="C348" s="22" t="s">
        <v>2108</v>
      </c>
      <c r="D348" s="22" t="s">
        <v>17</v>
      </c>
    </row>
    <row r="349" spans="1:4">
      <c r="A349" s="18" t="str">
        <f t="shared" si="5"/>
        <v>230.442 42 INCH CORRUGATED METAL PIPE 10 GAGE</v>
      </c>
      <c r="B349" s="19">
        <v>230.44200000000001</v>
      </c>
      <c r="C349" s="20" t="s">
        <v>2109</v>
      </c>
      <c r="D349" s="20" t="s">
        <v>17</v>
      </c>
    </row>
    <row r="350" spans="1:4" s="26" customFormat="1">
      <c r="A350" s="18" t="str">
        <f t="shared" si="5"/>
        <v>230.448 48 INCH CORRUGATED METAL PIPE 10 GAGE</v>
      </c>
      <c r="B350" s="21">
        <v>230.44800000000001</v>
      </c>
      <c r="C350" s="22" t="s">
        <v>2110</v>
      </c>
      <c r="D350" s="22" t="s">
        <v>17</v>
      </c>
    </row>
    <row r="351" spans="1:4">
      <c r="A351" s="18" t="str">
        <f t="shared" si="5"/>
        <v>230.454 54 INCH CORRUGATED METAL PIPE 10 GAGE</v>
      </c>
      <c r="B351" s="21">
        <v>230.45400000000001</v>
      </c>
      <c r="C351" s="22" t="s">
        <v>2111</v>
      </c>
      <c r="D351" s="22" t="s">
        <v>17</v>
      </c>
    </row>
    <row r="352" spans="1:4" s="26" customFormat="1">
      <c r="A352" s="18" t="str">
        <f t="shared" si="5"/>
        <v>230.46 60 INCH CORRUGATED METAL PIPE 10 GAGE</v>
      </c>
      <c r="B352" s="21">
        <v>230.46</v>
      </c>
      <c r="C352" s="22" t="s">
        <v>2112</v>
      </c>
      <c r="D352" s="22" t="s">
        <v>17</v>
      </c>
    </row>
    <row r="353" spans="1:4">
      <c r="A353" s="18" t="str">
        <f t="shared" si="5"/>
        <v>230.53 30 INCH CORRUGATED METAL PIPE 8 GAGE</v>
      </c>
      <c r="B353" s="21">
        <v>230.53</v>
      </c>
      <c r="C353" s="22" t="s">
        <v>2113</v>
      </c>
      <c r="D353" s="22" t="s">
        <v>17</v>
      </c>
    </row>
    <row r="354" spans="1:4" s="26" customFormat="1">
      <c r="A354" s="18" t="str">
        <f t="shared" si="5"/>
        <v>230.536 36 INCH CORRUGATED METAL PIPE 8 GAGE</v>
      </c>
      <c r="B354" s="19">
        <v>230.536</v>
      </c>
      <c r="C354" s="20" t="s">
        <v>2114</v>
      </c>
      <c r="D354" s="20" t="s">
        <v>17</v>
      </c>
    </row>
    <row r="355" spans="1:4">
      <c r="A355" s="18" t="str">
        <f t="shared" si="5"/>
        <v>230.542 42 INCH CORRUGATED METAL PIPE 8 GAGE</v>
      </c>
      <c r="B355" s="19">
        <v>230.542</v>
      </c>
      <c r="C355" s="20" t="s">
        <v>2115</v>
      </c>
      <c r="D355" s="20" t="s">
        <v>17</v>
      </c>
    </row>
    <row r="356" spans="1:4" s="26" customFormat="1">
      <c r="A356" s="18" t="str">
        <f t="shared" si="5"/>
        <v>230.548 48 INCH CORRUGATED METAL PIPE 8 GAGE</v>
      </c>
      <c r="B356" s="19">
        <v>230.548</v>
      </c>
      <c r="C356" s="20" t="s">
        <v>2116</v>
      </c>
      <c r="D356" s="20" t="s">
        <v>17</v>
      </c>
    </row>
    <row r="357" spans="1:4">
      <c r="A357" s="18" t="str">
        <f t="shared" si="5"/>
        <v>230.554 54 INCH CORRUGATED METAL PIPE 8 GAGE</v>
      </c>
      <c r="B357" s="19">
        <v>230.554</v>
      </c>
      <c r="C357" s="20" t="s">
        <v>2117</v>
      </c>
      <c r="D357" s="20" t="s">
        <v>17</v>
      </c>
    </row>
    <row r="358" spans="1:4" s="26" customFormat="1">
      <c r="A358" s="18" t="str">
        <f t="shared" si="5"/>
        <v>230.56 60 INCH CORRUGATED METAL PIPE 8 GAGE</v>
      </c>
      <c r="B358" s="21">
        <v>230.56</v>
      </c>
      <c r="C358" s="22" t="s">
        <v>2118</v>
      </c>
      <c r="D358" s="22" t="s">
        <v>17</v>
      </c>
    </row>
    <row r="359" spans="1:4">
      <c r="A359" s="18" t="str">
        <f t="shared" si="5"/>
        <v>230.572 72 INCH CORRUGATED METAL PIPE 8 GAGE</v>
      </c>
      <c r="B359" s="19">
        <v>230.572</v>
      </c>
      <c r="C359" s="20" t="s">
        <v>2119</v>
      </c>
      <c r="D359" s="20" t="s">
        <v>17</v>
      </c>
    </row>
    <row r="360" spans="1:4" s="26" customFormat="1">
      <c r="A360" s="18" t="str">
        <f t="shared" si="5"/>
        <v>230.584 84 INCH CORRUGATED METAL PIPE 8 GAGE</v>
      </c>
      <c r="B360" s="21">
        <v>230.584</v>
      </c>
      <c r="C360" s="22" t="s">
        <v>2120</v>
      </c>
      <c r="D360" s="22" t="s">
        <v>17</v>
      </c>
    </row>
    <row r="361" spans="1:4">
      <c r="A361" s="18" t="str">
        <f t="shared" si="5"/>
        <v>230.712 12 INCH CORRUGATED METAL PIPE END SECTION</v>
      </c>
      <c r="B361" s="21">
        <v>230.71199999999999</v>
      </c>
      <c r="C361" s="22" t="s">
        <v>192</v>
      </c>
      <c r="D361" s="22" t="s">
        <v>2</v>
      </c>
    </row>
    <row r="362" spans="1:4" s="26" customFormat="1">
      <c r="A362" s="18" t="str">
        <f t="shared" si="5"/>
        <v>230.715 15 INCH CORRUGATED METAL PIPE END SECTION</v>
      </c>
      <c r="B362" s="21">
        <v>230.715</v>
      </c>
      <c r="C362" s="22" t="s">
        <v>193</v>
      </c>
      <c r="D362" s="22" t="s">
        <v>2</v>
      </c>
    </row>
    <row r="363" spans="1:4">
      <c r="A363" s="18" t="str">
        <f t="shared" si="5"/>
        <v>230.718 18 INCH CORRUGATED METAL PIPE END SECTION</v>
      </c>
      <c r="B363" s="21">
        <v>230.71799999999999</v>
      </c>
      <c r="C363" s="22" t="s">
        <v>194</v>
      </c>
      <c r="D363" s="22" t="s">
        <v>2</v>
      </c>
    </row>
    <row r="364" spans="1:4" s="26" customFormat="1">
      <c r="A364" s="18" t="str">
        <f t="shared" si="5"/>
        <v>230.724 24 INCH CORRUGATED METAL PIPE END SECTION</v>
      </c>
      <c r="B364" s="19">
        <v>230.72399999999999</v>
      </c>
      <c r="C364" s="20" t="s">
        <v>2121</v>
      </c>
      <c r="D364" s="20" t="s">
        <v>2</v>
      </c>
    </row>
    <row r="365" spans="1:4">
      <c r="A365" s="18" t="str">
        <f t="shared" si="5"/>
        <v>230.73 30 INCH CORRUGATED METAL PIPE END SECTION</v>
      </c>
      <c r="B365" s="19">
        <v>230.73</v>
      </c>
      <c r="C365" s="20" t="s">
        <v>2122</v>
      </c>
      <c r="D365" s="20" t="s">
        <v>2</v>
      </c>
    </row>
    <row r="366" spans="1:4" s="26" customFormat="1">
      <c r="A366" s="18" t="str">
        <f t="shared" si="5"/>
        <v>230.736 36 INCH CORRUGATED METAL PIPE END SECTION</v>
      </c>
      <c r="B366" s="21">
        <v>230.73599999999999</v>
      </c>
      <c r="C366" s="22" t="s">
        <v>2123</v>
      </c>
      <c r="D366" s="22" t="s">
        <v>2</v>
      </c>
    </row>
    <row r="367" spans="1:4">
      <c r="A367" s="18" t="str">
        <f t="shared" si="5"/>
        <v>230.742 42 INCH CORRUGATED METAL PIPE END SECTION</v>
      </c>
      <c r="B367" s="21">
        <v>230.74199999999999</v>
      </c>
      <c r="C367" s="22" t="s">
        <v>2124</v>
      </c>
      <c r="D367" s="22" t="s">
        <v>2</v>
      </c>
    </row>
    <row r="368" spans="1:4" s="26" customFormat="1">
      <c r="A368" s="18" t="str">
        <f t="shared" si="5"/>
        <v>230.748 48 INCH CORRUGATED METAL PIPE END SECTION</v>
      </c>
      <c r="B368" s="19">
        <v>230.74799999999999</v>
      </c>
      <c r="C368" s="20" t="s">
        <v>2125</v>
      </c>
      <c r="D368" s="20" t="s">
        <v>2</v>
      </c>
    </row>
    <row r="369" spans="1:4">
      <c r="A369" s="18" t="str">
        <f t="shared" si="5"/>
        <v>230.754 54 INCH CORRUGATED METAL PIPE END SECTION</v>
      </c>
      <c r="B369" s="21">
        <v>230.75399999999999</v>
      </c>
      <c r="C369" s="22" t="s">
        <v>2126</v>
      </c>
      <c r="D369" s="22" t="s">
        <v>2</v>
      </c>
    </row>
    <row r="370" spans="1:4" s="26" customFormat="1">
      <c r="A370" s="18" t="str">
        <f t="shared" si="5"/>
        <v>230.76 60 INCH CORRUGATED METAL PIPE END SECTION</v>
      </c>
      <c r="B370" s="19">
        <v>230.76</v>
      </c>
      <c r="C370" s="20" t="s">
        <v>2127</v>
      </c>
      <c r="D370" s="20" t="s">
        <v>2</v>
      </c>
    </row>
    <row r="371" spans="1:4">
      <c r="A371" s="18" t="str">
        <f t="shared" si="5"/>
        <v>230.772 72 INCH CORRUGATED METAL PIPE END SECTION</v>
      </c>
      <c r="B371" s="19">
        <v>230.77199999999999</v>
      </c>
      <c r="C371" s="20" t="s">
        <v>2128</v>
      </c>
      <c r="D371" s="20" t="s">
        <v>2</v>
      </c>
    </row>
    <row r="372" spans="1:4" s="26" customFormat="1">
      <c r="A372" s="18" t="str">
        <f t="shared" si="5"/>
        <v>230.784 84 INCH CORRUGATED METAL PIPE END SECTION</v>
      </c>
      <c r="B372" s="19">
        <v>230.78399999999999</v>
      </c>
      <c r="C372" s="20" t="s">
        <v>2129</v>
      </c>
      <c r="D372" s="20" t="s">
        <v>2</v>
      </c>
    </row>
    <row r="373" spans="1:4">
      <c r="A373" s="18" t="str">
        <f t="shared" si="5"/>
        <v>232 18  X 11 INCH ACCM PIPE-ARCH 16 GAGE</v>
      </c>
      <c r="B373" s="21">
        <v>232</v>
      </c>
      <c r="C373" s="22" t="s">
        <v>2130</v>
      </c>
      <c r="D373" s="22" t="s">
        <v>17</v>
      </c>
    </row>
    <row r="374" spans="1:4" s="26" customFormat="1">
      <c r="A374" s="18" t="str">
        <f t="shared" si="5"/>
        <v>232.1 22 X 13 INCH ACCM PIPE-ARCH 16 GAGE</v>
      </c>
      <c r="B374" s="19">
        <v>232.1</v>
      </c>
      <c r="C374" s="20" t="s">
        <v>2131</v>
      </c>
      <c r="D374" s="20" t="s">
        <v>17</v>
      </c>
    </row>
    <row r="375" spans="1:4">
      <c r="A375" s="18" t="str">
        <f t="shared" si="5"/>
        <v>232.2 29 X 18 INCH ACCM PIPE-ARCH 14 GAGE</v>
      </c>
      <c r="B375" s="21">
        <v>232.2</v>
      </c>
      <c r="C375" s="22" t="s">
        <v>2132</v>
      </c>
      <c r="D375" s="22" t="s">
        <v>17</v>
      </c>
    </row>
    <row r="376" spans="1:4" s="26" customFormat="1">
      <c r="A376" s="18" t="str">
        <f t="shared" si="5"/>
        <v>232.3 36 X 22 INCH ACCM PIPE-ARCH 14 GAGE</v>
      </c>
      <c r="B376" s="21">
        <v>232.3</v>
      </c>
      <c r="C376" s="22" t="s">
        <v>2133</v>
      </c>
      <c r="D376" s="22" t="s">
        <v>17</v>
      </c>
    </row>
    <row r="377" spans="1:4">
      <c r="A377" s="18" t="str">
        <f t="shared" si="5"/>
        <v>232.4 43 X 27 INCH ACCM PIPE-ARCH 12 GAGE</v>
      </c>
      <c r="B377" s="21">
        <v>232.4</v>
      </c>
      <c r="C377" s="22" t="s">
        <v>1308</v>
      </c>
      <c r="D377" s="22" t="s">
        <v>17</v>
      </c>
    </row>
    <row r="378" spans="1:4" s="26" customFormat="1">
      <c r="A378" s="18" t="str">
        <f t="shared" si="5"/>
        <v>232.5 50 X 31 INCH ACCM PIPE-ARCH 12 GAGE</v>
      </c>
      <c r="B378" s="21">
        <v>232.5</v>
      </c>
      <c r="C378" s="22" t="s">
        <v>1309</v>
      </c>
      <c r="D378" s="22" t="s">
        <v>17</v>
      </c>
    </row>
    <row r="379" spans="1:4">
      <c r="A379" s="18" t="str">
        <f t="shared" si="5"/>
        <v>232.6 58 X 36 INCH ACCM PIPE-ARCH 12 GAGE</v>
      </c>
      <c r="B379" s="19">
        <v>232.6</v>
      </c>
      <c r="C379" s="20" t="s">
        <v>2134</v>
      </c>
      <c r="D379" s="20" t="s">
        <v>17</v>
      </c>
    </row>
    <row r="380" spans="1:4" s="26" customFormat="1">
      <c r="A380" s="18" t="str">
        <f t="shared" si="5"/>
        <v>232.7 65 X 40 INCH ACCM PIPE-ARCH 10 GAGE</v>
      </c>
      <c r="B380" s="19">
        <v>232.7</v>
      </c>
      <c r="C380" s="20" t="s">
        <v>2135</v>
      </c>
      <c r="D380" s="20" t="s">
        <v>17</v>
      </c>
    </row>
    <row r="381" spans="1:4">
      <c r="A381" s="18" t="str">
        <f t="shared" si="5"/>
        <v>232.8 72 X 44 INCH ACCM PIPE-ARCH 10 GAGE</v>
      </c>
      <c r="B381" s="19">
        <v>232.8</v>
      </c>
      <c r="C381" s="20" t="s">
        <v>2136</v>
      </c>
      <c r="D381" s="20" t="s">
        <v>17</v>
      </c>
    </row>
    <row r="382" spans="1:4" s="26" customFormat="1">
      <c r="A382" s="18" t="str">
        <f t="shared" si="5"/>
        <v>232.9 72 X 44 INCH ACCM PIPE-ARCH 8 GAGE</v>
      </c>
      <c r="B382" s="19">
        <v>232.9</v>
      </c>
      <c r="C382" s="20" t="s">
        <v>2137</v>
      </c>
      <c r="D382" s="20" t="s">
        <v>17</v>
      </c>
    </row>
    <row r="383" spans="1:4">
      <c r="A383" s="18" t="str">
        <f t="shared" si="5"/>
        <v>234.12 12 INCH DRAINAGE PIPE - OPTION</v>
      </c>
      <c r="B383" s="19">
        <v>234.12</v>
      </c>
      <c r="C383" s="20" t="s">
        <v>195</v>
      </c>
      <c r="D383" s="20" t="s">
        <v>17</v>
      </c>
    </row>
    <row r="384" spans="1:4" s="26" customFormat="1">
      <c r="A384" s="18" t="str">
        <f t="shared" si="5"/>
        <v>234.15 15 INCH DRAINAGE PIPE - OPTION</v>
      </c>
      <c r="B384" s="19">
        <v>234.15</v>
      </c>
      <c r="C384" s="20" t="s">
        <v>196</v>
      </c>
      <c r="D384" s="20" t="s">
        <v>17</v>
      </c>
    </row>
    <row r="385" spans="1:4">
      <c r="A385" s="18" t="str">
        <f t="shared" si="5"/>
        <v>234.18 18 INCH DRAINAGE PIPE - OPTION</v>
      </c>
      <c r="B385" s="21">
        <v>234.18</v>
      </c>
      <c r="C385" s="22" t="s">
        <v>197</v>
      </c>
      <c r="D385" s="22" t="s">
        <v>17</v>
      </c>
    </row>
    <row r="386" spans="1:4" s="26" customFormat="1">
      <c r="A386" s="18" t="str">
        <f t="shared" ref="A386:A449" si="6">B386&amp;" "&amp;C386</f>
        <v>234.24 24 INCH DRAINAGE PIPE - OPTION</v>
      </c>
      <c r="B386" s="21">
        <v>234.24</v>
      </c>
      <c r="C386" s="22" t="s">
        <v>198</v>
      </c>
      <c r="D386" s="22" t="s">
        <v>17</v>
      </c>
    </row>
    <row r="387" spans="1:4">
      <c r="A387" s="18" t="str">
        <f t="shared" si="6"/>
        <v>234.3 30 INCH DRAINAGE PIPE - OPTION</v>
      </c>
      <c r="B387" s="21">
        <v>234.3</v>
      </c>
      <c r="C387" s="22" t="s">
        <v>199</v>
      </c>
      <c r="D387" s="22" t="s">
        <v>17</v>
      </c>
    </row>
    <row r="388" spans="1:4" s="26" customFormat="1">
      <c r="A388" s="18" t="str">
        <f t="shared" si="6"/>
        <v>234.36 36 INCH DRAINAGE PIPE - OPTION</v>
      </c>
      <c r="B388" s="21">
        <v>234.36</v>
      </c>
      <c r="C388" s="22" t="s">
        <v>200</v>
      </c>
      <c r="D388" s="22" t="s">
        <v>17</v>
      </c>
    </row>
    <row r="389" spans="1:4">
      <c r="A389" s="18" t="str">
        <f t="shared" si="6"/>
        <v>235.12 12 INCH DRAINAGE PIPE FLARED END - OPTION</v>
      </c>
      <c r="B389" s="21">
        <v>235.12</v>
      </c>
      <c r="C389" s="22" t="s">
        <v>201</v>
      </c>
      <c r="D389" s="22" t="s">
        <v>2</v>
      </c>
    </row>
    <row r="390" spans="1:4" s="26" customFormat="1">
      <c r="A390" s="18" t="str">
        <f t="shared" si="6"/>
        <v>235.15 15 INCH DRAINAGE PIPE FLARED END - OPTION</v>
      </c>
      <c r="B390" s="21">
        <v>235.15</v>
      </c>
      <c r="C390" s="22" t="s">
        <v>202</v>
      </c>
      <c r="D390" s="22" t="s">
        <v>2</v>
      </c>
    </row>
    <row r="391" spans="1:4">
      <c r="A391" s="18" t="str">
        <f t="shared" si="6"/>
        <v>235.18 18 INCH DRAINAGE PIPE FLARED END - OPTION</v>
      </c>
      <c r="B391" s="19">
        <v>235.18</v>
      </c>
      <c r="C391" s="20" t="s">
        <v>203</v>
      </c>
      <c r="D391" s="20" t="s">
        <v>2</v>
      </c>
    </row>
    <row r="392" spans="1:4" s="26" customFormat="1">
      <c r="A392" s="18" t="str">
        <f t="shared" si="6"/>
        <v>235.24 24 INCH DRAINAGE PIPE FLARED END - OPTION</v>
      </c>
      <c r="B392" s="19">
        <v>235.24</v>
      </c>
      <c r="C392" s="20" t="s">
        <v>204</v>
      </c>
      <c r="D392" s="20" t="s">
        <v>2</v>
      </c>
    </row>
    <row r="393" spans="1:4">
      <c r="A393" s="18" t="str">
        <f t="shared" si="6"/>
        <v>235.3 30 INCH DRAINAGE PIPE FLARED END - OPTION</v>
      </c>
      <c r="B393" s="19">
        <v>235.3</v>
      </c>
      <c r="C393" s="20" t="s">
        <v>205</v>
      </c>
      <c r="D393" s="20" t="s">
        <v>2</v>
      </c>
    </row>
    <row r="394" spans="1:4" s="26" customFormat="1">
      <c r="A394" s="18" t="str">
        <f t="shared" si="6"/>
        <v>235.36 36 INCH DRAINAGE PIPE FLARED END - OPTION</v>
      </c>
      <c r="B394" s="19">
        <v>235.36</v>
      </c>
      <c r="C394" s="20" t="s">
        <v>206</v>
      </c>
      <c r="D394" s="20" t="s">
        <v>2</v>
      </c>
    </row>
    <row r="395" spans="1:4">
      <c r="A395" s="18" t="str">
        <f t="shared" si="6"/>
        <v>238.06 6 INCH DUCTILE IRON PIPE</v>
      </c>
      <c r="B395" s="19">
        <v>238.06</v>
      </c>
      <c r="C395" s="20" t="s">
        <v>2138</v>
      </c>
      <c r="D395" s="20" t="s">
        <v>17</v>
      </c>
    </row>
    <row r="396" spans="1:4" s="26" customFormat="1">
      <c r="A396" s="18" t="str">
        <f t="shared" si="6"/>
        <v>238.1 10 INCH DUCTILE IRON PIPE</v>
      </c>
      <c r="B396" s="21">
        <v>238.1</v>
      </c>
      <c r="C396" s="22" t="s">
        <v>207</v>
      </c>
      <c r="D396" s="22" t="s">
        <v>17</v>
      </c>
    </row>
    <row r="397" spans="1:4">
      <c r="A397" s="18" t="str">
        <f t="shared" si="6"/>
        <v>238.12 12 INCH DUCTILE IRON PIPE</v>
      </c>
      <c r="B397" s="21">
        <v>238.12</v>
      </c>
      <c r="C397" s="22" t="s">
        <v>208</v>
      </c>
      <c r="D397" s="22" t="s">
        <v>17</v>
      </c>
    </row>
    <row r="398" spans="1:4" s="26" customFormat="1">
      <c r="A398" s="18" t="str">
        <f t="shared" si="6"/>
        <v>238.16 16 INCH DUCTILE IRON PIPE</v>
      </c>
      <c r="B398" s="21">
        <v>238.16</v>
      </c>
      <c r="C398" s="22" t="s">
        <v>209</v>
      </c>
      <c r="D398" s="22" t="s">
        <v>17</v>
      </c>
    </row>
    <row r="399" spans="1:4">
      <c r="A399" s="18" t="str">
        <f t="shared" si="6"/>
        <v>238.18 18 INCH DUCTILE IRON PIPE</v>
      </c>
      <c r="B399" s="21">
        <v>238.18</v>
      </c>
      <c r="C399" s="22" t="s">
        <v>2139</v>
      </c>
      <c r="D399" s="22" t="s">
        <v>17</v>
      </c>
    </row>
    <row r="400" spans="1:4" s="26" customFormat="1">
      <c r="A400" s="18" t="str">
        <f t="shared" si="6"/>
        <v>238.24 24 INCH DUCTILE IRON PIPE</v>
      </c>
      <c r="B400" s="21">
        <v>238.24</v>
      </c>
      <c r="C400" s="22" t="s">
        <v>210</v>
      </c>
      <c r="D400" s="22" t="s">
        <v>17</v>
      </c>
    </row>
    <row r="401" spans="1:4">
      <c r="A401" s="18" t="str">
        <f t="shared" si="6"/>
        <v>239.6 60 INCH STRUCTURAL PLATE PIPE</v>
      </c>
      <c r="B401" s="21">
        <v>239.6</v>
      </c>
      <c r="C401" s="22" t="s">
        <v>2140</v>
      </c>
      <c r="D401" s="22" t="s">
        <v>17</v>
      </c>
    </row>
    <row r="402" spans="1:4" s="26" customFormat="1">
      <c r="A402" s="18" t="str">
        <f t="shared" si="6"/>
        <v>239.66 66 INCH STRUCTURAL PLATE PIPE</v>
      </c>
      <c r="B402" s="19">
        <v>239.66</v>
      </c>
      <c r="C402" s="20" t="s">
        <v>2141</v>
      </c>
      <c r="D402" s="20" t="s">
        <v>17</v>
      </c>
    </row>
    <row r="403" spans="1:4">
      <c r="A403" s="18" t="str">
        <f t="shared" si="6"/>
        <v>239.72 72 INCH STRUCTURAL PLATE PIPE</v>
      </c>
      <c r="B403" s="19">
        <v>239.72</v>
      </c>
      <c r="C403" s="20" t="s">
        <v>2142</v>
      </c>
      <c r="D403" s="20" t="s">
        <v>17</v>
      </c>
    </row>
    <row r="404" spans="1:4" s="26" customFormat="1">
      <c r="A404" s="18" t="str">
        <f t="shared" si="6"/>
        <v>239.84 84 INCH STRUCTURAL PLATE PIPE</v>
      </c>
      <c r="B404" s="19">
        <v>239.84</v>
      </c>
      <c r="C404" s="20" t="s">
        <v>2143</v>
      </c>
      <c r="D404" s="20" t="s">
        <v>17</v>
      </c>
    </row>
    <row r="405" spans="1:4">
      <c r="A405" s="18" t="str">
        <f t="shared" si="6"/>
        <v>239.96 96 INCH STRUCTURAL PLATE PIPE</v>
      </c>
      <c r="B405" s="19">
        <v>239.96</v>
      </c>
      <c r="C405" s="20" t="s">
        <v>2144</v>
      </c>
      <c r="D405" s="20" t="s">
        <v>17</v>
      </c>
    </row>
    <row r="406" spans="1:4" s="26" customFormat="1">
      <c r="A406" s="18" t="str">
        <f t="shared" si="6"/>
        <v>239.97 108 INCH STRUCTURAL PLATE PIPE</v>
      </c>
      <c r="B406" s="19">
        <v>239.97</v>
      </c>
      <c r="C406" s="20" t="s">
        <v>2145</v>
      </c>
      <c r="D406" s="20" t="s">
        <v>17</v>
      </c>
    </row>
    <row r="407" spans="1:4">
      <c r="A407" s="18" t="str">
        <f t="shared" si="6"/>
        <v>239.98 120 INCH STRUCTURAL PLATE PIPE</v>
      </c>
      <c r="B407" s="19">
        <v>239.98</v>
      </c>
      <c r="C407" s="20" t="s">
        <v>2146</v>
      </c>
      <c r="D407" s="20" t="s">
        <v>17</v>
      </c>
    </row>
    <row r="408" spans="1:4" s="26" customFormat="1">
      <c r="A408" s="18" t="str">
        <f t="shared" si="6"/>
        <v>240.616 6 FT. 1 IN. X 4 FT. 7 IN. STRUCTURAL PLATE PIPE-ARCH 12 GAGE</v>
      </c>
      <c r="B408" s="19">
        <v>240.61600000000001</v>
      </c>
      <c r="C408" s="20" t="s">
        <v>2147</v>
      </c>
      <c r="D408" s="20" t="s">
        <v>17</v>
      </c>
    </row>
    <row r="409" spans="1:4">
      <c r="A409" s="18" t="str">
        <f t="shared" si="6"/>
        <v>240.646 6 FT. 4 IN. X 4 FT. 9 IN. STRUCTURAL PLATE PIPE-ARCH 12 GAGE</v>
      </c>
      <c r="B409" s="21">
        <v>240.64599999999999</v>
      </c>
      <c r="C409" s="22" t="s">
        <v>2148</v>
      </c>
      <c r="D409" s="22" t="s">
        <v>17</v>
      </c>
    </row>
    <row r="410" spans="1:4" s="26" customFormat="1">
      <c r="A410" s="18" t="str">
        <f t="shared" si="6"/>
        <v>240.696 6 FT. 9 IN. X 4 FT. 11 IN. STRUCTURAL PLATE PIPE-ARCH 12 GAG</v>
      </c>
      <c r="B410" s="21">
        <v>240.696</v>
      </c>
      <c r="C410" s="22" t="s">
        <v>2149</v>
      </c>
      <c r="D410" s="22" t="s">
        <v>17</v>
      </c>
    </row>
    <row r="411" spans="1:4">
      <c r="A411" s="18" t="str">
        <f t="shared" si="6"/>
        <v>240.706 7 FT. 0 IN. X 5 FT. 1 IN. STRUCTURAL PLATE PIPE-ARCH 12 GAGE</v>
      </c>
      <c r="B411" s="21">
        <v>240.70599999999999</v>
      </c>
      <c r="C411" s="22" t="s">
        <v>2150</v>
      </c>
      <c r="D411" s="22" t="s">
        <v>17</v>
      </c>
    </row>
    <row r="412" spans="1:4" s="26" customFormat="1">
      <c r="A412" s="18" t="str">
        <f t="shared" si="6"/>
        <v>240.735 7 FT. 3 IN. X 5 FT. 3 IN. STRUCTURAL PLATE PIPE-ARCH 10 GAGE</v>
      </c>
      <c r="B412" s="21">
        <v>240.73500000000001</v>
      </c>
      <c r="C412" s="22" t="s">
        <v>2151</v>
      </c>
      <c r="D412" s="22" t="s">
        <v>17</v>
      </c>
    </row>
    <row r="413" spans="1:4">
      <c r="A413" s="18" t="str">
        <f t="shared" si="6"/>
        <v>240.736 7 FT. 3 IN. X 5 FT. 3 IN. STRUCTURAL PLATE PIPE-ARCH 12 GAGE</v>
      </c>
      <c r="B413" s="21">
        <v>240.73599999999999</v>
      </c>
      <c r="C413" s="22" t="s">
        <v>2152</v>
      </c>
      <c r="D413" s="22" t="s">
        <v>17</v>
      </c>
    </row>
    <row r="414" spans="1:4" s="26" customFormat="1">
      <c r="A414" s="18" t="str">
        <f t="shared" si="6"/>
        <v>240.99 9 FT. 9 IN. X 6 FT. 7 IN. STRUCTURAL PLATE PIPE-ARCH 3 GAGE</v>
      </c>
      <c r="B414" s="21">
        <v>240.99</v>
      </c>
      <c r="C414" s="22" t="s">
        <v>2153</v>
      </c>
      <c r="D414" s="22" t="s">
        <v>17</v>
      </c>
    </row>
    <row r="415" spans="1:4">
      <c r="A415" s="18" t="str">
        <f t="shared" si="6"/>
        <v>240.992 11 FT. 10 IN. X 7 FT. 7 IN. STRUCTURAL PLATE PIPE-ARCH 7 GAG</v>
      </c>
      <c r="B415" s="19">
        <v>240.99199999999999</v>
      </c>
      <c r="C415" s="20" t="s">
        <v>2154</v>
      </c>
      <c r="D415" s="20" t="s">
        <v>17</v>
      </c>
    </row>
    <row r="416" spans="1:4" s="26" customFormat="1">
      <c r="A416" s="18" t="str">
        <f t="shared" si="6"/>
        <v>240.994 20 FT. 7 IN. X 13 FT. 2 IN. STRUCTURAL PLATE PIPE-ARCH 3 GAG</v>
      </c>
      <c r="B416" s="19">
        <v>240.994</v>
      </c>
      <c r="C416" s="20" t="s">
        <v>2155</v>
      </c>
      <c r="D416" s="20" t="s">
        <v>17</v>
      </c>
    </row>
    <row r="417" spans="1:4">
      <c r="A417" s="18" t="str">
        <f t="shared" si="6"/>
        <v>241.12 12 INCH REINFORCED CONCRETE PIPE</v>
      </c>
      <c r="B417" s="19">
        <v>241.12</v>
      </c>
      <c r="C417" s="20" t="s">
        <v>211</v>
      </c>
      <c r="D417" s="20" t="s">
        <v>17</v>
      </c>
    </row>
    <row r="418" spans="1:4" s="26" customFormat="1">
      <c r="A418" s="18" t="str">
        <f t="shared" si="6"/>
        <v>241.15 15 INCH REINFORCED CONCRETE PIPE</v>
      </c>
      <c r="B418" s="19">
        <v>241.15</v>
      </c>
      <c r="C418" s="20" t="s">
        <v>212</v>
      </c>
      <c r="D418" s="20" t="s">
        <v>17</v>
      </c>
    </row>
    <row r="419" spans="1:4">
      <c r="A419" s="18" t="str">
        <f t="shared" si="6"/>
        <v>241.18 18 INCH REINFORCED CONCRETE PIPE</v>
      </c>
      <c r="B419" s="19">
        <v>241.18</v>
      </c>
      <c r="C419" s="20" t="s">
        <v>213</v>
      </c>
      <c r="D419" s="20" t="s">
        <v>17</v>
      </c>
    </row>
    <row r="420" spans="1:4" s="26" customFormat="1">
      <c r="A420" s="18" t="str">
        <f t="shared" si="6"/>
        <v>241.24 24 INCH REINFORCED CONCRETE PIPE</v>
      </c>
      <c r="B420" s="21">
        <v>241.24</v>
      </c>
      <c r="C420" s="22" t="s">
        <v>214</v>
      </c>
      <c r="D420" s="22" t="s">
        <v>17</v>
      </c>
    </row>
    <row r="421" spans="1:4">
      <c r="A421" s="18" t="str">
        <f t="shared" si="6"/>
        <v>241.3 30 INCH REINFORCED CONCRETE PIPE</v>
      </c>
      <c r="B421" s="21">
        <v>241.3</v>
      </c>
      <c r="C421" s="22" t="s">
        <v>215</v>
      </c>
      <c r="D421" s="22" t="s">
        <v>17</v>
      </c>
    </row>
    <row r="422" spans="1:4" s="26" customFormat="1">
      <c r="A422" s="18" t="str">
        <f t="shared" si="6"/>
        <v>241.36 36 INCH REINFORCED CONCRETE PIPE</v>
      </c>
      <c r="B422" s="21">
        <v>241.36</v>
      </c>
      <c r="C422" s="22" t="s">
        <v>216</v>
      </c>
      <c r="D422" s="22" t="s">
        <v>17</v>
      </c>
    </row>
    <row r="423" spans="1:4">
      <c r="A423" s="18" t="str">
        <f t="shared" si="6"/>
        <v>241.42 42 INCH REINFORCED CONCRETE PIPE</v>
      </c>
      <c r="B423" s="19">
        <v>241.42</v>
      </c>
      <c r="C423" s="20" t="s">
        <v>217</v>
      </c>
      <c r="D423" s="20" t="s">
        <v>17</v>
      </c>
    </row>
    <row r="424" spans="1:4" s="26" customFormat="1">
      <c r="A424" s="18" t="str">
        <f t="shared" si="6"/>
        <v>241.48 48 INCH REINFORCED CONCRETE PIPE</v>
      </c>
      <c r="B424" s="21">
        <v>241.48</v>
      </c>
      <c r="C424" s="22" t="s">
        <v>218</v>
      </c>
      <c r="D424" s="22" t="s">
        <v>17</v>
      </c>
    </row>
    <row r="425" spans="1:4">
      <c r="A425" s="18" t="str">
        <f t="shared" si="6"/>
        <v>241.54 54 INCH REINFORCED CONCRETE PIPE</v>
      </c>
      <c r="B425" s="21">
        <v>241.54</v>
      </c>
      <c r="C425" s="22" t="s">
        <v>2156</v>
      </c>
      <c r="D425" s="22" t="s">
        <v>17</v>
      </c>
    </row>
    <row r="426" spans="1:4" s="26" customFormat="1">
      <c r="A426" s="18" t="str">
        <f t="shared" si="6"/>
        <v>241.6 60 INCH REINFORCED CONCRETE PIPE</v>
      </c>
      <c r="B426" s="21">
        <v>241.6</v>
      </c>
      <c r="C426" s="22" t="s">
        <v>2157</v>
      </c>
      <c r="D426" s="22" t="s">
        <v>17</v>
      </c>
    </row>
    <row r="427" spans="1:4">
      <c r="A427" s="18" t="str">
        <f t="shared" si="6"/>
        <v>241.66 66 INCH REINFORCED CONCRETE PIPE</v>
      </c>
      <c r="B427" s="19">
        <v>241.66</v>
      </c>
      <c r="C427" s="20" t="s">
        <v>2158</v>
      </c>
      <c r="D427" s="20" t="s">
        <v>17</v>
      </c>
    </row>
    <row r="428" spans="1:4" s="26" customFormat="1">
      <c r="A428" s="18" t="str">
        <f t="shared" si="6"/>
        <v>241.72 72 INCH REINFORCED CONCRETE PIPE</v>
      </c>
      <c r="B428" s="19">
        <v>241.72</v>
      </c>
      <c r="C428" s="20" t="s">
        <v>1912</v>
      </c>
      <c r="D428" s="20" t="s">
        <v>17</v>
      </c>
    </row>
    <row r="429" spans="1:4">
      <c r="A429" s="18" t="str">
        <f t="shared" si="6"/>
        <v>242.12 12 INCH REINFORCED CONCRETE PIPE FLARED END</v>
      </c>
      <c r="B429" s="19">
        <v>242.12</v>
      </c>
      <c r="C429" s="20" t="s">
        <v>219</v>
      </c>
      <c r="D429" s="20" t="s">
        <v>2</v>
      </c>
    </row>
    <row r="430" spans="1:4" s="26" customFormat="1">
      <c r="A430" s="18" t="str">
        <f t="shared" si="6"/>
        <v>242.15 15 INCH REINFORCED CONCRETE PIPE FLARED END</v>
      </c>
      <c r="B430" s="21">
        <v>242.15</v>
      </c>
      <c r="C430" s="22" t="s">
        <v>220</v>
      </c>
      <c r="D430" s="22" t="s">
        <v>2</v>
      </c>
    </row>
    <row r="431" spans="1:4">
      <c r="A431" s="18" t="str">
        <f t="shared" si="6"/>
        <v>242.18 18 INCH REINFORCED CONCRETE PIPE FLARED END</v>
      </c>
      <c r="B431" s="19">
        <v>242.18</v>
      </c>
      <c r="C431" s="20" t="s">
        <v>221</v>
      </c>
      <c r="D431" s="20" t="s">
        <v>2</v>
      </c>
    </row>
    <row r="432" spans="1:4" s="26" customFormat="1">
      <c r="A432" s="18" t="str">
        <f t="shared" si="6"/>
        <v>242.24 24 INCH REINFORCED CONCRETE PIPE FLARED END</v>
      </c>
      <c r="B432" s="19">
        <v>242.24</v>
      </c>
      <c r="C432" s="20" t="s">
        <v>222</v>
      </c>
      <c r="D432" s="20" t="s">
        <v>2</v>
      </c>
    </row>
    <row r="433" spans="1:4">
      <c r="A433" s="18" t="str">
        <f t="shared" si="6"/>
        <v>242.3 30 INCH REINFORCED CONCRETE PIPE FLARED END</v>
      </c>
      <c r="B433" s="19">
        <v>242.3</v>
      </c>
      <c r="C433" s="20" t="s">
        <v>223</v>
      </c>
      <c r="D433" s="20" t="s">
        <v>2</v>
      </c>
    </row>
    <row r="434" spans="1:4" s="26" customFormat="1">
      <c r="A434" s="18" t="str">
        <f t="shared" si="6"/>
        <v>242.36 36 INCH REINFORCED CONCRETE PIPE FLARED END</v>
      </c>
      <c r="B434" s="21">
        <v>242.36</v>
      </c>
      <c r="C434" s="22" t="s">
        <v>224</v>
      </c>
      <c r="D434" s="22" t="s">
        <v>2</v>
      </c>
    </row>
    <row r="435" spans="1:4">
      <c r="A435" s="18" t="str">
        <f t="shared" si="6"/>
        <v>242.42 42 INCH REINFORCED CONCRETE PIPE FLARED END</v>
      </c>
      <c r="B435" s="21">
        <v>242.42</v>
      </c>
      <c r="C435" s="22" t="s">
        <v>1310</v>
      </c>
      <c r="D435" s="22" t="s">
        <v>2</v>
      </c>
    </row>
    <row r="436" spans="1:4" s="26" customFormat="1">
      <c r="A436" s="18" t="str">
        <f t="shared" si="6"/>
        <v>242.48 48 INCH REINFORCED CONCRETE PIPE FLARED END</v>
      </c>
      <c r="B436" s="21">
        <v>242.48</v>
      </c>
      <c r="C436" s="22" t="s">
        <v>225</v>
      </c>
      <c r="D436" s="22" t="s">
        <v>2</v>
      </c>
    </row>
    <row r="437" spans="1:4">
      <c r="A437" s="18" t="str">
        <f t="shared" si="6"/>
        <v>242.54 54 INCH REINFORCED CONCRETE PIPE FLARED END</v>
      </c>
      <c r="B437" s="21">
        <v>242.54</v>
      </c>
      <c r="C437" s="22" t="s">
        <v>2159</v>
      </c>
      <c r="D437" s="22" t="s">
        <v>2</v>
      </c>
    </row>
    <row r="438" spans="1:4" s="26" customFormat="1">
      <c r="A438" s="18" t="str">
        <f t="shared" si="6"/>
        <v>242.6 60 INCH REINFORCED CONCRETE PIPE FLARED END</v>
      </c>
      <c r="B438" s="21">
        <v>242.6</v>
      </c>
      <c r="C438" s="22" t="s">
        <v>2160</v>
      </c>
      <c r="D438" s="22" t="s">
        <v>2</v>
      </c>
    </row>
    <row r="439" spans="1:4">
      <c r="A439" s="18" t="str">
        <f t="shared" si="6"/>
        <v>242.66 66 INCH REINFORCED CONCRETE PIPE FLARED END</v>
      </c>
      <c r="B439" s="21">
        <v>242.66</v>
      </c>
      <c r="C439" s="22" t="s">
        <v>2161</v>
      </c>
      <c r="D439" s="22" t="s">
        <v>2</v>
      </c>
    </row>
    <row r="440" spans="1:4" s="26" customFormat="1">
      <c r="A440" s="18" t="str">
        <f t="shared" si="6"/>
        <v>242.72 72 INCH REINFORCED CONCRETE PIPE FLARED END</v>
      </c>
      <c r="B440" s="19">
        <v>242.72</v>
      </c>
      <c r="C440" s="20" t="s">
        <v>2162</v>
      </c>
      <c r="D440" s="20" t="s">
        <v>2</v>
      </c>
    </row>
    <row r="441" spans="1:4">
      <c r="A441" s="18" t="str">
        <f t="shared" si="6"/>
        <v>243.12 12 INCH REINFORCED CONCRETE PIPE CLASS IV</v>
      </c>
      <c r="B441" s="19">
        <v>243.12</v>
      </c>
      <c r="C441" s="20" t="s">
        <v>226</v>
      </c>
      <c r="D441" s="20" t="s">
        <v>17</v>
      </c>
    </row>
    <row r="442" spans="1:4" s="26" customFormat="1">
      <c r="A442" s="18" t="str">
        <f t="shared" si="6"/>
        <v>243.15 15 INCH REINFORCED CONCRETE PIPE CLASS IV</v>
      </c>
      <c r="B442" s="19">
        <v>243.15</v>
      </c>
      <c r="C442" s="20" t="s">
        <v>1311</v>
      </c>
      <c r="D442" s="20" t="s">
        <v>17</v>
      </c>
    </row>
    <row r="443" spans="1:4">
      <c r="A443" s="18" t="str">
        <f t="shared" si="6"/>
        <v>243.18 18 INCH REINFORCED CONCRETE PIPE CLASS IV</v>
      </c>
      <c r="B443" s="19">
        <v>243.18</v>
      </c>
      <c r="C443" s="20" t="s">
        <v>227</v>
      </c>
      <c r="D443" s="20" t="s">
        <v>17</v>
      </c>
    </row>
    <row r="444" spans="1:4" s="26" customFormat="1">
      <c r="A444" s="18" t="str">
        <f t="shared" si="6"/>
        <v>243.24 24 INCH REINFORCED CONCRETE PIPE CLASS IV</v>
      </c>
      <c r="B444" s="19">
        <v>243.24</v>
      </c>
      <c r="C444" s="20" t="s">
        <v>228</v>
      </c>
      <c r="D444" s="20" t="s">
        <v>17</v>
      </c>
    </row>
    <row r="445" spans="1:4">
      <c r="A445" s="18" t="str">
        <f t="shared" si="6"/>
        <v>243.3 30 INCH REINFORCED CONCRETE PIPE CLASS IV</v>
      </c>
      <c r="B445" s="19">
        <v>243.3</v>
      </c>
      <c r="C445" s="20" t="s">
        <v>2163</v>
      </c>
      <c r="D445" s="20" t="s">
        <v>17</v>
      </c>
    </row>
    <row r="446" spans="1:4" s="26" customFormat="1">
      <c r="A446" s="18" t="str">
        <f t="shared" si="6"/>
        <v>243.36 36 INCH REINFORCED CONCRETE PIPE CLASS IV</v>
      </c>
      <c r="B446" s="19">
        <v>243.36</v>
      </c>
      <c r="C446" s="20" t="s">
        <v>2164</v>
      </c>
      <c r="D446" s="20" t="s">
        <v>17</v>
      </c>
    </row>
    <row r="447" spans="1:4">
      <c r="A447" s="18" t="str">
        <f t="shared" si="6"/>
        <v>243.42 42 INCH REINFORCED CONCRETE PIPE CLASS IV</v>
      </c>
      <c r="B447" s="21">
        <v>243.42</v>
      </c>
      <c r="C447" s="22" t="s">
        <v>2165</v>
      </c>
      <c r="D447" s="22" t="s">
        <v>17</v>
      </c>
    </row>
    <row r="448" spans="1:4" s="26" customFormat="1">
      <c r="A448" s="18" t="str">
        <f t="shared" si="6"/>
        <v>243.48 48 INCH REINFORCED CONCRETE PIPE CLASS IV</v>
      </c>
      <c r="B448" s="21">
        <v>243.48</v>
      </c>
      <c r="C448" s="22" t="s">
        <v>2166</v>
      </c>
      <c r="D448" s="22" t="s">
        <v>17</v>
      </c>
    </row>
    <row r="449" spans="1:4">
      <c r="A449" s="18" t="str">
        <f t="shared" si="6"/>
        <v>243.54 54 INCH REINFORCED CONCRETE PIPE CLASS IV</v>
      </c>
      <c r="B449" s="21">
        <v>243.54</v>
      </c>
      <c r="C449" s="22" t="s">
        <v>2167</v>
      </c>
      <c r="D449" s="22" t="s">
        <v>17</v>
      </c>
    </row>
    <row r="450" spans="1:4" s="26" customFormat="1">
      <c r="A450" s="18" t="str">
        <f t="shared" ref="A450:A513" si="7">B450&amp;" "&amp;C450</f>
        <v>243.6 60 INCH REINFORCED CONCRETE PIPE CLASS IV</v>
      </c>
      <c r="B450" s="21">
        <v>243.6</v>
      </c>
      <c r="C450" s="22" t="s">
        <v>2168</v>
      </c>
      <c r="D450" s="22" t="s">
        <v>17</v>
      </c>
    </row>
    <row r="451" spans="1:4">
      <c r="A451" s="18" t="str">
        <f t="shared" si="7"/>
        <v>243.66 66 INCH REINFORCED CONCRETE PIPE CLASS IV</v>
      </c>
      <c r="B451" s="21">
        <v>243.66</v>
      </c>
      <c r="C451" s="22" t="s">
        <v>2169</v>
      </c>
      <c r="D451" s="22" t="s">
        <v>17</v>
      </c>
    </row>
    <row r="452" spans="1:4" s="26" customFormat="1">
      <c r="A452" s="18" t="str">
        <f t="shared" si="7"/>
        <v>244.12 12 INCH REINFORCED CONCRETE PIPE CLASS V</v>
      </c>
      <c r="B452" s="21">
        <v>244.12</v>
      </c>
      <c r="C452" s="22" t="s">
        <v>229</v>
      </c>
      <c r="D452" s="22" t="s">
        <v>17</v>
      </c>
    </row>
    <row r="453" spans="1:4">
      <c r="A453" s="18" t="str">
        <f t="shared" si="7"/>
        <v>244.15 15 INCH REINFORCED CONCRETE PIPE CLASS V</v>
      </c>
      <c r="B453" s="19">
        <v>244.15</v>
      </c>
      <c r="C453" s="20" t="s">
        <v>230</v>
      </c>
      <c r="D453" s="20" t="s">
        <v>17</v>
      </c>
    </row>
    <row r="454" spans="1:4" s="26" customFormat="1">
      <c r="A454" s="18" t="str">
        <f t="shared" si="7"/>
        <v>244.18 18 INCH REINFORCED CONCRETE PIPE CLASS V</v>
      </c>
      <c r="B454" s="21">
        <v>244.18</v>
      </c>
      <c r="C454" s="22" t="s">
        <v>231</v>
      </c>
      <c r="D454" s="22" t="s">
        <v>17</v>
      </c>
    </row>
    <row r="455" spans="1:4">
      <c r="A455" s="18" t="str">
        <f t="shared" si="7"/>
        <v>244.24 24 INCH REINFORCED CONCRETE PIPE CLASS V</v>
      </c>
      <c r="B455" s="19">
        <v>244.24</v>
      </c>
      <c r="C455" s="20" t="s">
        <v>232</v>
      </c>
      <c r="D455" s="20" t="s">
        <v>17</v>
      </c>
    </row>
    <row r="456" spans="1:4" s="26" customFormat="1">
      <c r="A456" s="18" t="str">
        <f t="shared" si="7"/>
        <v>244.3 30 INCH REINFORCED CONCRETE PIPE CLASS V</v>
      </c>
      <c r="B456" s="19">
        <v>244.3</v>
      </c>
      <c r="C456" s="20" t="s">
        <v>233</v>
      </c>
      <c r="D456" s="20" t="s">
        <v>17</v>
      </c>
    </row>
    <row r="457" spans="1:4">
      <c r="A457" s="18" t="str">
        <f t="shared" si="7"/>
        <v>244.36 36 INCH REINFORCED CONCRETE PIPE CLASS V</v>
      </c>
      <c r="B457" s="19">
        <v>244.36</v>
      </c>
      <c r="C457" s="20" t="s">
        <v>234</v>
      </c>
      <c r="D457" s="20" t="s">
        <v>17</v>
      </c>
    </row>
    <row r="458" spans="1:4" s="26" customFormat="1">
      <c r="A458" s="18" t="str">
        <f t="shared" si="7"/>
        <v>244.42 42 INCH REINFORCED CONCRETE PIPE CLASS V</v>
      </c>
      <c r="B458" s="19">
        <v>244.42</v>
      </c>
      <c r="C458" s="20" t="s">
        <v>2170</v>
      </c>
      <c r="D458" s="20" t="s">
        <v>17</v>
      </c>
    </row>
    <row r="459" spans="1:4">
      <c r="A459" s="18" t="str">
        <f t="shared" si="7"/>
        <v>244.48 48 INCH REINFORCED CONCRETE PIPE CLASS V</v>
      </c>
      <c r="B459" s="21">
        <v>244.48</v>
      </c>
      <c r="C459" s="22" t="s">
        <v>2171</v>
      </c>
      <c r="D459" s="22" t="s">
        <v>17</v>
      </c>
    </row>
    <row r="460" spans="1:4" s="26" customFormat="1">
      <c r="A460" s="18" t="str">
        <f t="shared" si="7"/>
        <v>244.54 54 INCH REINFORCED CONCRETE PIPE CLASS V</v>
      </c>
      <c r="B460" s="21">
        <v>244.54</v>
      </c>
      <c r="C460" s="22" t="s">
        <v>2172</v>
      </c>
      <c r="D460" s="22" t="s">
        <v>17</v>
      </c>
    </row>
    <row r="461" spans="1:4">
      <c r="A461" s="18" t="str">
        <f t="shared" si="7"/>
        <v>244.6 60 INCH REINFORCED CONCRETE PIPE CLASS V</v>
      </c>
      <c r="B461" s="21">
        <v>244.6</v>
      </c>
      <c r="C461" s="22" t="s">
        <v>2173</v>
      </c>
      <c r="D461" s="22" t="s">
        <v>17</v>
      </c>
    </row>
    <row r="462" spans="1:4" s="26" customFormat="1">
      <c r="A462" s="18" t="str">
        <f t="shared" si="7"/>
        <v>244.66 66 INCH REINFORCED CONCRETE PIPE CLASS V</v>
      </c>
      <c r="B462" s="19">
        <v>244.66</v>
      </c>
      <c r="C462" s="20" t="s">
        <v>2174</v>
      </c>
      <c r="D462" s="20" t="s">
        <v>17</v>
      </c>
    </row>
    <row r="463" spans="1:4">
      <c r="A463" s="18" t="str">
        <f t="shared" si="7"/>
        <v>244.72 72 INCH REINFORCED CONCRETE PIPE CLASS V</v>
      </c>
      <c r="B463" s="19">
        <v>244.72</v>
      </c>
      <c r="C463" s="20" t="s">
        <v>2175</v>
      </c>
      <c r="D463" s="20" t="s">
        <v>17</v>
      </c>
    </row>
    <row r="464" spans="1:4" s="26" customFormat="1">
      <c r="A464" s="18" t="str">
        <f t="shared" si="7"/>
        <v>244.84 84 INCH REINFORCED CONCRETE PIPE CLASS V</v>
      </c>
      <c r="B464" s="19">
        <v>244.84</v>
      </c>
      <c r="C464" s="20" t="s">
        <v>2176</v>
      </c>
      <c r="D464" s="20" t="s">
        <v>17</v>
      </c>
    </row>
    <row r="465" spans="1:4">
      <c r="A465" s="18" t="str">
        <f t="shared" si="7"/>
        <v>246.12 12 INCH REINFORCED CONCRETE SANITARY SEWER PIPE</v>
      </c>
      <c r="B465" s="21">
        <v>246.12</v>
      </c>
      <c r="C465" s="22" t="s">
        <v>2177</v>
      </c>
      <c r="D465" s="22" t="s">
        <v>17</v>
      </c>
    </row>
    <row r="466" spans="1:4" s="26" customFormat="1">
      <c r="A466" s="18" t="str">
        <f t="shared" si="7"/>
        <v>246.15 15 INCH REINFORCED CONCRETE SANITARY SEWER PIPE</v>
      </c>
      <c r="B466" s="21">
        <v>246.15</v>
      </c>
      <c r="C466" s="22" t="s">
        <v>2178</v>
      </c>
      <c r="D466" s="22" t="s">
        <v>17</v>
      </c>
    </row>
    <row r="467" spans="1:4">
      <c r="A467" s="18" t="str">
        <f t="shared" si="7"/>
        <v>246.18 18 INCH REINFORCED CONCRETE SANITARY SEWER PIPE</v>
      </c>
      <c r="B467" s="21">
        <v>246.18</v>
      </c>
      <c r="C467" s="22" t="s">
        <v>2179</v>
      </c>
      <c r="D467" s="22" t="s">
        <v>17</v>
      </c>
    </row>
    <row r="468" spans="1:4" s="26" customFormat="1">
      <c r="A468" s="18" t="str">
        <f t="shared" si="7"/>
        <v>246.21 21 INCH REINFORCED CONCRETE SANITARY SEWER PIPE</v>
      </c>
      <c r="B468" s="19">
        <v>246.21</v>
      </c>
      <c r="C468" s="20" t="s">
        <v>2180</v>
      </c>
      <c r="D468" s="20" t="s">
        <v>17</v>
      </c>
    </row>
    <row r="469" spans="1:4">
      <c r="A469" s="18" t="str">
        <f t="shared" si="7"/>
        <v>246.24 24 INCH REINFORCED CONCRETE SANITARY SEWER PIPE</v>
      </c>
      <c r="B469" s="19">
        <v>246.24</v>
      </c>
      <c r="C469" s="20" t="s">
        <v>2181</v>
      </c>
      <c r="D469" s="20" t="s">
        <v>17</v>
      </c>
    </row>
    <row r="470" spans="1:4" s="26" customFormat="1">
      <c r="A470" s="18" t="str">
        <f t="shared" si="7"/>
        <v>246.3 30 INCH REINFORCED CONCRETE SANITARY SEWER PIPE</v>
      </c>
      <c r="B470" s="19">
        <v>246.3</v>
      </c>
      <c r="C470" s="20" t="s">
        <v>2182</v>
      </c>
      <c r="D470" s="20" t="s">
        <v>17</v>
      </c>
    </row>
    <row r="471" spans="1:4">
      <c r="A471" s="18" t="str">
        <f t="shared" si="7"/>
        <v>246.36 36 INCH REINFORCED CONCRETE SANITARY SEWER PIPE</v>
      </c>
      <c r="B471" s="19">
        <v>246.36</v>
      </c>
      <c r="C471" s="20" t="s">
        <v>2183</v>
      </c>
      <c r="D471" s="20" t="s">
        <v>17</v>
      </c>
    </row>
    <row r="472" spans="1:4" s="26" customFormat="1">
      <c r="A472" s="18" t="str">
        <f t="shared" si="7"/>
        <v>246.42 42 INCH REINFORCED CONCRETE SANITARY SEWER PIPE</v>
      </c>
      <c r="B472" s="19">
        <v>246.42</v>
      </c>
      <c r="C472" s="20" t="s">
        <v>2184</v>
      </c>
      <c r="D472" s="20" t="s">
        <v>17</v>
      </c>
    </row>
    <row r="473" spans="1:4">
      <c r="A473" s="18" t="str">
        <f t="shared" si="7"/>
        <v>246.48 48 INCH REINFORCED CONCRETE SANITARY SEWER PIPE</v>
      </c>
      <c r="B473" s="21">
        <v>246.48</v>
      </c>
      <c r="C473" s="22" t="s">
        <v>2185</v>
      </c>
      <c r="D473" s="22" t="s">
        <v>17</v>
      </c>
    </row>
    <row r="474" spans="1:4" s="26" customFormat="1">
      <c r="A474" s="18" t="str">
        <f t="shared" si="7"/>
        <v>250.06 6 INCH POLYVINYL CHLORIDE SANITARY SEWER PIPE</v>
      </c>
      <c r="B474" s="21">
        <v>250.06</v>
      </c>
      <c r="C474" s="22" t="s">
        <v>235</v>
      </c>
      <c r="D474" s="22" t="s">
        <v>17</v>
      </c>
    </row>
    <row r="475" spans="1:4">
      <c r="A475" s="18" t="str">
        <f t="shared" si="7"/>
        <v>250.08 8 INCH POLYVINYL CHLORIDE SANITARY SEWER PIPE</v>
      </c>
      <c r="B475" s="21">
        <v>250.08</v>
      </c>
      <c r="C475" s="22" t="s">
        <v>236</v>
      </c>
      <c r="D475" s="22" t="s">
        <v>17</v>
      </c>
    </row>
    <row r="476" spans="1:4" s="26" customFormat="1">
      <c r="A476" s="18" t="str">
        <f t="shared" si="7"/>
        <v>250.1 10 INCH POLYVINYLCHLORIDE SANITARY SEWER PIPE</v>
      </c>
      <c r="B476" s="19">
        <v>250.1</v>
      </c>
      <c r="C476" s="20" t="s">
        <v>1312</v>
      </c>
      <c r="D476" s="20" t="s">
        <v>17</v>
      </c>
    </row>
    <row r="477" spans="1:4">
      <c r="A477" s="18" t="str">
        <f t="shared" si="7"/>
        <v>250.12 12 INCH POLYVINYLCHLORIDE SANITARY SEWER PIPE</v>
      </c>
      <c r="B477" s="19">
        <v>250.12</v>
      </c>
      <c r="C477" s="20" t="s">
        <v>2186</v>
      </c>
      <c r="D477" s="20" t="s">
        <v>17</v>
      </c>
    </row>
    <row r="478" spans="1:4" s="26" customFormat="1">
      <c r="A478" s="18" t="str">
        <f t="shared" si="7"/>
        <v>252.112 12 INCH CORRUGATED PLASTIC PIPE FLARED END</v>
      </c>
      <c r="B478" s="19">
        <v>252.11199999999999</v>
      </c>
      <c r="C478" s="20" t="s">
        <v>237</v>
      </c>
      <c r="D478" s="20" t="s">
        <v>2</v>
      </c>
    </row>
    <row r="479" spans="1:4">
      <c r="A479" s="18" t="str">
        <f t="shared" si="7"/>
        <v>252.115 15 INCH CORRUGATED PLASTIC PIPE FLARED END</v>
      </c>
      <c r="B479" s="21">
        <v>252.11500000000001</v>
      </c>
      <c r="C479" s="22" t="s">
        <v>2187</v>
      </c>
      <c r="D479" s="22" t="s">
        <v>2</v>
      </c>
    </row>
    <row r="480" spans="1:4" s="26" customFormat="1">
      <c r="A480" s="18" t="str">
        <f t="shared" si="7"/>
        <v>252.118 18 INCH CORRUGATED PLASTIC PIPE FLARED END</v>
      </c>
      <c r="B480" s="21">
        <v>252.11799999999999</v>
      </c>
      <c r="C480" s="22" t="s">
        <v>2188</v>
      </c>
      <c r="D480" s="22" t="s">
        <v>2</v>
      </c>
    </row>
    <row r="481" spans="1:4">
      <c r="A481" s="18" t="str">
        <f t="shared" si="7"/>
        <v>252.12 12 INCH CORRUGATED PLASTIC PIPE</v>
      </c>
      <c r="B481" s="21">
        <v>252.12</v>
      </c>
      <c r="C481" s="22" t="s">
        <v>1313</v>
      </c>
      <c r="D481" s="22" t="s">
        <v>17</v>
      </c>
    </row>
    <row r="482" spans="1:4" s="26" customFormat="1">
      <c r="A482" s="18" t="str">
        <f t="shared" si="7"/>
        <v>252.124 24 INCH CORRUGATED PLASTIC PIPE FLARED END</v>
      </c>
      <c r="B482" s="21">
        <v>252.124</v>
      </c>
      <c r="C482" s="22" t="s">
        <v>2189</v>
      </c>
      <c r="D482" s="22" t="s">
        <v>2</v>
      </c>
    </row>
    <row r="483" spans="1:4">
      <c r="A483" s="18" t="str">
        <f t="shared" si="7"/>
        <v>252.13 30 INCH CORRUGATED PLASTIC PIPE FLARED END</v>
      </c>
      <c r="B483" s="21">
        <v>252.13</v>
      </c>
      <c r="C483" s="22" t="s">
        <v>2190</v>
      </c>
      <c r="D483" s="22" t="s">
        <v>2</v>
      </c>
    </row>
    <row r="484" spans="1:4" s="26" customFormat="1">
      <c r="A484" s="18" t="str">
        <f t="shared" si="7"/>
        <v>252.136 36 INCH CORRUGATED PLASTIC PIPE FLARED END</v>
      </c>
      <c r="B484" s="21">
        <v>252.136</v>
      </c>
      <c r="C484" s="22" t="s">
        <v>2191</v>
      </c>
      <c r="D484" s="22" t="s">
        <v>2</v>
      </c>
    </row>
    <row r="485" spans="1:4">
      <c r="A485" s="18" t="str">
        <f t="shared" si="7"/>
        <v>252.15 15 INCH CORRUGATED PLASTIC PIPE</v>
      </c>
      <c r="B485" s="21">
        <v>252.15</v>
      </c>
      <c r="C485" s="22" t="s">
        <v>1314</v>
      </c>
      <c r="D485" s="22" t="s">
        <v>17</v>
      </c>
    </row>
    <row r="486" spans="1:4" s="26" customFormat="1">
      <c r="A486" s="18" t="str">
        <f t="shared" si="7"/>
        <v>252.18 18 INCH CORRUGATED PLASTIC PIPE</v>
      </c>
      <c r="B486" s="19">
        <v>252.18</v>
      </c>
      <c r="C486" s="20" t="s">
        <v>1315</v>
      </c>
      <c r="D486" s="20" t="s">
        <v>17</v>
      </c>
    </row>
    <row r="487" spans="1:4">
      <c r="A487" s="18" t="str">
        <f t="shared" si="7"/>
        <v>252.24 24 INCH CORRUGATED PLASTIC PIPE</v>
      </c>
      <c r="B487" s="19">
        <v>252.24</v>
      </c>
      <c r="C487" s="20" t="s">
        <v>1316</v>
      </c>
      <c r="D487" s="20" t="s">
        <v>17</v>
      </c>
    </row>
    <row r="488" spans="1:4" s="26" customFormat="1">
      <c r="A488" s="18" t="str">
        <f t="shared" si="7"/>
        <v>252.3 30 INCH CORRUGATED PLASTIC PIPE</v>
      </c>
      <c r="B488" s="19">
        <v>252.3</v>
      </c>
      <c r="C488" s="20" t="s">
        <v>1317</v>
      </c>
      <c r="D488" s="20" t="s">
        <v>17</v>
      </c>
    </row>
    <row r="489" spans="1:4">
      <c r="A489" s="18" t="str">
        <f t="shared" si="7"/>
        <v>252.36 36 INCH CORRUGATED PLASTIC PIPE</v>
      </c>
      <c r="B489" s="19">
        <v>252.36</v>
      </c>
      <c r="C489" s="20" t="s">
        <v>2192</v>
      </c>
      <c r="D489" s="20" t="s">
        <v>17</v>
      </c>
    </row>
    <row r="490" spans="1:4" s="26" customFormat="1">
      <c r="A490" s="18" t="str">
        <f t="shared" si="7"/>
        <v>252.48 48 INCH CORRUGATED PLASTIC PIPE</v>
      </c>
      <c r="B490" s="19">
        <v>252.48</v>
      </c>
      <c r="C490" s="20" t="s">
        <v>2193</v>
      </c>
      <c r="D490" s="20" t="s">
        <v>17</v>
      </c>
    </row>
    <row r="491" spans="1:4">
      <c r="A491" s="18" t="str">
        <f t="shared" si="7"/>
        <v>252.6 60 INCH CORRUGATED PLASTIC PIPE</v>
      </c>
      <c r="B491" s="19">
        <v>252.6</v>
      </c>
      <c r="C491" s="20" t="s">
        <v>2194</v>
      </c>
      <c r="D491" s="20" t="s">
        <v>17</v>
      </c>
    </row>
    <row r="492" spans="1:4" s="26" customFormat="1">
      <c r="A492" s="18" t="str">
        <f t="shared" si="7"/>
        <v>253.3 JACKING 30 INCH PIPE</v>
      </c>
      <c r="B492" s="19">
        <v>253.3</v>
      </c>
      <c r="C492" s="20" t="s">
        <v>2195</v>
      </c>
      <c r="D492" s="20" t="s">
        <v>17</v>
      </c>
    </row>
    <row r="493" spans="1:4">
      <c r="A493" s="18" t="str">
        <f t="shared" si="7"/>
        <v>253.36 JACKING 36 INCH PIPE</v>
      </c>
      <c r="B493" s="21">
        <v>253.36</v>
      </c>
      <c r="C493" s="22" t="s">
        <v>2196</v>
      </c>
      <c r="D493" s="22" t="s">
        <v>17</v>
      </c>
    </row>
    <row r="494" spans="1:4" s="26" customFormat="1">
      <c r="A494" s="18" t="str">
        <f t="shared" si="7"/>
        <v>253.42 JACKING 42 INCH PIPE</v>
      </c>
      <c r="B494" s="21">
        <v>253.42</v>
      </c>
      <c r="C494" s="22" t="s">
        <v>2197</v>
      </c>
      <c r="D494" s="22" t="s">
        <v>17</v>
      </c>
    </row>
    <row r="495" spans="1:4">
      <c r="A495" s="18" t="str">
        <f t="shared" si="7"/>
        <v>253.48 JACKING 48 INCH PIPE</v>
      </c>
      <c r="B495" s="21">
        <v>253.48</v>
      </c>
      <c r="C495" s="22" t="s">
        <v>2198</v>
      </c>
      <c r="D495" s="22" t="s">
        <v>17</v>
      </c>
    </row>
    <row r="496" spans="1:4" s="26" customFormat="1">
      <c r="A496" s="18" t="str">
        <f t="shared" si="7"/>
        <v>253.6 JACKING 60 INCH PIPE</v>
      </c>
      <c r="B496" s="21">
        <v>253.6</v>
      </c>
      <c r="C496" s="22" t="s">
        <v>2199</v>
      </c>
      <c r="D496" s="22" t="s">
        <v>17</v>
      </c>
    </row>
    <row r="497" spans="1:4">
      <c r="A497" s="18" t="str">
        <f t="shared" si="7"/>
        <v>253.66 JACKING 66 INCH PIPE</v>
      </c>
      <c r="B497" s="21">
        <v>253.66</v>
      </c>
      <c r="C497" s="22" t="s">
        <v>2200</v>
      </c>
      <c r="D497" s="22" t="s">
        <v>17</v>
      </c>
    </row>
    <row r="498" spans="1:4" s="26" customFormat="1">
      <c r="A498" s="18" t="str">
        <f t="shared" si="7"/>
        <v>253.72 JACKING 72 INCH PIPE</v>
      </c>
      <c r="B498" s="21">
        <v>253.72</v>
      </c>
      <c r="C498" s="22" t="s">
        <v>2201</v>
      </c>
      <c r="D498" s="22" t="s">
        <v>17</v>
      </c>
    </row>
    <row r="499" spans="1:4">
      <c r="A499" s="18" t="str">
        <f t="shared" si="7"/>
        <v>253.84 JACKING 84 INCH PIPE</v>
      </c>
      <c r="B499" s="21">
        <v>253.84</v>
      </c>
      <c r="C499" s="22" t="s">
        <v>2202</v>
      </c>
      <c r="D499" s="22" t="s">
        <v>17</v>
      </c>
    </row>
    <row r="500" spans="1:4" s="26" customFormat="1">
      <c r="A500" s="18" t="str">
        <f t="shared" si="7"/>
        <v>254.08 8 INCH SEWER PIPE INSULATION</v>
      </c>
      <c r="B500" s="19">
        <v>254.08</v>
      </c>
      <c r="C500" s="20" t="s">
        <v>2203</v>
      </c>
      <c r="D500" s="20" t="s">
        <v>17</v>
      </c>
    </row>
    <row r="501" spans="1:4">
      <c r="A501" s="18" t="str">
        <f t="shared" si="7"/>
        <v>254.1 10 INCH SEWER PIPE INSULATION</v>
      </c>
      <c r="B501" s="19">
        <v>254.1</v>
      </c>
      <c r="C501" s="20" t="s">
        <v>2204</v>
      </c>
      <c r="D501" s="20" t="s">
        <v>17</v>
      </c>
    </row>
    <row r="502" spans="1:4" s="26" customFormat="1">
      <c r="A502" s="18" t="str">
        <f t="shared" si="7"/>
        <v>254.12 12 INCH SEWER PIPE INSULATION</v>
      </c>
      <c r="B502" s="19">
        <v>254.12</v>
      </c>
      <c r="C502" s="20" t="s">
        <v>2205</v>
      </c>
      <c r="D502" s="20" t="s">
        <v>17</v>
      </c>
    </row>
    <row r="503" spans="1:4">
      <c r="A503" s="18" t="str">
        <f t="shared" si="7"/>
        <v>254.14 14 INCH SEWER PIPE INSULATION</v>
      </c>
      <c r="B503" s="19">
        <v>254.14</v>
      </c>
      <c r="C503" s="20" t="s">
        <v>2206</v>
      </c>
      <c r="D503" s="20" t="s">
        <v>17</v>
      </c>
    </row>
    <row r="504" spans="1:4" s="26" customFormat="1">
      <c r="A504" s="18" t="str">
        <f t="shared" si="7"/>
        <v>254.16 16 INCH SEWER PIPE INSULATION</v>
      </c>
      <c r="B504" s="19">
        <v>254.16</v>
      </c>
      <c r="C504" s="20" t="s">
        <v>2207</v>
      </c>
      <c r="D504" s="20" t="s">
        <v>17</v>
      </c>
    </row>
    <row r="505" spans="1:4">
      <c r="A505" s="18" t="str">
        <f t="shared" si="7"/>
        <v>254.18 18 INCH SEWER PIPE INSULATION</v>
      </c>
      <c r="B505" s="19">
        <v>254.18</v>
      </c>
      <c r="C505" s="20" t="s">
        <v>2208</v>
      </c>
      <c r="D505" s="20" t="s">
        <v>17</v>
      </c>
    </row>
    <row r="506" spans="1:4" s="26" customFormat="1">
      <c r="A506" s="18" t="str">
        <f t="shared" si="7"/>
        <v>254.24 24 INCH SEWER PIPE INSULATION</v>
      </c>
      <c r="B506" s="19">
        <v>254.24</v>
      </c>
      <c r="C506" s="20" t="s">
        <v>2209</v>
      </c>
      <c r="D506" s="20" t="s">
        <v>17</v>
      </c>
    </row>
    <row r="507" spans="1:4">
      <c r="A507" s="18" t="str">
        <f t="shared" si="7"/>
        <v>255.06 6 INCH POLYMERIC PRECOATED CORRUGATED METAL PIPE</v>
      </c>
      <c r="B507" s="21">
        <v>255.06</v>
      </c>
      <c r="C507" s="22" t="s">
        <v>2210</v>
      </c>
      <c r="D507" s="22" t="s">
        <v>17</v>
      </c>
    </row>
    <row r="508" spans="1:4" s="26" customFormat="1">
      <c r="A508" s="18" t="str">
        <f t="shared" si="7"/>
        <v>255.08 8 INCH POLYMERIC PRECOATED CORRUGATED METAL PIPE</v>
      </c>
      <c r="B508" s="21">
        <v>255.08</v>
      </c>
      <c r="C508" s="22" t="s">
        <v>2211</v>
      </c>
      <c r="D508" s="22" t="s">
        <v>17</v>
      </c>
    </row>
    <row r="509" spans="1:4">
      <c r="A509" s="18" t="str">
        <f t="shared" si="7"/>
        <v>255.1 10 INCH POLYMERIC PRECOATED CORRUGATED METAL PIPE</v>
      </c>
      <c r="B509" s="21">
        <v>255.1</v>
      </c>
      <c r="C509" s="22" t="s">
        <v>2212</v>
      </c>
      <c r="D509" s="22" t="s">
        <v>17</v>
      </c>
    </row>
    <row r="510" spans="1:4" s="26" customFormat="1">
      <c r="A510" s="18" t="str">
        <f t="shared" si="7"/>
        <v>255.12 12 INCH POLYMERIC PRECOATED CORRUGATED METAL PIPE</v>
      </c>
      <c r="B510" s="21">
        <v>255.12</v>
      </c>
      <c r="C510" s="22" t="s">
        <v>2213</v>
      </c>
      <c r="D510" s="22" t="s">
        <v>17</v>
      </c>
    </row>
    <row r="511" spans="1:4">
      <c r="A511" s="18" t="str">
        <f t="shared" si="7"/>
        <v>255.15 15 INCH POLYMERIC PRECOATED CORRUGATED METAL PIPE</v>
      </c>
      <c r="B511" s="21">
        <v>255.15</v>
      </c>
      <c r="C511" s="22" t="s">
        <v>2214</v>
      </c>
      <c r="D511" s="22" t="s">
        <v>17</v>
      </c>
    </row>
    <row r="512" spans="1:4" s="26" customFormat="1">
      <c r="A512" s="18" t="str">
        <f t="shared" si="7"/>
        <v>255.18 18 INCH POLYMERIC PRECOATED CORRUGATED METAL PIPE</v>
      </c>
      <c r="B512" s="21">
        <v>255.18</v>
      </c>
      <c r="C512" s="22" t="s">
        <v>2215</v>
      </c>
      <c r="D512" s="22" t="s">
        <v>17</v>
      </c>
    </row>
    <row r="513" spans="1:4">
      <c r="A513" s="18" t="str">
        <f t="shared" si="7"/>
        <v>255.21 21 INCH POLYMERIC PRECOATED CORRUGATED METAL PIPE</v>
      </c>
      <c r="B513" s="21">
        <v>255.21</v>
      </c>
      <c r="C513" s="22" t="s">
        <v>2216</v>
      </c>
      <c r="D513" s="22" t="s">
        <v>17</v>
      </c>
    </row>
    <row r="514" spans="1:4" s="26" customFormat="1">
      <c r="A514" s="18" t="str">
        <f t="shared" ref="A514:A577" si="8">B514&amp;" "&amp;C514</f>
        <v>255.24 24 INCH POLYMERIC PRECOATED CORRUGATED METAL PIPE</v>
      </c>
      <c r="B514" s="19">
        <v>255.24</v>
      </c>
      <c r="C514" s="20" t="s">
        <v>2217</v>
      </c>
      <c r="D514" s="20" t="s">
        <v>17</v>
      </c>
    </row>
    <row r="515" spans="1:4">
      <c r="A515" s="18" t="str">
        <f t="shared" si="8"/>
        <v>255.3 30 INCH POLYMERIC PRECOATED CORRUGATED METAL PIPE</v>
      </c>
      <c r="B515" s="19">
        <v>255.3</v>
      </c>
      <c r="C515" s="20" t="s">
        <v>2218</v>
      </c>
      <c r="D515" s="20" t="s">
        <v>17</v>
      </c>
    </row>
    <row r="516" spans="1:4" s="26" customFormat="1">
      <c r="A516" s="18" t="str">
        <f t="shared" si="8"/>
        <v>255.36 36 INCH POLYMERIC PRECOATED CORRUGATED METAL PIPE</v>
      </c>
      <c r="B516" s="19">
        <v>255.36</v>
      </c>
      <c r="C516" s="20" t="s">
        <v>2219</v>
      </c>
      <c r="D516" s="20" t="s">
        <v>17</v>
      </c>
    </row>
    <row r="517" spans="1:4">
      <c r="A517" s="18" t="str">
        <f t="shared" si="8"/>
        <v>255.42 42 INCH POLYMERIC PRECOATED CORRUGATED METAL PIPE</v>
      </c>
      <c r="B517" s="19">
        <v>255.42</v>
      </c>
      <c r="C517" s="20" t="s">
        <v>2220</v>
      </c>
      <c r="D517" s="20" t="s">
        <v>17</v>
      </c>
    </row>
    <row r="518" spans="1:4" s="26" customFormat="1">
      <c r="A518" s="18" t="str">
        <f t="shared" si="8"/>
        <v>255.48 48 INCH POLYMERIC PRECOATED CORRUGATED METAL PIPE</v>
      </c>
      <c r="B518" s="19">
        <v>255.48</v>
      </c>
      <c r="C518" s="20" t="s">
        <v>2221</v>
      </c>
      <c r="D518" s="20" t="s">
        <v>17</v>
      </c>
    </row>
    <row r="519" spans="1:4">
      <c r="A519" s="18" t="str">
        <f t="shared" si="8"/>
        <v>255.54 54 INCH POLYMERIC PRECOATED CORRUGATED METAL PIPE</v>
      </c>
      <c r="B519" s="21">
        <v>255.54</v>
      </c>
      <c r="C519" s="22" t="s">
        <v>2222</v>
      </c>
      <c r="D519" s="22" t="s">
        <v>17</v>
      </c>
    </row>
    <row r="520" spans="1:4" s="26" customFormat="1">
      <c r="A520" s="18" t="str">
        <f t="shared" si="8"/>
        <v>255.6 60 INCH POLYMERIC PRECOATED CORRUGATED METAL PIPE</v>
      </c>
      <c r="B520" s="21">
        <v>255.6</v>
      </c>
      <c r="C520" s="22" t="s">
        <v>2223</v>
      </c>
      <c r="D520" s="22" t="s">
        <v>17</v>
      </c>
    </row>
    <row r="521" spans="1:4">
      <c r="A521" s="18" t="str">
        <f t="shared" si="8"/>
        <v>255.72 72 INCH POLYMERIC PRECOATED CORRUGATED METAL PIPE</v>
      </c>
      <c r="B521" s="19">
        <v>255.72</v>
      </c>
      <c r="C521" s="20" t="s">
        <v>2224</v>
      </c>
      <c r="D521" s="20" t="s">
        <v>17</v>
      </c>
    </row>
    <row r="522" spans="1:4" s="26" customFormat="1">
      <c r="A522" s="18" t="str">
        <f t="shared" si="8"/>
        <v>255.84 84 INCH POLYMERIC PRECOATED CORRUGATED METAL PIPE</v>
      </c>
      <c r="B522" s="21">
        <v>255.84</v>
      </c>
      <c r="C522" s="22" t="s">
        <v>2225</v>
      </c>
      <c r="D522" s="22" t="s">
        <v>17</v>
      </c>
    </row>
    <row r="523" spans="1:4">
      <c r="A523" s="18" t="str">
        <f t="shared" si="8"/>
        <v>258 STONE FOR PIPE ENDS</v>
      </c>
      <c r="B523" s="19">
        <v>258</v>
      </c>
      <c r="C523" s="20" t="s">
        <v>238</v>
      </c>
      <c r="D523" s="20" t="s">
        <v>1</v>
      </c>
    </row>
    <row r="524" spans="1:4" s="26" customFormat="1">
      <c r="A524" s="18" t="str">
        <f t="shared" si="8"/>
        <v>259 CRUSHED STONE FOR BLEEDERS</v>
      </c>
      <c r="B524" s="21">
        <v>259</v>
      </c>
      <c r="C524" s="22" t="s">
        <v>1318</v>
      </c>
      <c r="D524" s="22" t="s">
        <v>7</v>
      </c>
    </row>
    <row r="525" spans="1:4">
      <c r="A525" s="18" t="str">
        <f t="shared" si="8"/>
        <v>261.06 6 INCH PERFORATED  CORRUGATED METAL PIPE-18 GAGE (SUBDRAIN)</v>
      </c>
      <c r="B525" s="21">
        <v>261.06</v>
      </c>
      <c r="C525" s="22" t="s">
        <v>2226</v>
      </c>
      <c r="D525" s="22" t="s">
        <v>17</v>
      </c>
    </row>
    <row r="526" spans="1:4" s="26" customFormat="1">
      <c r="A526" s="18" t="str">
        <f t="shared" si="8"/>
        <v>261.08 8 INCH PERFORATED CORRUGATED METAL PIPE-18 GAGE (SUBDRAIN)</v>
      </c>
      <c r="B526" s="19">
        <v>261.08</v>
      </c>
      <c r="C526" s="20" t="s">
        <v>2227</v>
      </c>
      <c r="D526" s="20" t="s">
        <v>17</v>
      </c>
    </row>
    <row r="527" spans="1:4">
      <c r="A527" s="18" t="str">
        <f t="shared" si="8"/>
        <v>261.1 10 INCH PERFORATED CORRUGATED METAL PIPE-18 GAGE (SUBDRAIN)</v>
      </c>
      <c r="B527" s="19">
        <v>261.10000000000002</v>
      </c>
      <c r="C527" s="20" t="s">
        <v>2228</v>
      </c>
      <c r="D527" s="20" t="s">
        <v>17</v>
      </c>
    </row>
    <row r="528" spans="1:4" s="26" customFormat="1">
      <c r="A528" s="18" t="str">
        <f t="shared" si="8"/>
        <v>261.12 12 INCH PERFORATED CORRUGATED METAL PIPE-16 GAGE (SUBDRAIN)</v>
      </c>
      <c r="B528" s="21">
        <v>261.12</v>
      </c>
      <c r="C528" s="22" t="s">
        <v>2229</v>
      </c>
      <c r="D528" s="22" t="s">
        <v>17</v>
      </c>
    </row>
    <row r="529" spans="1:4">
      <c r="A529" s="18" t="str">
        <f t="shared" si="8"/>
        <v>265.06 6 INCH PIPE SUBDRAIN - OPTION</v>
      </c>
      <c r="B529" s="19">
        <v>265.06</v>
      </c>
      <c r="C529" s="20" t="s">
        <v>239</v>
      </c>
      <c r="D529" s="20" t="s">
        <v>17</v>
      </c>
    </row>
    <row r="530" spans="1:4" s="26" customFormat="1">
      <c r="A530" s="18" t="str">
        <f t="shared" si="8"/>
        <v>265.08 8 INCH PIPE SUBDRAIN - OPTION</v>
      </c>
      <c r="B530" s="21">
        <v>265.08</v>
      </c>
      <c r="C530" s="22" t="s">
        <v>2230</v>
      </c>
      <c r="D530" s="22" t="s">
        <v>17</v>
      </c>
    </row>
    <row r="531" spans="1:4">
      <c r="A531" s="18" t="str">
        <f t="shared" si="8"/>
        <v>266.06 6 INCH POROUS CONCRETE PIPE (SUBDRAIN)</v>
      </c>
      <c r="B531" s="19">
        <v>266.06</v>
      </c>
      <c r="C531" s="20" t="s">
        <v>2231</v>
      </c>
      <c r="D531" s="20" t="s">
        <v>17</v>
      </c>
    </row>
    <row r="532" spans="1:4" s="26" customFormat="1">
      <c r="A532" s="18" t="str">
        <f t="shared" si="8"/>
        <v>266.08 8 INCH POROUS CONCRETE PIPE (SUBDRAIN)</v>
      </c>
      <c r="B532" s="19">
        <v>266.08</v>
      </c>
      <c r="C532" s="20" t="s">
        <v>2232</v>
      </c>
      <c r="D532" s="20" t="s">
        <v>17</v>
      </c>
    </row>
    <row r="533" spans="1:4">
      <c r="A533" s="18" t="str">
        <f t="shared" si="8"/>
        <v>269.06 6 INCH SLOT-PERFORATED CORRUGATED PLASTIC PIPE (SUBDRAIN)</v>
      </c>
      <c r="B533" s="21">
        <v>269.06</v>
      </c>
      <c r="C533" s="22" t="s">
        <v>240</v>
      </c>
      <c r="D533" s="22" t="s">
        <v>17</v>
      </c>
    </row>
    <row r="534" spans="1:4" s="26" customFormat="1">
      <c r="A534" s="18" t="str">
        <f t="shared" si="8"/>
        <v>269.08 8 INCH SLOT-PERFORATED CORRUGATED PLASTIC PIPE (SUBDRAIN)</v>
      </c>
      <c r="B534" s="21">
        <v>269.08</v>
      </c>
      <c r="C534" s="22" t="s">
        <v>241</v>
      </c>
      <c r="D534" s="22" t="s">
        <v>17</v>
      </c>
    </row>
    <row r="535" spans="1:4">
      <c r="A535" s="18" t="str">
        <f t="shared" si="8"/>
        <v>269.1 10 INCH SLOT-PERFORATED CORRUGATED PLASTIC PIPE (SUBDRAIN)</v>
      </c>
      <c r="B535" s="19">
        <v>269.10000000000002</v>
      </c>
      <c r="C535" s="20" t="s">
        <v>242</v>
      </c>
      <c r="D535" s="20" t="s">
        <v>17</v>
      </c>
    </row>
    <row r="536" spans="1:4" s="26" customFormat="1">
      <c r="A536" s="18" t="str">
        <f t="shared" si="8"/>
        <v>270.12 12 INCH AND UNDER PIPE REMOVED AND RELAID</v>
      </c>
      <c r="B536" s="21">
        <v>270.12</v>
      </c>
      <c r="C536" s="22" t="s">
        <v>2233</v>
      </c>
      <c r="D536" s="22" t="s">
        <v>17</v>
      </c>
    </row>
    <row r="537" spans="1:4">
      <c r="A537" s="18" t="str">
        <f t="shared" si="8"/>
        <v>270.15 15 INCH PIPE REMOVED AND RELAID</v>
      </c>
      <c r="B537" s="19">
        <v>270.14999999999998</v>
      </c>
      <c r="C537" s="20" t="s">
        <v>2234</v>
      </c>
      <c r="D537" s="20" t="s">
        <v>17</v>
      </c>
    </row>
    <row r="538" spans="1:4" s="26" customFormat="1">
      <c r="A538" s="18" t="str">
        <f t="shared" si="8"/>
        <v>270.18 18 INCH PIPE REMOVED AND RELAID</v>
      </c>
      <c r="B538" s="21">
        <v>270.18</v>
      </c>
      <c r="C538" s="22" t="s">
        <v>2235</v>
      </c>
      <c r="D538" s="22" t="s">
        <v>17</v>
      </c>
    </row>
    <row r="539" spans="1:4">
      <c r="A539" s="18" t="str">
        <f t="shared" si="8"/>
        <v>270.24 24 INCH PIPE REMOVED AND RELAID</v>
      </c>
      <c r="B539" s="21">
        <v>270.24</v>
      </c>
      <c r="C539" s="22" t="s">
        <v>2236</v>
      </c>
      <c r="D539" s="22" t="s">
        <v>17</v>
      </c>
    </row>
    <row r="540" spans="1:4" s="26" customFormat="1">
      <c r="A540" s="18" t="str">
        <f t="shared" si="8"/>
        <v>270.3 30 INCH PIPE REMOVED AND RELAID</v>
      </c>
      <c r="B540" s="19">
        <v>270.3</v>
      </c>
      <c r="C540" s="20" t="s">
        <v>2237</v>
      </c>
      <c r="D540" s="20" t="s">
        <v>17</v>
      </c>
    </row>
    <row r="541" spans="1:4">
      <c r="A541" s="18" t="str">
        <f t="shared" si="8"/>
        <v>270.36 36 INCH PIPE REMOVED AND RELAID</v>
      </c>
      <c r="B541" s="19">
        <v>270.36</v>
      </c>
      <c r="C541" s="20" t="s">
        <v>2238</v>
      </c>
      <c r="D541" s="20" t="s">
        <v>17</v>
      </c>
    </row>
    <row r="542" spans="1:4" s="26" customFormat="1">
      <c r="A542" s="18" t="str">
        <f t="shared" si="8"/>
        <v>270.42 42 INCH PIPE REMOVED AND RELAID</v>
      </c>
      <c r="B542" s="19">
        <v>270.42</v>
      </c>
      <c r="C542" s="20" t="s">
        <v>2239</v>
      </c>
      <c r="D542" s="20" t="s">
        <v>17</v>
      </c>
    </row>
    <row r="543" spans="1:4">
      <c r="A543" s="18" t="str">
        <f t="shared" si="8"/>
        <v>270.48 48 INCH PIPE REMOVED AND RELAID</v>
      </c>
      <c r="B543" s="21">
        <v>270.48</v>
      </c>
      <c r="C543" s="22" t="s">
        <v>2240</v>
      </c>
      <c r="D543" s="22" t="s">
        <v>17</v>
      </c>
    </row>
    <row r="544" spans="1:4" s="26" customFormat="1">
      <c r="A544" s="18" t="str">
        <f t="shared" si="8"/>
        <v>270.6 60 INCH PIPE REMOVED AND RELAID</v>
      </c>
      <c r="B544" s="21">
        <v>270.60000000000002</v>
      </c>
      <c r="C544" s="22" t="s">
        <v>2241</v>
      </c>
      <c r="D544" s="22" t="s">
        <v>17</v>
      </c>
    </row>
    <row r="545" spans="1:4">
      <c r="A545" s="18" t="str">
        <f t="shared" si="8"/>
        <v>271.12 12 INCH AND UNDER PIPE REMOVED AND STACKED</v>
      </c>
      <c r="B545" s="19">
        <v>271.12</v>
      </c>
      <c r="C545" s="20" t="s">
        <v>243</v>
      </c>
      <c r="D545" s="20" t="s">
        <v>17</v>
      </c>
    </row>
    <row r="546" spans="1:4" s="26" customFormat="1">
      <c r="A546" s="18" t="str">
        <f t="shared" si="8"/>
        <v>271.15 15 INCH PIPE REMOVED AND STACKED</v>
      </c>
      <c r="B546" s="21">
        <v>271.14999999999998</v>
      </c>
      <c r="C546" s="22" t="s">
        <v>2242</v>
      </c>
      <c r="D546" s="22" t="s">
        <v>17</v>
      </c>
    </row>
    <row r="547" spans="1:4">
      <c r="A547" s="18" t="str">
        <f t="shared" si="8"/>
        <v>271.18 18 INCH PIPE REMOVED AND STACKED</v>
      </c>
      <c r="B547" s="19">
        <v>271.18</v>
      </c>
      <c r="C547" s="20" t="s">
        <v>2243</v>
      </c>
      <c r="D547" s="20" t="s">
        <v>17</v>
      </c>
    </row>
    <row r="548" spans="1:4" s="26" customFormat="1">
      <c r="A548" s="18" t="str">
        <f t="shared" si="8"/>
        <v>271.24 24 INCH PIPE REMOVED AND STACKED</v>
      </c>
      <c r="B548" s="21">
        <v>271.24</v>
      </c>
      <c r="C548" s="22" t="s">
        <v>2244</v>
      </c>
      <c r="D548" s="22" t="s">
        <v>17</v>
      </c>
    </row>
    <row r="549" spans="1:4">
      <c r="A549" s="18" t="str">
        <f t="shared" si="8"/>
        <v>271.3 30 INCH PIPE REMOVED AND STACKED</v>
      </c>
      <c r="B549" s="21">
        <v>271.3</v>
      </c>
      <c r="C549" s="22" t="s">
        <v>2245</v>
      </c>
      <c r="D549" s="22" t="s">
        <v>17</v>
      </c>
    </row>
    <row r="550" spans="1:4" s="26" customFormat="1">
      <c r="A550" s="18" t="str">
        <f t="shared" si="8"/>
        <v>280 HOT MIX ASPHALT WATERWAY</v>
      </c>
      <c r="B550" s="19">
        <v>280</v>
      </c>
      <c r="C550" s="20" t="s">
        <v>244</v>
      </c>
      <c r="D550" s="20" t="s">
        <v>1</v>
      </c>
    </row>
    <row r="551" spans="1:4">
      <c r="A551" s="18" t="str">
        <f t="shared" si="8"/>
        <v>280.1 HOT MIX ASPHALT WATERWAY</v>
      </c>
      <c r="B551" s="19">
        <v>280.10000000000002</v>
      </c>
      <c r="C551" s="20" t="s">
        <v>244</v>
      </c>
      <c r="D551" s="20" t="s">
        <v>7</v>
      </c>
    </row>
    <row r="552" spans="1:4" s="26" customFormat="1">
      <c r="A552" s="18" t="str">
        <f t="shared" si="8"/>
        <v>281 CEMENT CONCRETE PAVING (WATERWAY)</v>
      </c>
      <c r="B552" s="21">
        <v>281</v>
      </c>
      <c r="C552" s="22" t="s">
        <v>245</v>
      </c>
      <c r="D552" s="22" t="s">
        <v>1</v>
      </c>
    </row>
    <row r="553" spans="1:4">
      <c r="A553" s="18" t="str">
        <f t="shared" si="8"/>
        <v>281.2 JUTE MESH (WATERWAYS)</v>
      </c>
      <c r="B553" s="19">
        <v>281.2</v>
      </c>
      <c r="C553" s="20" t="s">
        <v>1319</v>
      </c>
      <c r="D553" s="20" t="s">
        <v>1</v>
      </c>
    </row>
    <row r="554" spans="1:4" s="26" customFormat="1">
      <c r="A554" s="18" t="str">
        <f t="shared" si="8"/>
        <v>281.3 GROUTED STONE PAVING (WATERWAYS)</v>
      </c>
      <c r="B554" s="21">
        <v>281.3</v>
      </c>
      <c r="C554" s="22" t="s">
        <v>2246</v>
      </c>
      <c r="D554" s="22" t="s">
        <v>1</v>
      </c>
    </row>
    <row r="555" spans="1:4">
      <c r="A555" s="18" t="str">
        <f t="shared" si="8"/>
        <v>281.4 GROUTED STONE PAVING (WATERWAYS) - REBUILT</v>
      </c>
      <c r="B555" s="21">
        <v>281.39999999999998</v>
      </c>
      <c r="C555" s="22" t="s">
        <v>2247</v>
      </c>
      <c r="D555" s="22" t="s">
        <v>1</v>
      </c>
    </row>
    <row r="556" spans="1:4" s="26" customFormat="1">
      <c r="A556" s="18" t="str">
        <f t="shared" si="8"/>
        <v>281.5 DUMPED STONE LINING (WATERWAYS)</v>
      </c>
      <c r="B556" s="19">
        <v>281.5</v>
      </c>
      <c r="C556" s="20" t="s">
        <v>2248</v>
      </c>
      <c r="D556" s="20" t="s">
        <v>1</v>
      </c>
    </row>
    <row r="557" spans="1:4">
      <c r="A557" s="18" t="str">
        <f t="shared" si="8"/>
        <v>282 CEMENT CONCRETE PAVING - DITCHES</v>
      </c>
      <c r="B557" s="21">
        <v>282</v>
      </c>
      <c r="C557" s="22" t="s">
        <v>2249</v>
      </c>
      <c r="D557" s="22" t="s">
        <v>1</v>
      </c>
    </row>
    <row r="558" spans="1:4" s="26" customFormat="1">
      <c r="A558" s="18" t="str">
        <f t="shared" si="8"/>
        <v>302.04 4 INCH DUCTILE IRON WATER PIPE (RUBBER GASKET)</v>
      </c>
      <c r="B558" s="21">
        <v>302.04000000000002</v>
      </c>
      <c r="C558" s="22" t="s">
        <v>246</v>
      </c>
      <c r="D558" s="22" t="s">
        <v>17</v>
      </c>
    </row>
    <row r="559" spans="1:4">
      <c r="A559" s="18" t="str">
        <f t="shared" si="8"/>
        <v>302.06 6 INCH DUCTILE IRON WATER PIPE (RUBBER GASKET)</v>
      </c>
      <c r="B559" s="19">
        <v>302.06</v>
      </c>
      <c r="C559" s="20" t="s">
        <v>247</v>
      </c>
      <c r="D559" s="20" t="s">
        <v>17</v>
      </c>
    </row>
    <row r="560" spans="1:4" s="26" customFormat="1">
      <c r="A560" s="18" t="str">
        <f t="shared" si="8"/>
        <v>302.08 8 INCH DUCTILE IRON WATER PIPE (RUBBER GASKET)</v>
      </c>
      <c r="B560" s="21">
        <v>302.08</v>
      </c>
      <c r="C560" s="22" t="s">
        <v>248</v>
      </c>
      <c r="D560" s="22" t="s">
        <v>17</v>
      </c>
    </row>
    <row r="561" spans="1:4">
      <c r="A561" s="18" t="str">
        <f t="shared" si="8"/>
        <v>302.1 10 INCH DUCTILE IRON WATER PIPE (RUBBER GASKET)</v>
      </c>
      <c r="B561" s="19">
        <v>302.10000000000002</v>
      </c>
      <c r="C561" s="20" t="s">
        <v>249</v>
      </c>
      <c r="D561" s="20" t="s">
        <v>17</v>
      </c>
    </row>
    <row r="562" spans="1:4" s="26" customFormat="1">
      <c r="A562" s="18" t="str">
        <f t="shared" si="8"/>
        <v>302.12 12 INCH DUCTILE IRON WATER PIPE (RUBBER GASKET)</v>
      </c>
      <c r="B562" s="19">
        <v>302.12</v>
      </c>
      <c r="C562" s="20" t="s">
        <v>250</v>
      </c>
      <c r="D562" s="20" t="s">
        <v>17</v>
      </c>
    </row>
    <row r="563" spans="1:4">
      <c r="A563" s="18" t="str">
        <f t="shared" si="8"/>
        <v>302.16 16 INCH DUCTILE IRON WATER PIPE (RUBBER GASKET)</v>
      </c>
      <c r="B563" s="21">
        <v>302.16000000000003</v>
      </c>
      <c r="C563" s="22" t="s">
        <v>1320</v>
      </c>
      <c r="D563" s="22" t="s">
        <v>17</v>
      </c>
    </row>
    <row r="564" spans="1:4" s="26" customFormat="1">
      <c r="A564" s="18" t="str">
        <f t="shared" si="8"/>
        <v>302.18 18 INCH DUCTILE IRON WATER PIPE (RUBBER GASKET)</v>
      </c>
      <c r="B564" s="19">
        <v>302.18</v>
      </c>
      <c r="C564" s="20" t="s">
        <v>2250</v>
      </c>
      <c r="D564" s="20" t="s">
        <v>17</v>
      </c>
    </row>
    <row r="565" spans="1:4">
      <c r="A565" s="18" t="str">
        <f t="shared" si="8"/>
        <v>302.2 20 INCH DUCTILE IRON WATER PIPE (RUBBER GASKET)</v>
      </c>
      <c r="B565" s="21">
        <v>302.2</v>
      </c>
      <c r="C565" s="22" t="s">
        <v>2251</v>
      </c>
      <c r="D565" s="22" t="s">
        <v>17</v>
      </c>
    </row>
    <row r="566" spans="1:4" s="26" customFormat="1">
      <c r="A566" s="18" t="str">
        <f t="shared" si="8"/>
        <v>302.24 24 INCH DUCTILE IRON WATER PIPE (RUBBER GASKET)</v>
      </c>
      <c r="B566" s="21">
        <v>302.24</v>
      </c>
      <c r="C566" s="22" t="s">
        <v>2252</v>
      </c>
      <c r="D566" s="22" t="s">
        <v>17</v>
      </c>
    </row>
    <row r="567" spans="1:4">
      <c r="A567" s="18" t="str">
        <f t="shared" si="8"/>
        <v>303.04 4 INCH DUCTILE IRON WATER PIPE  (MECHANICAL JOINT)</v>
      </c>
      <c r="B567" s="19">
        <v>303.04000000000002</v>
      </c>
      <c r="C567" s="20" t="s">
        <v>2253</v>
      </c>
      <c r="D567" s="20" t="s">
        <v>17</v>
      </c>
    </row>
    <row r="568" spans="1:4" s="26" customFormat="1">
      <c r="A568" s="18" t="str">
        <f t="shared" si="8"/>
        <v>303.06 6 INCH DUCTILE IRON WATER PIPE (MECHANICAL JOINT)</v>
      </c>
      <c r="B568" s="19">
        <v>303.06</v>
      </c>
      <c r="C568" s="20" t="s">
        <v>251</v>
      </c>
      <c r="D568" s="20" t="s">
        <v>17</v>
      </c>
    </row>
    <row r="569" spans="1:4">
      <c r="A569" s="18" t="str">
        <f t="shared" si="8"/>
        <v>303.08 8 INCH DUCTILE IRON WATER PIPE (MECHANICAL JOINT)</v>
      </c>
      <c r="B569" s="19">
        <v>303.08</v>
      </c>
      <c r="C569" s="20" t="s">
        <v>252</v>
      </c>
      <c r="D569" s="20" t="s">
        <v>17</v>
      </c>
    </row>
    <row r="570" spans="1:4" s="26" customFormat="1">
      <c r="A570" s="18" t="str">
        <f t="shared" si="8"/>
        <v>303.1 10 INCH DUCTILE IRON WATER PIPE (MECHANICAL JOINT)</v>
      </c>
      <c r="B570" s="21">
        <v>303.10000000000002</v>
      </c>
      <c r="C570" s="22" t="s">
        <v>253</v>
      </c>
      <c r="D570" s="22" t="s">
        <v>17</v>
      </c>
    </row>
    <row r="571" spans="1:4">
      <c r="A571" s="18" t="str">
        <f t="shared" si="8"/>
        <v>303.12 12 INCH DUCTILE IRON WATER PIPE (MECHANICAL JOINT)</v>
      </c>
      <c r="B571" s="19">
        <v>303.12</v>
      </c>
      <c r="C571" s="20" t="s">
        <v>254</v>
      </c>
      <c r="D571" s="20" t="s">
        <v>17</v>
      </c>
    </row>
    <row r="572" spans="1:4" s="26" customFormat="1">
      <c r="A572" s="18" t="str">
        <f t="shared" si="8"/>
        <v>303.16 16 INCH DUCTILE IRON WATER PIPE (MECHANICAL JOINT)</v>
      </c>
      <c r="B572" s="21">
        <v>303.16000000000003</v>
      </c>
      <c r="C572" s="22" t="s">
        <v>255</v>
      </c>
      <c r="D572" s="22" t="s">
        <v>17</v>
      </c>
    </row>
    <row r="573" spans="1:4">
      <c r="A573" s="18" t="str">
        <f t="shared" si="8"/>
        <v>303.18 18 INCH DUCTILE IRON WATER PIPE (MECHANICAL JOINT)</v>
      </c>
      <c r="B573" s="21">
        <v>303.18</v>
      </c>
      <c r="C573" s="22" t="s">
        <v>1321</v>
      </c>
      <c r="D573" s="22" t="s">
        <v>17</v>
      </c>
    </row>
    <row r="574" spans="1:4" s="26" customFormat="1">
      <c r="A574" s="18" t="str">
        <f t="shared" si="8"/>
        <v>303.2 20 INCH DUCTILE IRON WATER PIPE (MECHANICAL JOINT)</v>
      </c>
      <c r="B574" s="19">
        <v>303.2</v>
      </c>
      <c r="C574" s="20" t="s">
        <v>2254</v>
      </c>
      <c r="D574" s="20" t="s">
        <v>17</v>
      </c>
    </row>
    <row r="575" spans="1:4">
      <c r="A575" s="18" t="str">
        <f t="shared" si="8"/>
        <v>303.24 24 INCH DUCTILE IRON WATER PIPE (MECHANICAL JOINT)</v>
      </c>
      <c r="B575" s="21">
        <v>303.24</v>
      </c>
      <c r="C575" s="22" t="s">
        <v>1322</v>
      </c>
      <c r="D575" s="22" t="s">
        <v>17</v>
      </c>
    </row>
    <row r="576" spans="1:4" s="26" customFormat="1">
      <c r="A576" s="18" t="str">
        <f t="shared" si="8"/>
        <v>309 DUCTILE IRON FITTINGS FOR WATER PIPE</v>
      </c>
      <c r="B576" s="21">
        <v>309</v>
      </c>
      <c r="C576" s="22" t="s">
        <v>256</v>
      </c>
      <c r="D576" s="22" t="s">
        <v>100</v>
      </c>
    </row>
    <row r="577" spans="1:4">
      <c r="A577" s="18" t="str">
        <f t="shared" si="8"/>
        <v>313.04 4 INCH WATER MAIN REMOVED AND RELAID</v>
      </c>
      <c r="B577" s="19">
        <v>313.04000000000002</v>
      </c>
      <c r="C577" s="20" t="s">
        <v>2255</v>
      </c>
      <c r="D577" s="20" t="s">
        <v>17</v>
      </c>
    </row>
    <row r="578" spans="1:4" s="26" customFormat="1">
      <c r="A578" s="18" t="str">
        <f t="shared" ref="A578:A641" si="9">B578&amp;" "&amp;C578</f>
        <v>313.06 6 INCH WATER MAIN REMOVED AND RELAID</v>
      </c>
      <c r="B578" s="21">
        <v>313.06</v>
      </c>
      <c r="C578" s="22" t="s">
        <v>2256</v>
      </c>
      <c r="D578" s="22" t="s">
        <v>17</v>
      </c>
    </row>
    <row r="579" spans="1:4">
      <c r="A579" s="18" t="str">
        <f t="shared" si="9"/>
        <v>313.08 8 INCH WATER MAIN REMOVED AND RELAID</v>
      </c>
      <c r="B579" s="19">
        <v>313.08</v>
      </c>
      <c r="C579" s="20" t="s">
        <v>2257</v>
      </c>
      <c r="D579" s="20" t="s">
        <v>17</v>
      </c>
    </row>
    <row r="580" spans="1:4" s="26" customFormat="1">
      <c r="A580" s="18" t="str">
        <f t="shared" si="9"/>
        <v>313.1 10 INCH WATER MAIN REMOVED AND RELAID</v>
      </c>
      <c r="B580" s="19">
        <v>313.10000000000002</v>
      </c>
      <c r="C580" s="20" t="s">
        <v>2258</v>
      </c>
      <c r="D580" s="20" t="s">
        <v>17</v>
      </c>
    </row>
    <row r="581" spans="1:4">
      <c r="A581" s="18" t="str">
        <f t="shared" si="9"/>
        <v>313.12 12 INCH WATER MAIN REMOVED AND RELAID</v>
      </c>
      <c r="B581" s="21">
        <v>313.12</v>
      </c>
      <c r="C581" s="22" t="s">
        <v>2259</v>
      </c>
      <c r="D581" s="22" t="s">
        <v>17</v>
      </c>
    </row>
    <row r="582" spans="1:4" s="26" customFormat="1">
      <c r="A582" s="18" t="str">
        <f t="shared" si="9"/>
        <v>313.16 16 INCH WATER MAIN REMOVED AND RELAID</v>
      </c>
      <c r="B582" s="19">
        <v>313.16000000000003</v>
      </c>
      <c r="C582" s="20" t="s">
        <v>2260</v>
      </c>
      <c r="D582" s="20" t="s">
        <v>17</v>
      </c>
    </row>
    <row r="583" spans="1:4">
      <c r="A583" s="18" t="str">
        <f t="shared" si="9"/>
        <v>313.18 18 INCH WATER MAIN REMOVED AND RELAID</v>
      </c>
      <c r="B583" s="19">
        <v>313.18</v>
      </c>
      <c r="C583" s="20" t="s">
        <v>2261</v>
      </c>
      <c r="D583" s="20" t="s">
        <v>17</v>
      </c>
    </row>
    <row r="584" spans="1:4" s="26" customFormat="1">
      <c r="A584" s="18" t="str">
        <f t="shared" si="9"/>
        <v>313.2 20 INCH WATER MAIN REMOVED AND RELAID</v>
      </c>
      <c r="B584" s="21">
        <v>313.2</v>
      </c>
      <c r="C584" s="22" t="s">
        <v>2262</v>
      </c>
      <c r="D584" s="22" t="s">
        <v>17</v>
      </c>
    </row>
    <row r="585" spans="1:4">
      <c r="A585" s="18" t="str">
        <f t="shared" si="9"/>
        <v>313.24 24 INCH WATER MAIN REMOVED AND RELAID</v>
      </c>
      <c r="B585" s="19">
        <v>313.24</v>
      </c>
      <c r="C585" s="20" t="s">
        <v>2263</v>
      </c>
      <c r="D585" s="20" t="s">
        <v>17</v>
      </c>
    </row>
    <row r="586" spans="1:4" s="26" customFormat="1">
      <c r="A586" s="18" t="str">
        <f t="shared" si="9"/>
        <v>315.04 4 INCH WATER MAIN REMOVED AND STACKED</v>
      </c>
      <c r="B586" s="21">
        <v>315.04000000000002</v>
      </c>
      <c r="C586" s="22" t="s">
        <v>1323</v>
      </c>
      <c r="D586" s="22" t="s">
        <v>17</v>
      </c>
    </row>
    <row r="587" spans="1:4">
      <c r="A587" s="18" t="str">
        <f t="shared" si="9"/>
        <v>315.06 6 INCH WATER MAIN REMOVED AND STACKED</v>
      </c>
      <c r="B587" s="19">
        <v>315.06</v>
      </c>
      <c r="C587" s="20" t="s">
        <v>257</v>
      </c>
      <c r="D587" s="20" t="s">
        <v>17</v>
      </c>
    </row>
    <row r="588" spans="1:4" s="26" customFormat="1">
      <c r="A588" s="18" t="str">
        <f t="shared" si="9"/>
        <v>315.08 8 INCH WATER MAIN REMOVED AND STACKED</v>
      </c>
      <c r="B588" s="21">
        <v>315.08</v>
      </c>
      <c r="C588" s="22" t="s">
        <v>1324</v>
      </c>
      <c r="D588" s="22" t="s">
        <v>17</v>
      </c>
    </row>
    <row r="589" spans="1:4">
      <c r="A589" s="18" t="str">
        <f t="shared" si="9"/>
        <v>315.1 10 INCH WATER MAIN REMOVED AND STACKED</v>
      </c>
      <c r="B589" s="21">
        <v>315.10000000000002</v>
      </c>
      <c r="C589" s="22" t="s">
        <v>2264</v>
      </c>
      <c r="D589" s="22" t="s">
        <v>17</v>
      </c>
    </row>
    <row r="590" spans="1:4" s="26" customFormat="1">
      <c r="A590" s="18" t="str">
        <f t="shared" si="9"/>
        <v>315.12 12 INCH WATER MAIN REMOVED AND STACKED</v>
      </c>
      <c r="B590" s="19">
        <v>315.12</v>
      </c>
      <c r="C590" s="20" t="s">
        <v>1325</v>
      </c>
      <c r="D590" s="20" t="s">
        <v>17</v>
      </c>
    </row>
    <row r="591" spans="1:4">
      <c r="A591" s="18" t="str">
        <f t="shared" si="9"/>
        <v>315.16 16 INCH WATER MAIN REMOVED AND STACKED</v>
      </c>
      <c r="B591" s="21">
        <v>315.16000000000003</v>
      </c>
      <c r="C591" s="22" t="s">
        <v>1326</v>
      </c>
      <c r="D591" s="22" t="s">
        <v>17</v>
      </c>
    </row>
    <row r="592" spans="1:4" s="26" customFormat="1">
      <c r="A592" s="18" t="str">
        <f t="shared" si="9"/>
        <v>315.18 18 INCH WATER MAIN REMOVED AND STACKED</v>
      </c>
      <c r="B592" s="19">
        <v>315.18</v>
      </c>
      <c r="C592" s="20" t="s">
        <v>2265</v>
      </c>
      <c r="D592" s="20" t="s">
        <v>17</v>
      </c>
    </row>
    <row r="593" spans="1:4">
      <c r="A593" s="18" t="str">
        <f t="shared" si="9"/>
        <v>315.2 20 INCH WATER MAIN REMOVED AND STACKED</v>
      </c>
      <c r="B593" s="21">
        <v>315.2</v>
      </c>
      <c r="C593" s="22" t="s">
        <v>2266</v>
      </c>
      <c r="D593" s="22" t="s">
        <v>17</v>
      </c>
    </row>
    <row r="594" spans="1:4" s="26" customFormat="1">
      <c r="A594" s="18" t="str">
        <f t="shared" si="9"/>
        <v>315.24 24 INCH WATER MAIN REMOVED AND STACKED</v>
      </c>
      <c r="B594" s="21">
        <v>315.24</v>
      </c>
      <c r="C594" s="22" t="s">
        <v>2267</v>
      </c>
      <c r="D594" s="22" t="s">
        <v>17</v>
      </c>
    </row>
    <row r="595" spans="1:4">
      <c r="A595" s="18" t="str">
        <f t="shared" si="9"/>
        <v>325.06 6 INCH STEEL PIPE CASING FOR WATER PIPE</v>
      </c>
      <c r="B595" s="19">
        <v>325.06</v>
      </c>
      <c r="C595" s="20" t="s">
        <v>2268</v>
      </c>
      <c r="D595" s="20" t="s">
        <v>17</v>
      </c>
    </row>
    <row r="596" spans="1:4" s="26" customFormat="1">
      <c r="A596" s="18" t="str">
        <f t="shared" si="9"/>
        <v>325.08 8 INCH STEEL PIPE CASING FOR WATER PIPE</v>
      </c>
      <c r="B596" s="19">
        <v>325.08</v>
      </c>
      <c r="C596" s="20" t="s">
        <v>2269</v>
      </c>
      <c r="D596" s="20" t="s">
        <v>17</v>
      </c>
    </row>
    <row r="597" spans="1:4">
      <c r="A597" s="18" t="str">
        <f t="shared" si="9"/>
        <v>325.1 10 INCH STEEL PIPE CASING FOR WATER PIPE</v>
      </c>
      <c r="B597" s="21">
        <v>325.10000000000002</v>
      </c>
      <c r="C597" s="22" t="s">
        <v>2270</v>
      </c>
      <c r="D597" s="22" t="s">
        <v>17</v>
      </c>
    </row>
    <row r="598" spans="1:4" s="26" customFormat="1">
      <c r="A598" s="18" t="str">
        <f t="shared" si="9"/>
        <v>325.12 12 INCH STEEL PIPE CASING FOR WATER PIPE</v>
      </c>
      <c r="B598" s="19">
        <v>325.12</v>
      </c>
      <c r="C598" s="20" t="s">
        <v>2271</v>
      </c>
      <c r="D598" s="20" t="s">
        <v>17</v>
      </c>
    </row>
    <row r="599" spans="1:4">
      <c r="A599" s="18" t="str">
        <f t="shared" si="9"/>
        <v>325.16 16 INCH STEEL PIPE CASING FOR WATER PIPE</v>
      </c>
      <c r="B599" s="21">
        <v>325.16000000000003</v>
      </c>
      <c r="C599" s="22" t="s">
        <v>2272</v>
      </c>
      <c r="D599" s="22" t="s">
        <v>17</v>
      </c>
    </row>
    <row r="600" spans="1:4" s="26" customFormat="1">
      <c r="A600" s="18" t="str">
        <f t="shared" si="9"/>
        <v>325.18 18 INCH STEEL PIPE CASING FOR WATER PIPE</v>
      </c>
      <c r="B600" s="19">
        <v>325.18</v>
      </c>
      <c r="C600" s="20" t="s">
        <v>2273</v>
      </c>
      <c r="D600" s="20" t="s">
        <v>17</v>
      </c>
    </row>
    <row r="601" spans="1:4">
      <c r="A601" s="18" t="str">
        <f t="shared" si="9"/>
        <v>325.2 20 INCH STEEL PIPE CASING FOR WATER PIPE</v>
      </c>
      <c r="B601" s="19">
        <v>325.2</v>
      </c>
      <c r="C601" s="20" t="s">
        <v>2274</v>
      </c>
      <c r="D601" s="20" t="s">
        <v>17</v>
      </c>
    </row>
    <row r="602" spans="1:4" s="26" customFormat="1">
      <c r="A602" s="18" t="str">
        <f t="shared" si="9"/>
        <v>325.24 24 INCH STEEL PIPE CASING FOR WATER PIPE</v>
      </c>
      <c r="B602" s="21">
        <v>325.24</v>
      </c>
      <c r="C602" s="22" t="s">
        <v>2275</v>
      </c>
      <c r="D602" s="22" t="s">
        <v>17</v>
      </c>
    </row>
    <row r="603" spans="1:4">
      <c r="A603" s="18" t="str">
        <f t="shared" si="9"/>
        <v>327.03 3 INCH BLOW-OFF PIPE</v>
      </c>
      <c r="B603" s="21">
        <v>327.02999999999997</v>
      </c>
      <c r="C603" s="22" t="s">
        <v>2276</v>
      </c>
      <c r="D603" s="22" t="s">
        <v>17</v>
      </c>
    </row>
    <row r="604" spans="1:4" s="26" customFormat="1">
      <c r="A604" s="18" t="str">
        <f t="shared" si="9"/>
        <v>327.04 4 INCH BLOW-OFF PIPE</v>
      </c>
      <c r="B604" s="19">
        <v>327.04000000000002</v>
      </c>
      <c r="C604" s="20" t="s">
        <v>2277</v>
      </c>
      <c r="D604" s="20" t="s">
        <v>17</v>
      </c>
    </row>
    <row r="605" spans="1:4">
      <c r="A605" s="18" t="str">
        <f t="shared" si="9"/>
        <v>327.06 6 INCH BLOW-OFF PIPE</v>
      </c>
      <c r="B605" s="21">
        <v>327.06</v>
      </c>
      <c r="C605" s="22" t="s">
        <v>2278</v>
      </c>
      <c r="D605" s="22" t="s">
        <v>17</v>
      </c>
    </row>
    <row r="606" spans="1:4" s="26" customFormat="1">
      <c r="A606" s="18" t="str">
        <f t="shared" si="9"/>
        <v>327.08 8 INCH BLOW-OFF PIPE</v>
      </c>
      <c r="B606" s="21">
        <v>327.08</v>
      </c>
      <c r="C606" s="22" t="s">
        <v>2279</v>
      </c>
      <c r="D606" s="22" t="s">
        <v>17</v>
      </c>
    </row>
    <row r="607" spans="1:4">
      <c r="A607" s="18" t="str">
        <f t="shared" si="9"/>
        <v>327.1 10 INCH BLOW-OFF PIPE</v>
      </c>
      <c r="B607" s="19">
        <v>327.10000000000002</v>
      </c>
      <c r="C607" s="20" t="s">
        <v>2280</v>
      </c>
      <c r="D607" s="20" t="s">
        <v>17</v>
      </c>
    </row>
    <row r="608" spans="1:4" s="26" customFormat="1">
      <c r="A608" s="18" t="str">
        <f t="shared" si="9"/>
        <v>327.12 12 INCH BLOW-OFF PIPE</v>
      </c>
      <c r="B608" s="21">
        <v>327.12</v>
      </c>
      <c r="C608" s="22" t="s">
        <v>2281</v>
      </c>
      <c r="D608" s="22" t="s">
        <v>17</v>
      </c>
    </row>
    <row r="609" spans="1:4">
      <c r="A609" s="18" t="str">
        <f t="shared" si="9"/>
        <v>336.1 1 INCH PLASTIC WATER PIPE</v>
      </c>
      <c r="B609" s="19">
        <v>336.1</v>
      </c>
      <c r="C609" s="20" t="s">
        <v>258</v>
      </c>
      <c r="D609" s="20" t="s">
        <v>17</v>
      </c>
    </row>
    <row r="610" spans="1:4" s="26" customFormat="1">
      <c r="A610" s="18" t="str">
        <f t="shared" si="9"/>
        <v>345.075 3/4 INCH TEMPORARY SERVICE PIPE</v>
      </c>
      <c r="B610" s="19">
        <v>345.07499999999999</v>
      </c>
      <c r="C610" s="20" t="s">
        <v>2282</v>
      </c>
      <c r="D610" s="20" t="s">
        <v>17</v>
      </c>
    </row>
    <row r="611" spans="1:4">
      <c r="A611" s="18" t="str">
        <f t="shared" si="9"/>
        <v>345.1 1 INCH TEMPORARY SERVICE PIPE</v>
      </c>
      <c r="B611" s="21">
        <v>345.1</v>
      </c>
      <c r="C611" s="22" t="s">
        <v>1327</v>
      </c>
      <c r="D611" s="22" t="s">
        <v>17</v>
      </c>
    </row>
    <row r="612" spans="1:4" s="26" customFormat="1">
      <c r="A612" s="18" t="str">
        <f t="shared" si="9"/>
        <v>345.151 1-1/2 INCH TEMPORARY SERVICE PIPE</v>
      </c>
      <c r="B612" s="19">
        <v>345.15100000000001</v>
      </c>
      <c r="C612" s="20" t="s">
        <v>2283</v>
      </c>
      <c r="D612" s="20" t="s">
        <v>17</v>
      </c>
    </row>
    <row r="613" spans="1:4">
      <c r="A613" s="18" t="str">
        <f t="shared" si="9"/>
        <v>345.6 6 INCH TEMPORARY SERVICE PIPE</v>
      </c>
      <c r="B613" s="19">
        <v>345.6</v>
      </c>
      <c r="C613" s="20" t="s">
        <v>2284</v>
      </c>
      <c r="D613" s="20" t="s">
        <v>17</v>
      </c>
    </row>
    <row r="614" spans="1:4" s="26" customFormat="1">
      <c r="A614" s="18" t="str">
        <f t="shared" si="9"/>
        <v>346.05 1/2 INCH SERVICE PIPE REMOVED AND RESET</v>
      </c>
      <c r="B614" s="21">
        <v>346.05</v>
      </c>
      <c r="C614" s="22" t="s">
        <v>2285</v>
      </c>
      <c r="D614" s="22" t="s">
        <v>17</v>
      </c>
    </row>
    <row r="615" spans="1:4">
      <c r="A615" s="18" t="str">
        <f t="shared" si="9"/>
        <v>346.075 3/4 INCH SERVICE PIPE REMOVED AND RESET</v>
      </c>
      <c r="B615" s="19">
        <v>346.07499999999999</v>
      </c>
      <c r="C615" s="20" t="s">
        <v>2286</v>
      </c>
      <c r="D615" s="20" t="s">
        <v>17</v>
      </c>
    </row>
    <row r="616" spans="1:4" s="26" customFormat="1">
      <c r="A616" s="18" t="str">
        <f t="shared" si="9"/>
        <v>346.1 1 INCH SERVICE PIPE REMOVED AND RESET</v>
      </c>
      <c r="B616" s="21">
        <v>346.1</v>
      </c>
      <c r="C616" s="22" t="s">
        <v>2287</v>
      </c>
      <c r="D616" s="22" t="s">
        <v>17</v>
      </c>
    </row>
    <row r="617" spans="1:4">
      <c r="A617" s="18" t="str">
        <f t="shared" si="9"/>
        <v>346.15 1-1/2 INCH SERVICE PIPE REMOVED AND RESET</v>
      </c>
      <c r="B617" s="21">
        <v>346.15</v>
      </c>
      <c r="C617" s="22" t="s">
        <v>2288</v>
      </c>
      <c r="D617" s="22" t="s">
        <v>17</v>
      </c>
    </row>
    <row r="618" spans="1:4" s="26" customFormat="1">
      <c r="A618" s="18" t="str">
        <f t="shared" si="9"/>
        <v>346.2 2 INCH SERVICE PIPE REMOVED AND RESET</v>
      </c>
      <c r="B618" s="19">
        <v>346.2</v>
      </c>
      <c r="C618" s="20" t="s">
        <v>2289</v>
      </c>
      <c r="D618" s="20" t="s">
        <v>17</v>
      </c>
    </row>
    <row r="619" spans="1:4">
      <c r="A619" s="18" t="str">
        <f t="shared" si="9"/>
        <v>347.075 3/4 INCH COPPER TUBING TYPE K</v>
      </c>
      <c r="B619" s="21">
        <v>347.07499999999999</v>
      </c>
      <c r="C619" s="22" t="s">
        <v>259</v>
      </c>
      <c r="D619" s="22" t="s">
        <v>17</v>
      </c>
    </row>
    <row r="620" spans="1:4" s="26" customFormat="1">
      <c r="A620" s="18" t="str">
        <f t="shared" si="9"/>
        <v>347.1 1 INCH COPPER TUBING TYPE K</v>
      </c>
      <c r="B620" s="21">
        <v>347.1</v>
      </c>
      <c r="C620" s="22" t="s">
        <v>260</v>
      </c>
      <c r="D620" s="22" t="s">
        <v>17</v>
      </c>
    </row>
    <row r="621" spans="1:4">
      <c r="A621" s="18" t="str">
        <f t="shared" si="9"/>
        <v>347.125 1-1/4 INCH COPPER TUBING TYPE K</v>
      </c>
      <c r="B621" s="19">
        <v>347.125</v>
      </c>
      <c r="C621" s="20" t="s">
        <v>1328</v>
      </c>
      <c r="D621" s="20" t="s">
        <v>17</v>
      </c>
    </row>
    <row r="622" spans="1:4" s="26" customFormat="1">
      <c r="A622" s="18" t="str">
        <f t="shared" si="9"/>
        <v>347.15 1-1/2 INCH COPPER TUBING TYPE K</v>
      </c>
      <c r="B622" s="21">
        <v>347.15</v>
      </c>
      <c r="C622" s="22" t="s">
        <v>1329</v>
      </c>
      <c r="D622" s="22" t="s">
        <v>17</v>
      </c>
    </row>
    <row r="623" spans="1:4">
      <c r="A623" s="18" t="str">
        <f t="shared" si="9"/>
        <v>347.2 2 INCH COPPER TUBING TYPE K</v>
      </c>
      <c r="B623" s="19">
        <v>347.2</v>
      </c>
      <c r="C623" s="20" t="s">
        <v>261</v>
      </c>
      <c r="D623" s="20" t="s">
        <v>17</v>
      </c>
    </row>
    <row r="624" spans="1:4" s="26" customFormat="1">
      <c r="A624" s="18" t="str">
        <f t="shared" si="9"/>
        <v>349.04 4 INCH GATE VALVE</v>
      </c>
      <c r="B624" s="19">
        <v>349.04</v>
      </c>
      <c r="C624" s="20" t="s">
        <v>1330</v>
      </c>
      <c r="D624" s="20" t="s">
        <v>2</v>
      </c>
    </row>
    <row r="625" spans="1:4">
      <c r="A625" s="18" t="str">
        <f t="shared" si="9"/>
        <v>349.06 6 INCH GATE VALVE</v>
      </c>
      <c r="B625" s="21">
        <v>349.06</v>
      </c>
      <c r="C625" s="22" t="s">
        <v>262</v>
      </c>
      <c r="D625" s="22" t="s">
        <v>2</v>
      </c>
    </row>
    <row r="626" spans="1:4" s="26" customFormat="1">
      <c r="A626" s="18" t="str">
        <f t="shared" si="9"/>
        <v>349.08 8 INCH GATE VALVE</v>
      </c>
      <c r="B626" s="19">
        <v>349.08</v>
      </c>
      <c r="C626" s="20" t="s">
        <v>1331</v>
      </c>
      <c r="D626" s="20" t="s">
        <v>2</v>
      </c>
    </row>
    <row r="627" spans="1:4">
      <c r="A627" s="18" t="str">
        <f t="shared" si="9"/>
        <v>349.1 10 INCH GATE VALVE</v>
      </c>
      <c r="B627" s="19">
        <v>349.1</v>
      </c>
      <c r="C627" s="20" t="s">
        <v>2290</v>
      </c>
      <c r="D627" s="20" t="s">
        <v>2</v>
      </c>
    </row>
    <row r="628" spans="1:4" s="26" customFormat="1">
      <c r="A628" s="18" t="str">
        <f t="shared" si="9"/>
        <v>349.12 12 INCH GATE VALVE</v>
      </c>
      <c r="B628" s="21">
        <v>349.12</v>
      </c>
      <c r="C628" s="22" t="s">
        <v>1332</v>
      </c>
      <c r="D628" s="22" t="s">
        <v>2</v>
      </c>
    </row>
    <row r="629" spans="1:4">
      <c r="A629" s="18" t="str">
        <f t="shared" si="9"/>
        <v>349.16 16 INCH GATE VALVE</v>
      </c>
      <c r="B629" s="19">
        <v>349.16</v>
      </c>
      <c r="C629" s="20" t="s">
        <v>1333</v>
      </c>
      <c r="D629" s="20" t="s">
        <v>2</v>
      </c>
    </row>
    <row r="630" spans="1:4" s="26" customFormat="1">
      <c r="A630" s="18" t="str">
        <f t="shared" si="9"/>
        <v>349.18 18 INCH GATE VALVE</v>
      </c>
      <c r="B630" s="21">
        <v>349.18</v>
      </c>
      <c r="C630" s="22" t="s">
        <v>2291</v>
      </c>
      <c r="D630" s="22" t="s">
        <v>2</v>
      </c>
    </row>
    <row r="631" spans="1:4">
      <c r="A631" s="18" t="str">
        <f t="shared" si="9"/>
        <v>349.2 20 INCH GATE VALVE</v>
      </c>
      <c r="B631" s="21">
        <v>349.2</v>
      </c>
      <c r="C631" s="22" t="s">
        <v>2292</v>
      </c>
      <c r="D631" s="22" t="s">
        <v>2</v>
      </c>
    </row>
    <row r="632" spans="1:4" s="26" customFormat="1">
      <c r="A632" s="18" t="str">
        <f t="shared" si="9"/>
        <v>349.24 24 INCH GATE VALVE</v>
      </c>
      <c r="B632" s="19">
        <v>349.24</v>
      </c>
      <c r="C632" s="20" t="s">
        <v>2293</v>
      </c>
      <c r="D632" s="20" t="s">
        <v>2</v>
      </c>
    </row>
    <row r="633" spans="1:4">
      <c r="A633" s="18" t="str">
        <f t="shared" si="9"/>
        <v>350.04 4 INCH GATE AND GATE BOX</v>
      </c>
      <c r="B633" s="19">
        <v>350.04</v>
      </c>
      <c r="C633" s="20" t="s">
        <v>263</v>
      </c>
      <c r="D633" s="20" t="s">
        <v>2</v>
      </c>
    </row>
    <row r="634" spans="1:4" s="26" customFormat="1">
      <c r="A634" s="18" t="str">
        <f t="shared" si="9"/>
        <v>350.06 6 INCH GATE AND GATE BOX</v>
      </c>
      <c r="B634" s="19">
        <v>350.06</v>
      </c>
      <c r="C634" s="20" t="s">
        <v>264</v>
      </c>
      <c r="D634" s="20" t="s">
        <v>2</v>
      </c>
    </row>
    <row r="635" spans="1:4">
      <c r="A635" s="18" t="str">
        <f t="shared" si="9"/>
        <v>350.08 8 INCH GATE AND GATE BOX</v>
      </c>
      <c r="B635" s="19">
        <v>350.08</v>
      </c>
      <c r="C635" s="20" t="s">
        <v>265</v>
      </c>
      <c r="D635" s="20" t="s">
        <v>2</v>
      </c>
    </row>
    <row r="636" spans="1:4" s="26" customFormat="1">
      <c r="A636" s="18" t="str">
        <f t="shared" si="9"/>
        <v>350.1 10 INCH GATE AND GATE BOX</v>
      </c>
      <c r="B636" s="21">
        <v>350.1</v>
      </c>
      <c r="C636" s="22" t="s">
        <v>266</v>
      </c>
      <c r="D636" s="22" t="s">
        <v>2</v>
      </c>
    </row>
    <row r="637" spans="1:4">
      <c r="A637" s="18" t="str">
        <f t="shared" si="9"/>
        <v>350.12 12 INCH GATE AND GATE BOX</v>
      </c>
      <c r="B637" s="21">
        <v>350.12</v>
      </c>
      <c r="C637" s="22" t="s">
        <v>267</v>
      </c>
      <c r="D637" s="22" t="s">
        <v>2</v>
      </c>
    </row>
    <row r="638" spans="1:4" s="26" customFormat="1">
      <c r="A638" s="18" t="str">
        <f t="shared" si="9"/>
        <v>350.16 16 INCH GATE AND GATE BOX</v>
      </c>
      <c r="B638" s="21">
        <v>350.16</v>
      </c>
      <c r="C638" s="22" t="s">
        <v>2294</v>
      </c>
      <c r="D638" s="22" t="s">
        <v>2</v>
      </c>
    </row>
    <row r="639" spans="1:4">
      <c r="A639" s="18" t="str">
        <f t="shared" si="9"/>
        <v>350.18 18 INCH GATE AND GATE BOX</v>
      </c>
      <c r="B639" s="21">
        <v>350.18</v>
      </c>
      <c r="C639" s="22" t="s">
        <v>2295</v>
      </c>
      <c r="D639" s="22" t="s">
        <v>2</v>
      </c>
    </row>
    <row r="640" spans="1:4" s="26" customFormat="1">
      <c r="A640" s="18" t="str">
        <f t="shared" si="9"/>
        <v>350.2 20 INCH GATE AND GATE BOX</v>
      </c>
      <c r="B640" s="19">
        <v>350.2</v>
      </c>
      <c r="C640" s="20" t="s">
        <v>2296</v>
      </c>
      <c r="D640" s="20" t="s">
        <v>2</v>
      </c>
    </row>
    <row r="641" spans="1:4">
      <c r="A641" s="18" t="str">
        <f t="shared" si="9"/>
        <v>350.24 24 INCH GATE AND GATE BOX</v>
      </c>
      <c r="B641" s="19">
        <v>350.24</v>
      </c>
      <c r="C641" s="20" t="s">
        <v>2297</v>
      </c>
      <c r="D641" s="20" t="s">
        <v>2</v>
      </c>
    </row>
    <row r="642" spans="1:4" s="26" customFormat="1">
      <c r="A642" s="18" t="str">
        <f t="shared" ref="A642:A705" si="10">B642&amp;" "&amp;C642</f>
        <v>351.12 12 INCH AND UNDER GATE AND GATE BOX REMOVED AND RESET</v>
      </c>
      <c r="B642" s="19">
        <v>351.12</v>
      </c>
      <c r="C642" s="20" t="s">
        <v>2298</v>
      </c>
      <c r="D642" s="20" t="s">
        <v>2</v>
      </c>
    </row>
    <row r="643" spans="1:4">
      <c r="A643" s="18" t="str">
        <f t="shared" si="10"/>
        <v>351.16 16 INCH  GATE AND GATE BOX REMOVED AND RESET</v>
      </c>
      <c r="B643" s="19">
        <v>351.16</v>
      </c>
      <c r="C643" s="20" t="s">
        <v>2299</v>
      </c>
      <c r="D643" s="20" t="s">
        <v>2</v>
      </c>
    </row>
    <row r="644" spans="1:4" s="26" customFormat="1">
      <c r="A644" s="18" t="str">
        <f t="shared" si="10"/>
        <v>351.18 18 INCH GATE AND GATE BOX REMOVED AND RESET</v>
      </c>
      <c r="B644" s="21">
        <v>351.18</v>
      </c>
      <c r="C644" s="22" t="s">
        <v>2300</v>
      </c>
      <c r="D644" s="22" t="s">
        <v>2</v>
      </c>
    </row>
    <row r="645" spans="1:4">
      <c r="A645" s="18" t="str">
        <f t="shared" si="10"/>
        <v>351.2 20 INCH GATE AND GATE BOX REMOVED AND RESET</v>
      </c>
      <c r="B645" s="21">
        <v>351.2</v>
      </c>
      <c r="C645" s="22" t="s">
        <v>2301</v>
      </c>
      <c r="D645" s="22" t="s">
        <v>2</v>
      </c>
    </row>
    <row r="646" spans="1:4" s="26" customFormat="1">
      <c r="A646" s="18" t="str">
        <f t="shared" si="10"/>
        <v>351.24 24 INCH GATE AND GATE BOX REMOVED AND RESET</v>
      </c>
      <c r="B646" s="21">
        <v>351.24</v>
      </c>
      <c r="C646" s="22" t="s">
        <v>2302</v>
      </c>
      <c r="D646" s="22" t="s">
        <v>2</v>
      </c>
    </row>
    <row r="647" spans="1:4">
      <c r="A647" s="18" t="str">
        <f t="shared" si="10"/>
        <v>354.12 12 INCH AND UNDER GATE BOX REMOVED AND RESET</v>
      </c>
      <c r="B647" s="21">
        <v>354.12</v>
      </c>
      <c r="C647" s="22" t="s">
        <v>2303</v>
      </c>
      <c r="D647" s="22" t="s">
        <v>2</v>
      </c>
    </row>
    <row r="648" spans="1:4" s="26" customFormat="1">
      <c r="A648" s="18" t="str">
        <f t="shared" si="10"/>
        <v>354.16 16 INCH GATE BOX REMOVED AND RESET</v>
      </c>
      <c r="B648" s="21">
        <v>354.16</v>
      </c>
      <c r="C648" s="22" t="s">
        <v>2304</v>
      </c>
      <c r="D648" s="22" t="s">
        <v>2</v>
      </c>
    </row>
    <row r="649" spans="1:4">
      <c r="A649" s="18" t="str">
        <f t="shared" si="10"/>
        <v>354.18 18 INCH GATE BOX REMOVED AND RESET</v>
      </c>
      <c r="B649" s="19">
        <v>354.18</v>
      </c>
      <c r="C649" s="20" t="s">
        <v>2305</v>
      </c>
      <c r="D649" s="20" t="s">
        <v>2</v>
      </c>
    </row>
    <row r="650" spans="1:4" s="26" customFormat="1">
      <c r="A650" s="18" t="str">
        <f t="shared" si="10"/>
        <v>354.2 20 INCH GATE BOX REMOVED AND RESET</v>
      </c>
      <c r="B650" s="19">
        <v>354.2</v>
      </c>
      <c r="C650" s="20" t="s">
        <v>2306</v>
      </c>
      <c r="D650" s="20" t="s">
        <v>2</v>
      </c>
    </row>
    <row r="651" spans="1:4">
      <c r="A651" s="18" t="str">
        <f t="shared" si="10"/>
        <v>354.24 24 INCH GATE BOX REMOVED AND RESET</v>
      </c>
      <c r="B651" s="19">
        <v>354.24</v>
      </c>
      <c r="C651" s="20" t="s">
        <v>2307</v>
      </c>
      <c r="D651" s="20" t="s">
        <v>2</v>
      </c>
    </row>
    <row r="652" spans="1:4" s="26" customFormat="1">
      <c r="A652" s="18" t="str">
        <f t="shared" si="10"/>
        <v>355.06 6 INCH GATE AND GATE BOX REMOVED AND STACKED</v>
      </c>
      <c r="B652" s="19">
        <v>355.06</v>
      </c>
      <c r="C652" s="20" t="s">
        <v>1334</v>
      </c>
      <c r="D652" s="20" t="s">
        <v>2</v>
      </c>
    </row>
    <row r="653" spans="1:4">
      <c r="A653" s="18" t="str">
        <f t="shared" si="10"/>
        <v>355.08 8 INCH GATE AND GATE BOX REMOVED AND STACKED</v>
      </c>
      <c r="B653" s="21">
        <v>355.08</v>
      </c>
      <c r="C653" s="22" t="s">
        <v>1335</v>
      </c>
      <c r="D653" s="22" t="s">
        <v>2</v>
      </c>
    </row>
    <row r="654" spans="1:4" s="26" customFormat="1">
      <c r="A654" s="18" t="str">
        <f t="shared" si="10"/>
        <v>355.1 10 INCH GATE AND GATE BOX REMOVED AND STACKED</v>
      </c>
      <c r="B654" s="19">
        <v>355.1</v>
      </c>
      <c r="C654" s="20" t="s">
        <v>2308</v>
      </c>
      <c r="D654" s="20" t="s">
        <v>2</v>
      </c>
    </row>
    <row r="655" spans="1:4">
      <c r="A655" s="18" t="str">
        <f t="shared" si="10"/>
        <v>356.12 12 INCH BUTTERFLY VALVE AND BOX</v>
      </c>
      <c r="B655" s="21">
        <v>356.12</v>
      </c>
      <c r="C655" s="22" t="s">
        <v>2309</v>
      </c>
      <c r="D655" s="22" t="s">
        <v>2</v>
      </c>
    </row>
    <row r="656" spans="1:4" s="26" customFormat="1">
      <c r="A656" s="18" t="str">
        <f t="shared" si="10"/>
        <v>356.16 16 INCH BUTTERFLY VALVE AND BOX</v>
      </c>
      <c r="B656" s="21">
        <v>356.16</v>
      </c>
      <c r="C656" s="22" t="s">
        <v>2310</v>
      </c>
      <c r="D656" s="22" t="s">
        <v>2</v>
      </c>
    </row>
    <row r="657" spans="1:4">
      <c r="A657" s="18" t="str">
        <f t="shared" si="10"/>
        <v>356.2 20 INCH BUTTERFLY VALVE AND BOX</v>
      </c>
      <c r="B657" s="21">
        <v>356.2</v>
      </c>
      <c r="C657" s="22" t="s">
        <v>2311</v>
      </c>
      <c r="D657" s="22" t="s">
        <v>2</v>
      </c>
    </row>
    <row r="658" spans="1:4" s="26" customFormat="1">
      <c r="A658" s="18" t="str">
        <f t="shared" si="10"/>
        <v>356.24 24 INCH BUTTERFLY VALVE AND BOX</v>
      </c>
      <c r="B658" s="19">
        <v>356.24</v>
      </c>
      <c r="C658" s="20" t="s">
        <v>1336</v>
      </c>
      <c r="D658" s="20" t="s">
        <v>2</v>
      </c>
    </row>
    <row r="659" spans="1:4">
      <c r="A659" s="18" t="str">
        <f t="shared" si="10"/>
        <v>357.04 4 INCH GATE BOX</v>
      </c>
      <c r="B659" s="21">
        <v>357.04</v>
      </c>
      <c r="C659" s="22" t="s">
        <v>2312</v>
      </c>
      <c r="D659" s="22" t="s">
        <v>2</v>
      </c>
    </row>
    <row r="660" spans="1:4" s="26" customFormat="1">
      <c r="A660" s="18" t="str">
        <f t="shared" si="10"/>
        <v>357.06 6 INCH GATE BOX</v>
      </c>
      <c r="B660" s="19">
        <v>357.06</v>
      </c>
      <c r="C660" s="20" t="s">
        <v>268</v>
      </c>
      <c r="D660" s="20" t="s">
        <v>2</v>
      </c>
    </row>
    <row r="661" spans="1:4">
      <c r="A661" s="18" t="str">
        <f t="shared" si="10"/>
        <v>357.08 8 INCH GATE BOX</v>
      </c>
      <c r="B661" s="21">
        <v>357.08</v>
      </c>
      <c r="C661" s="22" t="s">
        <v>269</v>
      </c>
      <c r="D661" s="22" t="s">
        <v>2</v>
      </c>
    </row>
    <row r="662" spans="1:4" s="26" customFormat="1">
      <c r="A662" s="18" t="str">
        <f t="shared" si="10"/>
        <v>357.1 10 INCH GATE BOX</v>
      </c>
      <c r="B662" s="19">
        <v>357.1</v>
      </c>
      <c r="C662" s="20" t="s">
        <v>270</v>
      </c>
      <c r="D662" s="20" t="s">
        <v>2</v>
      </c>
    </row>
    <row r="663" spans="1:4">
      <c r="A663" s="18" t="str">
        <f t="shared" si="10"/>
        <v>357.12 12 INCH GATE BOX</v>
      </c>
      <c r="B663" s="21">
        <v>357.12</v>
      </c>
      <c r="C663" s="22" t="s">
        <v>271</v>
      </c>
      <c r="D663" s="22" t="s">
        <v>2</v>
      </c>
    </row>
    <row r="664" spans="1:4" s="26" customFormat="1">
      <c r="A664" s="18" t="str">
        <f t="shared" si="10"/>
        <v>357.16 16 INCH GATE BOX</v>
      </c>
      <c r="B664" s="21">
        <v>357.16</v>
      </c>
      <c r="C664" s="22" t="s">
        <v>272</v>
      </c>
      <c r="D664" s="22" t="s">
        <v>2</v>
      </c>
    </row>
    <row r="665" spans="1:4">
      <c r="A665" s="18" t="str">
        <f t="shared" si="10"/>
        <v>357.18 18 INCH GATE BOX</v>
      </c>
      <c r="B665" s="19">
        <v>357.18</v>
      </c>
      <c r="C665" s="20" t="s">
        <v>2313</v>
      </c>
      <c r="D665" s="20" t="s">
        <v>2</v>
      </c>
    </row>
    <row r="666" spans="1:4" s="26" customFormat="1">
      <c r="A666" s="18" t="str">
        <f t="shared" si="10"/>
        <v>357.2 20 INCH GATE BOX</v>
      </c>
      <c r="B666" s="19">
        <v>357.2</v>
      </c>
      <c r="C666" s="20" t="s">
        <v>2314</v>
      </c>
      <c r="D666" s="20" t="s">
        <v>2</v>
      </c>
    </row>
    <row r="667" spans="1:4">
      <c r="A667" s="18" t="str">
        <f t="shared" si="10"/>
        <v>357.24 24 INCH GATE BOX</v>
      </c>
      <c r="B667" s="19">
        <v>357.24</v>
      </c>
      <c r="C667" s="20" t="s">
        <v>273</v>
      </c>
      <c r="D667" s="20" t="s">
        <v>2</v>
      </c>
    </row>
    <row r="668" spans="1:4" s="26" customFormat="1">
      <c r="A668" s="18" t="str">
        <f t="shared" si="10"/>
        <v>358 GATE BOX ADJUSTED</v>
      </c>
      <c r="B668" s="19">
        <v>358</v>
      </c>
      <c r="C668" s="20" t="s">
        <v>274</v>
      </c>
      <c r="D668" s="20" t="s">
        <v>2</v>
      </c>
    </row>
    <row r="669" spans="1:4">
      <c r="A669" s="18" t="str">
        <f t="shared" si="10"/>
        <v>358.1 GATE BOX REMOVED AND STACKED</v>
      </c>
      <c r="B669" s="21">
        <v>358.1</v>
      </c>
      <c r="C669" s="22" t="s">
        <v>275</v>
      </c>
      <c r="D669" s="22" t="s">
        <v>2</v>
      </c>
    </row>
    <row r="670" spans="1:4" s="26" customFormat="1">
      <c r="A670" s="18" t="str">
        <f t="shared" si="10"/>
        <v>363.075 3/4 INCH CORPORATION COCK</v>
      </c>
      <c r="B670" s="21">
        <v>363.07499999999999</v>
      </c>
      <c r="C670" s="22" t="s">
        <v>1337</v>
      </c>
      <c r="D670" s="22" t="s">
        <v>2</v>
      </c>
    </row>
    <row r="671" spans="1:4">
      <c r="A671" s="18" t="str">
        <f t="shared" si="10"/>
        <v>363.1 1 INCH CORPORATION COCK</v>
      </c>
      <c r="B671" s="19">
        <v>363.1</v>
      </c>
      <c r="C671" s="20" t="s">
        <v>276</v>
      </c>
      <c r="D671" s="20" t="s">
        <v>2</v>
      </c>
    </row>
    <row r="672" spans="1:4" s="26" customFormat="1">
      <c r="A672" s="18" t="str">
        <f t="shared" si="10"/>
        <v>363.125 1-1/4 INCH CORPORATION COCK</v>
      </c>
      <c r="B672" s="21">
        <v>363.125</v>
      </c>
      <c r="C672" s="22" t="s">
        <v>1338</v>
      </c>
      <c r="D672" s="22" t="s">
        <v>2</v>
      </c>
    </row>
    <row r="673" spans="1:4">
      <c r="A673" s="18" t="str">
        <f t="shared" si="10"/>
        <v>363.15 1-1/2 INCH CORPORATION COCK</v>
      </c>
      <c r="B673" s="21">
        <v>363.15</v>
      </c>
      <c r="C673" s="22" t="s">
        <v>1339</v>
      </c>
      <c r="D673" s="22" t="s">
        <v>2</v>
      </c>
    </row>
    <row r="674" spans="1:4" s="26" customFormat="1">
      <c r="A674" s="18" t="str">
        <f t="shared" si="10"/>
        <v>363.175 1-3/4 INCH CORPORATION COCK</v>
      </c>
      <c r="B674" s="21">
        <v>363.17500000000001</v>
      </c>
      <c r="C674" s="22" t="s">
        <v>1340</v>
      </c>
      <c r="D674" s="22" t="s">
        <v>2</v>
      </c>
    </row>
    <row r="675" spans="1:4">
      <c r="A675" s="18" t="str">
        <f t="shared" si="10"/>
        <v>363.2 2 INCH CORPORATION COCK</v>
      </c>
      <c r="B675" s="21">
        <v>363.2</v>
      </c>
      <c r="C675" s="22" t="s">
        <v>277</v>
      </c>
      <c r="D675" s="22" t="s">
        <v>2</v>
      </c>
    </row>
    <row r="676" spans="1:4" s="26" customFormat="1">
      <c r="A676" s="18" t="str">
        <f t="shared" si="10"/>
        <v>367.04 4 INCH CAST IRON PLUG</v>
      </c>
      <c r="B676" s="19">
        <v>367.04</v>
      </c>
      <c r="C676" s="20" t="s">
        <v>2315</v>
      </c>
      <c r="D676" s="20" t="s">
        <v>2</v>
      </c>
    </row>
    <row r="677" spans="1:4">
      <c r="A677" s="18" t="str">
        <f t="shared" si="10"/>
        <v>367.06 6 INCH CAST IRON PLUG</v>
      </c>
      <c r="B677" s="21">
        <v>367.06</v>
      </c>
      <c r="C677" s="22" t="s">
        <v>278</v>
      </c>
      <c r="D677" s="22" t="s">
        <v>2</v>
      </c>
    </row>
    <row r="678" spans="1:4" s="26" customFormat="1">
      <c r="A678" s="18" t="str">
        <f t="shared" si="10"/>
        <v>367.08 8 INCH CAST IRON PLUG</v>
      </c>
      <c r="B678" s="19">
        <v>367.08</v>
      </c>
      <c r="C678" s="20" t="s">
        <v>279</v>
      </c>
      <c r="D678" s="20" t="s">
        <v>2</v>
      </c>
    </row>
    <row r="679" spans="1:4">
      <c r="A679" s="18" t="str">
        <f t="shared" si="10"/>
        <v>367.1 10 INCH CAST IRON PLUG</v>
      </c>
      <c r="B679" s="19">
        <v>367.1</v>
      </c>
      <c r="C679" s="20" t="s">
        <v>2316</v>
      </c>
      <c r="D679" s="20" t="s">
        <v>2</v>
      </c>
    </row>
    <row r="680" spans="1:4" s="26" customFormat="1">
      <c r="A680" s="18" t="str">
        <f t="shared" si="10"/>
        <v>367.12 12 INCH CAST IRON PLUG</v>
      </c>
      <c r="B680" s="19">
        <v>367.12</v>
      </c>
      <c r="C680" s="20" t="s">
        <v>1341</v>
      </c>
      <c r="D680" s="20" t="s">
        <v>2</v>
      </c>
    </row>
    <row r="681" spans="1:4">
      <c r="A681" s="18" t="str">
        <f t="shared" si="10"/>
        <v>367.16 16 INCH CAST IRON PLUG</v>
      </c>
      <c r="B681" s="19">
        <v>367.16</v>
      </c>
      <c r="C681" s="20" t="s">
        <v>2317</v>
      </c>
      <c r="D681" s="20" t="s">
        <v>2</v>
      </c>
    </row>
    <row r="682" spans="1:4" s="26" customFormat="1">
      <c r="A682" s="18" t="str">
        <f t="shared" si="10"/>
        <v>367.18 18 INCH CAST IRON PLUG</v>
      </c>
      <c r="B682" s="19">
        <v>367.18</v>
      </c>
      <c r="C682" s="20" t="s">
        <v>2318</v>
      </c>
      <c r="D682" s="20" t="s">
        <v>2</v>
      </c>
    </row>
    <row r="683" spans="1:4">
      <c r="A683" s="18" t="str">
        <f t="shared" si="10"/>
        <v>367.2 20 INCH CAST IRON PLUG</v>
      </c>
      <c r="B683" s="21">
        <v>367.2</v>
      </c>
      <c r="C683" s="22" t="s">
        <v>2319</v>
      </c>
      <c r="D683" s="22" t="s">
        <v>2</v>
      </c>
    </row>
    <row r="684" spans="1:4" s="26" customFormat="1">
      <c r="A684" s="18" t="str">
        <f t="shared" si="10"/>
        <v>367.24 24 INCH CAST IRON PLUG</v>
      </c>
      <c r="B684" s="21">
        <v>367.24</v>
      </c>
      <c r="C684" s="22" t="s">
        <v>2320</v>
      </c>
      <c r="D684" s="22" t="s">
        <v>2</v>
      </c>
    </row>
    <row r="685" spans="1:4">
      <c r="A685" s="18" t="str">
        <f t="shared" si="10"/>
        <v>369.03 3 X 3 INCH TAPPING SLEEVE, VALVE AND BOX</v>
      </c>
      <c r="B685" s="21">
        <v>369.03</v>
      </c>
      <c r="C685" s="22" t="s">
        <v>2321</v>
      </c>
      <c r="D685" s="22" t="s">
        <v>2</v>
      </c>
    </row>
    <row r="686" spans="1:4" s="26" customFormat="1">
      <c r="A686" s="18" t="str">
        <f t="shared" si="10"/>
        <v>369.06 6 X 6 INCH TAPPING SLEEVE, VALVE AND BOX</v>
      </c>
      <c r="B686" s="19">
        <v>369.06</v>
      </c>
      <c r="C686" s="20" t="s">
        <v>2322</v>
      </c>
      <c r="D686" s="20" t="s">
        <v>2</v>
      </c>
    </row>
    <row r="687" spans="1:4">
      <c r="A687" s="18" t="str">
        <f t="shared" si="10"/>
        <v>369.08 8 X 8 INCH TAPPING SLEEVE, VALVE AND BOX</v>
      </c>
      <c r="B687" s="19">
        <v>369.08</v>
      </c>
      <c r="C687" s="20" t="s">
        <v>280</v>
      </c>
      <c r="D687" s="20" t="s">
        <v>2</v>
      </c>
    </row>
    <row r="688" spans="1:4" s="26" customFormat="1">
      <c r="A688" s="18" t="str">
        <f t="shared" si="10"/>
        <v>369.1 10 X 10 INCH TAPPING SLEEVE, VALVE AND BOX</v>
      </c>
      <c r="B688" s="19">
        <v>369.1</v>
      </c>
      <c r="C688" s="20" t="s">
        <v>2323</v>
      </c>
      <c r="D688" s="20" t="s">
        <v>2</v>
      </c>
    </row>
    <row r="689" spans="1:4">
      <c r="A689" s="18" t="str">
        <f t="shared" si="10"/>
        <v>369.12 12 X 12 INCH TAPPING SLEEVE, VALVE AND BOX</v>
      </c>
      <c r="B689" s="21">
        <v>369.12</v>
      </c>
      <c r="C689" s="22" t="s">
        <v>281</v>
      </c>
      <c r="D689" s="22" t="s">
        <v>2</v>
      </c>
    </row>
    <row r="690" spans="1:4" s="26" customFormat="1">
      <c r="A690" s="18" t="str">
        <f t="shared" si="10"/>
        <v>369.14 14 X 14 INCH TAPPING SLEEVE, VALVE AND BOX</v>
      </c>
      <c r="B690" s="21">
        <v>369.14</v>
      </c>
      <c r="C690" s="22" t="s">
        <v>2324</v>
      </c>
      <c r="D690" s="22" t="s">
        <v>2</v>
      </c>
    </row>
    <row r="691" spans="1:4">
      <c r="A691" s="18" t="str">
        <f t="shared" si="10"/>
        <v>369.16 16 X 16 INCH TAPPING SLEEVE, VALVE AND BOX</v>
      </c>
      <c r="B691" s="21">
        <v>369.16</v>
      </c>
      <c r="C691" s="22" t="s">
        <v>2325</v>
      </c>
      <c r="D691" s="22" t="s">
        <v>2</v>
      </c>
    </row>
    <row r="692" spans="1:4" s="26" customFormat="1">
      <c r="A692" s="18" t="str">
        <f t="shared" si="10"/>
        <v>369.18 18 X 18 INCH TAPPING SLEEVE, VALVE AND BOX</v>
      </c>
      <c r="B692" s="19">
        <v>369.18</v>
      </c>
      <c r="C692" s="20" t="s">
        <v>2326</v>
      </c>
      <c r="D692" s="20" t="s">
        <v>2</v>
      </c>
    </row>
    <row r="693" spans="1:4">
      <c r="A693" s="18" t="str">
        <f t="shared" si="10"/>
        <v>369.2 20 X 20 INCH TAPPING SLEEVE, VALVE AND BOX</v>
      </c>
      <c r="B693" s="19">
        <v>369.2</v>
      </c>
      <c r="C693" s="20" t="s">
        <v>2327</v>
      </c>
      <c r="D693" s="20" t="s">
        <v>2</v>
      </c>
    </row>
    <row r="694" spans="1:4" s="26" customFormat="1">
      <c r="A694" s="18" t="str">
        <f t="shared" si="10"/>
        <v>369.24 24 X 24 INCH TAPPING SLEEVE, VALVE AND BOX</v>
      </c>
      <c r="B694" s="19">
        <v>369.24</v>
      </c>
      <c r="C694" s="20" t="s">
        <v>1342</v>
      </c>
      <c r="D694" s="20" t="s">
        <v>2</v>
      </c>
    </row>
    <row r="695" spans="1:4">
      <c r="A695" s="18" t="str">
        <f t="shared" si="10"/>
        <v>370 6 X 3 INCH TAPPING SLEEVE, VALVE AND BOX</v>
      </c>
      <c r="B695" s="21">
        <v>370</v>
      </c>
      <c r="C695" s="22" t="s">
        <v>2328</v>
      </c>
      <c r="D695" s="22" t="s">
        <v>2</v>
      </c>
    </row>
    <row r="696" spans="1:4" s="26" customFormat="1">
      <c r="A696" s="18" t="str">
        <f t="shared" si="10"/>
        <v>370.1 8 X 6 INCH TAPPING SLEEVE, VALVE AND BOX</v>
      </c>
      <c r="B696" s="21">
        <v>370.1</v>
      </c>
      <c r="C696" s="22" t="s">
        <v>282</v>
      </c>
      <c r="D696" s="22" t="s">
        <v>2</v>
      </c>
    </row>
    <row r="697" spans="1:4">
      <c r="A697" s="18" t="str">
        <f t="shared" si="10"/>
        <v>370.2 10 X 6 INCH TAPPING SLEEVE, VALVE AND BOX</v>
      </c>
      <c r="B697" s="19">
        <v>370.2</v>
      </c>
      <c r="C697" s="20" t="s">
        <v>1343</v>
      </c>
      <c r="D697" s="20" t="s">
        <v>2</v>
      </c>
    </row>
    <row r="698" spans="1:4" s="26" customFormat="1">
      <c r="A698" s="18" t="str">
        <f t="shared" si="10"/>
        <v>370.3 10 X 8 INCH TAPPING SLEEVE, VALVE AND BOX</v>
      </c>
      <c r="B698" s="21">
        <v>370.3</v>
      </c>
      <c r="C698" s="22" t="s">
        <v>2329</v>
      </c>
      <c r="D698" s="22" t="s">
        <v>2</v>
      </c>
    </row>
    <row r="699" spans="1:4">
      <c r="A699" s="18" t="str">
        <f t="shared" si="10"/>
        <v>370.4 12 X 6 INCH TAPPING SLEEVE, VALVE AND BOX</v>
      </c>
      <c r="B699" s="21">
        <v>370.4</v>
      </c>
      <c r="C699" s="22" t="s">
        <v>283</v>
      </c>
      <c r="D699" s="22" t="s">
        <v>2</v>
      </c>
    </row>
    <row r="700" spans="1:4" s="26" customFormat="1">
      <c r="A700" s="18" t="str">
        <f t="shared" si="10"/>
        <v>370.5 12 X 8 INCH TAPPING SLEEVE, VALVE AND BOX</v>
      </c>
      <c r="B700" s="19">
        <v>370.5</v>
      </c>
      <c r="C700" s="20" t="s">
        <v>1344</v>
      </c>
      <c r="D700" s="20" t="s">
        <v>2</v>
      </c>
    </row>
    <row r="701" spans="1:4">
      <c r="A701" s="18" t="str">
        <f t="shared" si="10"/>
        <v>370.6 12 X 10 INCH TAPPING SLEEVE, VALVE AND BOX</v>
      </c>
      <c r="B701" s="21">
        <v>370.6</v>
      </c>
      <c r="C701" s="22" t="s">
        <v>2330</v>
      </c>
      <c r="D701" s="22" t="s">
        <v>2</v>
      </c>
    </row>
    <row r="702" spans="1:4" s="26" customFormat="1">
      <c r="A702" s="18" t="str">
        <f t="shared" si="10"/>
        <v>370.7 14 X 8 INCH TAPPING SLEEVE, VALVE AND BOX</v>
      </c>
      <c r="B702" s="19">
        <v>370.7</v>
      </c>
      <c r="C702" s="20" t="s">
        <v>2331</v>
      </c>
      <c r="D702" s="20" t="s">
        <v>2</v>
      </c>
    </row>
    <row r="703" spans="1:4">
      <c r="A703" s="18" t="str">
        <f t="shared" si="10"/>
        <v>370.8 14 X 10 INCH TAPPING SLEEVE, VALVE AND BOX</v>
      </c>
      <c r="B703" s="19">
        <v>370.8</v>
      </c>
      <c r="C703" s="20" t="s">
        <v>2332</v>
      </c>
      <c r="D703" s="20" t="s">
        <v>2</v>
      </c>
    </row>
    <row r="704" spans="1:4" s="26" customFormat="1">
      <c r="A704" s="18" t="str">
        <f t="shared" si="10"/>
        <v>370.9 14 X 12 INCH TAPPING SLEEVE, VALVE AND BOX</v>
      </c>
      <c r="B704" s="21">
        <v>370.9</v>
      </c>
      <c r="C704" s="22" t="s">
        <v>2333</v>
      </c>
      <c r="D704" s="22" t="s">
        <v>2</v>
      </c>
    </row>
    <row r="705" spans="1:4">
      <c r="A705" s="18" t="str">
        <f t="shared" si="10"/>
        <v>371.03 3 INCH COUPLING</v>
      </c>
      <c r="B705" s="19">
        <v>371.03</v>
      </c>
      <c r="C705" s="20" t="s">
        <v>2334</v>
      </c>
      <c r="D705" s="20" t="s">
        <v>2</v>
      </c>
    </row>
    <row r="706" spans="1:4" s="26" customFormat="1">
      <c r="A706" s="18" t="str">
        <f t="shared" ref="A706:A769" si="11">B706&amp;" "&amp;C706</f>
        <v>371.04 4 INCH COUPLING</v>
      </c>
      <c r="B706" s="21">
        <v>371.04</v>
      </c>
      <c r="C706" s="22" t="s">
        <v>284</v>
      </c>
      <c r="D706" s="22" t="s">
        <v>2</v>
      </c>
    </row>
    <row r="707" spans="1:4">
      <c r="A707" s="18" t="str">
        <f t="shared" si="11"/>
        <v>371.06 6 INCH COUPLING</v>
      </c>
      <c r="B707" s="19">
        <v>371.06</v>
      </c>
      <c r="C707" s="20" t="s">
        <v>285</v>
      </c>
      <c r="D707" s="20" t="s">
        <v>2</v>
      </c>
    </row>
    <row r="708" spans="1:4" s="26" customFormat="1">
      <c r="A708" s="18" t="str">
        <f t="shared" si="11"/>
        <v>371.08 8 INCH COUPLING</v>
      </c>
      <c r="B708" s="21">
        <v>371.08</v>
      </c>
      <c r="C708" s="22" t="s">
        <v>286</v>
      </c>
      <c r="D708" s="22" t="s">
        <v>2</v>
      </c>
    </row>
    <row r="709" spans="1:4">
      <c r="A709" s="18" t="str">
        <f t="shared" si="11"/>
        <v>371.1 10 INCH COUPLING</v>
      </c>
      <c r="B709" s="21">
        <v>371.1</v>
      </c>
      <c r="C709" s="22" t="s">
        <v>2335</v>
      </c>
      <c r="D709" s="22" t="s">
        <v>2</v>
      </c>
    </row>
    <row r="710" spans="1:4" s="26" customFormat="1">
      <c r="A710" s="18" t="str">
        <f t="shared" si="11"/>
        <v>371.12 12 INCH COUPLING</v>
      </c>
      <c r="B710" s="21">
        <v>371.12</v>
      </c>
      <c r="C710" s="22" t="s">
        <v>287</v>
      </c>
      <c r="D710" s="22" t="s">
        <v>2</v>
      </c>
    </row>
    <row r="711" spans="1:4">
      <c r="A711" s="18" t="str">
        <f t="shared" si="11"/>
        <v>371.16 16 INCH COUPLING</v>
      </c>
      <c r="B711" s="19">
        <v>371.16</v>
      </c>
      <c r="C711" s="20" t="s">
        <v>1345</v>
      </c>
      <c r="D711" s="20" t="s">
        <v>2</v>
      </c>
    </row>
    <row r="712" spans="1:4" s="26" customFormat="1">
      <c r="A712" s="18" t="str">
        <f t="shared" si="11"/>
        <v>371.18 18 INCH COUPLING</v>
      </c>
      <c r="B712" s="21">
        <v>371.18</v>
      </c>
      <c r="C712" s="22" t="s">
        <v>1346</v>
      </c>
      <c r="D712" s="22" t="s">
        <v>2</v>
      </c>
    </row>
    <row r="713" spans="1:4">
      <c r="A713" s="18" t="str">
        <f t="shared" si="11"/>
        <v>371.2 20 INCH COUPLING</v>
      </c>
      <c r="B713" s="19">
        <v>371.2</v>
      </c>
      <c r="C713" s="20" t="s">
        <v>2336</v>
      </c>
      <c r="D713" s="20" t="s">
        <v>2</v>
      </c>
    </row>
    <row r="714" spans="1:4" s="26" customFormat="1">
      <c r="A714" s="18" t="str">
        <f t="shared" si="11"/>
        <v>371.24 24 INCH COUPLING</v>
      </c>
      <c r="B714" s="19">
        <v>371.24</v>
      </c>
      <c r="C714" s="20" t="s">
        <v>1347</v>
      </c>
      <c r="D714" s="20" t="s">
        <v>2</v>
      </c>
    </row>
    <row r="715" spans="1:4">
      <c r="A715" s="18" t="str">
        <f t="shared" si="11"/>
        <v>373.04 4 INCH WATER PIPE INSULATION</v>
      </c>
      <c r="B715" s="19">
        <v>373.04</v>
      </c>
      <c r="C715" s="20" t="s">
        <v>1348</v>
      </c>
      <c r="D715" s="20" t="s">
        <v>17</v>
      </c>
    </row>
    <row r="716" spans="1:4" s="26" customFormat="1">
      <c r="A716" s="18" t="str">
        <f t="shared" si="11"/>
        <v>373.06 6 INCH WATER PIPE INSULATION</v>
      </c>
      <c r="B716" s="21">
        <v>373.06</v>
      </c>
      <c r="C716" s="22" t="s">
        <v>1349</v>
      </c>
      <c r="D716" s="22" t="s">
        <v>17</v>
      </c>
    </row>
    <row r="717" spans="1:4">
      <c r="A717" s="18" t="str">
        <f t="shared" si="11"/>
        <v>373.08 8 INCH WATER PIPE INSULATION</v>
      </c>
      <c r="B717" s="19">
        <v>373.08</v>
      </c>
      <c r="C717" s="20" t="s">
        <v>288</v>
      </c>
      <c r="D717" s="20" t="s">
        <v>17</v>
      </c>
    </row>
    <row r="718" spans="1:4" s="26" customFormat="1">
      <c r="A718" s="18" t="str">
        <f t="shared" si="11"/>
        <v>373.1 10 INCH WATER PIPE INSULATION</v>
      </c>
      <c r="B718" s="21">
        <v>373.1</v>
      </c>
      <c r="C718" s="22" t="s">
        <v>2337</v>
      </c>
      <c r="D718" s="22" t="s">
        <v>17</v>
      </c>
    </row>
    <row r="719" spans="1:4">
      <c r="A719" s="18" t="str">
        <f t="shared" si="11"/>
        <v>373.12 12 INCH WATER PIPE INSULATION</v>
      </c>
      <c r="B719" s="21">
        <v>373.12</v>
      </c>
      <c r="C719" s="22" t="s">
        <v>289</v>
      </c>
      <c r="D719" s="22" t="s">
        <v>17</v>
      </c>
    </row>
    <row r="720" spans="1:4" s="26" customFormat="1">
      <c r="A720" s="18" t="str">
        <f t="shared" si="11"/>
        <v>373.16 16 INCH WATER PIPE INSULATION</v>
      </c>
      <c r="B720" s="21">
        <v>373.16</v>
      </c>
      <c r="C720" s="22" t="s">
        <v>2338</v>
      </c>
      <c r="D720" s="22" t="s">
        <v>17</v>
      </c>
    </row>
    <row r="721" spans="1:4">
      <c r="A721" s="18" t="str">
        <f t="shared" si="11"/>
        <v>373.18 18 INCH WATER PIPE INSULATION</v>
      </c>
      <c r="B721" s="19">
        <v>373.18</v>
      </c>
      <c r="C721" s="20" t="s">
        <v>2339</v>
      </c>
      <c r="D721" s="20" t="s">
        <v>17</v>
      </c>
    </row>
    <row r="722" spans="1:4" s="26" customFormat="1">
      <c r="A722" s="18" t="str">
        <f t="shared" si="11"/>
        <v>373.2 20 INCH WATER PIPE INSULATION</v>
      </c>
      <c r="B722" s="19">
        <v>373.2</v>
      </c>
      <c r="C722" s="20" t="s">
        <v>2340</v>
      </c>
      <c r="D722" s="20" t="s">
        <v>17</v>
      </c>
    </row>
    <row r="723" spans="1:4">
      <c r="A723" s="18" t="str">
        <f t="shared" si="11"/>
        <v>373.24 24 INCH WATER PIPE INSULATION</v>
      </c>
      <c r="B723" s="19">
        <v>373.24</v>
      </c>
      <c r="C723" s="20" t="s">
        <v>1350</v>
      </c>
      <c r="D723" s="20" t="s">
        <v>17</v>
      </c>
    </row>
    <row r="724" spans="1:4" s="26" customFormat="1">
      <c r="A724" s="18" t="str">
        <f t="shared" si="11"/>
        <v>375.04 4 INCH INSERTION VALVE AND BOX</v>
      </c>
      <c r="B724" s="21">
        <v>375.04</v>
      </c>
      <c r="C724" s="22" t="s">
        <v>1351</v>
      </c>
      <c r="D724" s="22" t="s">
        <v>2</v>
      </c>
    </row>
    <row r="725" spans="1:4">
      <c r="A725" s="18" t="str">
        <f t="shared" si="11"/>
        <v>375.06 6 INCH INSERTION VALVE AND BOX</v>
      </c>
      <c r="B725" s="21">
        <v>375.06</v>
      </c>
      <c r="C725" s="22" t="s">
        <v>1352</v>
      </c>
      <c r="D725" s="22" t="s">
        <v>2</v>
      </c>
    </row>
    <row r="726" spans="1:4" s="26" customFormat="1">
      <c r="A726" s="18" t="str">
        <f t="shared" si="11"/>
        <v>375.08 8 INCH INSERTION VALVE AND BOX</v>
      </c>
      <c r="B726" s="19">
        <v>375.08</v>
      </c>
      <c r="C726" s="20" t="s">
        <v>1353</v>
      </c>
      <c r="D726" s="20" t="s">
        <v>2</v>
      </c>
    </row>
    <row r="727" spans="1:4">
      <c r="A727" s="18" t="str">
        <f t="shared" si="11"/>
        <v>375.1 10 INCH INSERTION VALVE AND BOX</v>
      </c>
      <c r="B727" s="19">
        <v>375.1</v>
      </c>
      <c r="C727" s="20" t="s">
        <v>2341</v>
      </c>
      <c r="D727" s="20" t="s">
        <v>2</v>
      </c>
    </row>
    <row r="728" spans="1:4" s="26" customFormat="1">
      <c r="A728" s="18" t="str">
        <f t="shared" si="11"/>
        <v>375.12 12 INCH INSERTION VALVE AND BOX</v>
      </c>
      <c r="B728" s="21">
        <v>375.12</v>
      </c>
      <c r="C728" s="22" t="s">
        <v>1354</v>
      </c>
      <c r="D728" s="22" t="s">
        <v>2</v>
      </c>
    </row>
    <row r="729" spans="1:4">
      <c r="A729" s="18" t="str">
        <f t="shared" si="11"/>
        <v>376 HYDRANT</v>
      </c>
      <c r="B729" s="21">
        <v>376</v>
      </c>
      <c r="C729" s="22" t="s">
        <v>290</v>
      </c>
      <c r="D729" s="22" t="s">
        <v>2</v>
      </c>
    </row>
    <row r="730" spans="1:4" s="26" customFormat="1">
      <c r="A730" s="18" t="str">
        <f t="shared" si="11"/>
        <v>376.1 HYDRANT - EXCLUDING COST OF HYDRANT</v>
      </c>
      <c r="B730" s="19">
        <v>376.1</v>
      </c>
      <c r="C730" s="20" t="s">
        <v>291</v>
      </c>
      <c r="D730" s="20" t="s">
        <v>2</v>
      </c>
    </row>
    <row r="731" spans="1:4">
      <c r="A731" s="18" t="str">
        <f t="shared" si="11"/>
        <v>376.2 HYDRANT - REMOVED AND RESET</v>
      </c>
      <c r="B731" s="21">
        <v>376.2</v>
      </c>
      <c r="C731" s="22" t="s">
        <v>292</v>
      </c>
      <c r="D731" s="22" t="s">
        <v>2</v>
      </c>
    </row>
    <row r="732" spans="1:4" s="26" customFormat="1">
      <c r="A732" s="18" t="str">
        <f t="shared" si="11"/>
        <v>376.3 HYDRANT - REMOVED AND STACKED</v>
      </c>
      <c r="B732" s="19">
        <v>376.3</v>
      </c>
      <c r="C732" s="20" t="s">
        <v>293</v>
      </c>
      <c r="D732" s="20" t="s">
        <v>2</v>
      </c>
    </row>
    <row r="733" spans="1:4">
      <c r="A733" s="18" t="str">
        <f t="shared" si="11"/>
        <v>376.5 HYDRANT - ADJUSTED</v>
      </c>
      <c r="B733" s="21">
        <v>376.5</v>
      </c>
      <c r="C733" s="22" t="s">
        <v>294</v>
      </c>
      <c r="D733" s="22" t="s">
        <v>2</v>
      </c>
    </row>
    <row r="734" spans="1:4" s="26" customFormat="1">
      <c r="A734" s="18" t="str">
        <f t="shared" si="11"/>
        <v>379.1 1 INCH AIR RELEASE VALVE</v>
      </c>
      <c r="B734" s="21">
        <v>379.1</v>
      </c>
      <c r="C734" s="22" t="s">
        <v>1355</v>
      </c>
      <c r="D734" s="22" t="s">
        <v>2</v>
      </c>
    </row>
    <row r="735" spans="1:4">
      <c r="A735" s="18" t="str">
        <f t="shared" si="11"/>
        <v>379.15 1-1/2 INCH AIR RELEASE VALVE</v>
      </c>
      <c r="B735" s="19">
        <v>379.15</v>
      </c>
      <c r="C735" s="20" t="s">
        <v>2342</v>
      </c>
      <c r="D735" s="20" t="s">
        <v>2</v>
      </c>
    </row>
    <row r="736" spans="1:4" s="26" customFormat="1">
      <c r="A736" s="18" t="str">
        <f t="shared" si="11"/>
        <v>381 SERVICE BOX</v>
      </c>
      <c r="B736" s="19">
        <v>381</v>
      </c>
      <c r="C736" s="20" t="s">
        <v>295</v>
      </c>
      <c r="D736" s="20" t="s">
        <v>2</v>
      </c>
    </row>
    <row r="737" spans="1:4">
      <c r="A737" s="18" t="str">
        <f t="shared" si="11"/>
        <v>381.01 SERVICE BOX (MUNICIPAL STANDARD)</v>
      </c>
      <c r="B737" s="21">
        <v>381.01</v>
      </c>
      <c r="C737" s="22" t="s">
        <v>296</v>
      </c>
      <c r="D737" s="22" t="s">
        <v>2</v>
      </c>
    </row>
    <row r="738" spans="1:4" s="26" customFormat="1">
      <c r="A738" s="18" t="str">
        <f t="shared" si="11"/>
        <v>381.1 SERVICE BOX REMOVED AND RESET</v>
      </c>
      <c r="B738" s="19">
        <v>381.1</v>
      </c>
      <c r="C738" s="20" t="s">
        <v>39</v>
      </c>
      <c r="D738" s="20" t="s">
        <v>2</v>
      </c>
    </row>
    <row r="739" spans="1:4">
      <c r="A739" s="18" t="str">
        <f t="shared" si="11"/>
        <v>381.2 SERVICE BOX REMOVED AND STACKED</v>
      </c>
      <c r="B739" s="21">
        <v>381.2</v>
      </c>
      <c r="C739" s="22" t="s">
        <v>297</v>
      </c>
      <c r="D739" s="22" t="s">
        <v>2</v>
      </c>
    </row>
    <row r="740" spans="1:4" s="26" customFormat="1">
      <c r="A740" s="18" t="str">
        <f t="shared" si="11"/>
        <v>381.3 SERVICE BOX ADJUSTED</v>
      </c>
      <c r="B740" s="19">
        <v>381.3</v>
      </c>
      <c r="C740" s="20" t="s">
        <v>298</v>
      </c>
      <c r="D740" s="20" t="s">
        <v>2</v>
      </c>
    </row>
    <row r="741" spans="1:4">
      <c r="A741" s="18" t="str">
        <f t="shared" si="11"/>
        <v>382 METER BOX</v>
      </c>
      <c r="B741" s="19">
        <v>382</v>
      </c>
      <c r="C741" s="20" t="s">
        <v>2343</v>
      </c>
      <c r="D741" s="20" t="s">
        <v>2</v>
      </c>
    </row>
    <row r="742" spans="1:4" s="26" customFormat="1">
      <c r="A742" s="18" t="str">
        <f t="shared" si="11"/>
        <v>382.1 METER BOX REMOVED AND RESET</v>
      </c>
      <c r="B742" s="21">
        <v>382.1</v>
      </c>
      <c r="C742" s="22" t="s">
        <v>2344</v>
      </c>
      <c r="D742" s="22" t="s">
        <v>2</v>
      </c>
    </row>
    <row r="743" spans="1:4">
      <c r="A743" s="18" t="str">
        <f t="shared" si="11"/>
        <v>382.2 METER BOX REMOVED AND STACKED</v>
      </c>
      <c r="B743" s="21">
        <v>382.2</v>
      </c>
      <c r="C743" s="22" t="s">
        <v>2345</v>
      </c>
      <c r="D743" s="22" t="s">
        <v>2</v>
      </c>
    </row>
    <row r="744" spans="1:4" s="26" customFormat="1">
      <c r="A744" s="18" t="str">
        <f t="shared" si="11"/>
        <v>382.3 METER BOX ADJUSTED</v>
      </c>
      <c r="B744" s="19">
        <v>382.3</v>
      </c>
      <c r="C744" s="20" t="s">
        <v>2346</v>
      </c>
      <c r="D744" s="20" t="s">
        <v>2</v>
      </c>
    </row>
    <row r="745" spans="1:4">
      <c r="A745" s="18" t="str">
        <f t="shared" si="11"/>
        <v>383 METER CHAMBER</v>
      </c>
      <c r="B745" s="21">
        <v>383</v>
      </c>
      <c r="C745" s="22" t="s">
        <v>2347</v>
      </c>
      <c r="D745" s="22" t="s">
        <v>2</v>
      </c>
    </row>
    <row r="746" spans="1:4" s="26" customFormat="1">
      <c r="A746" s="18" t="str">
        <f t="shared" si="11"/>
        <v>383.2 METER CHAMBER ADJUSTED</v>
      </c>
      <c r="B746" s="19">
        <v>383.2</v>
      </c>
      <c r="C746" s="20" t="s">
        <v>2348</v>
      </c>
      <c r="D746" s="20" t="s">
        <v>2</v>
      </c>
    </row>
    <row r="747" spans="1:4">
      <c r="A747" s="18" t="str">
        <f t="shared" si="11"/>
        <v>383.3 METER CHAMBER REMOVED AND RESET</v>
      </c>
      <c r="B747" s="21">
        <v>383.3</v>
      </c>
      <c r="C747" s="22" t="s">
        <v>2349</v>
      </c>
      <c r="D747" s="22" t="s">
        <v>22</v>
      </c>
    </row>
    <row r="748" spans="1:4" s="26" customFormat="1">
      <c r="A748" s="18" t="str">
        <f t="shared" si="11"/>
        <v>384 CURB STOP</v>
      </c>
      <c r="B748" s="21">
        <v>384</v>
      </c>
      <c r="C748" s="22" t="s">
        <v>299</v>
      </c>
      <c r="D748" s="22" t="s">
        <v>2</v>
      </c>
    </row>
    <row r="749" spans="1:4">
      <c r="A749" s="18" t="str">
        <f t="shared" si="11"/>
        <v>384.1 CURB STOP REMOVED AND RESET</v>
      </c>
      <c r="B749" s="19">
        <v>384.1</v>
      </c>
      <c r="C749" s="20" t="s">
        <v>1356</v>
      </c>
      <c r="D749" s="20" t="s">
        <v>2</v>
      </c>
    </row>
    <row r="750" spans="1:4" s="26" customFormat="1">
      <c r="A750" s="18" t="str">
        <f t="shared" si="11"/>
        <v>384.2 CURB STOP BOX ADJUSTED</v>
      </c>
      <c r="B750" s="19">
        <v>384.2</v>
      </c>
      <c r="C750" s="20" t="s">
        <v>1357</v>
      </c>
      <c r="D750" s="20" t="s">
        <v>2</v>
      </c>
    </row>
    <row r="751" spans="1:4">
      <c r="A751" s="18" t="str">
        <f t="shared" si="11"/>
        <v>387 BLOW-OFF CHAMBER</v>
      </c>
      <c r="B751" s="19">
        <v>387</v>
      </c>
      <c r="C751" s="20" t="s">
        <v>300</v>
      </c>
      <c r="D751" s="20" t="s">
        <v>2</v>
      </c>
    </row>
    <row r="752" spans="1:4" s="26" customFormat="1">
      <c r="A752" s="18" t="str">
        <f t="shared" si="11"/>
        <v>388 AIR VALVE CHAMBER</v>
      </c>
      <c r="B752" s="21">
        <v>388</v>
      </c>
      <c r="C752" s="22" t="s">
        <v>1358</v>
      </c>
      <c r="D752" s="22" t="s">
        <v>2</v>
      </c>
    </row>
    <row r="753" spans="1:4">
      <c r="A753" s="18" t="str">
        <f t="shared" si="11"/>
        <v>389 DRINKING FOUNTAIN</v>
      </c>
      <c r="B753" s="19">
        <v>389</v>
      </c>
      <c r="C753" s="20" t="s">
        <v>2350</v>
      </c>
      <c r="D753" s="20" t="s">
        <v>2</v>
      </c>
    </row>
    <row r="754" spans="1:4" s="26" customFormat="1">
      <c r="A754" s="18" t="str">
        <f t="shared" si="11"/>
        <v>389.1 DRINKING FOUNTAIN REMOVED AND RESET</v>
      </c>
      <c r="B754" s="19">
        <v>389.1</v>
      </c>
      <c r="C754" s="20" t="s">
        <v>2351</v>
      </c>
      <c r="D754" s="20" t="s">
        <v>2</v>
      </c>
    </row>
    <row r="755" spans="1:4">
      <c r="A755" s="18" t="str">
        <f t="shared" si="11"/>
        <v>402 DENSE GRADED CRUSHED STONE FOR SUB-BASE</v>
      </c>
      <c r="B755" s="21">
        <v>402</v>
      </c>
      <c r="C755" s="22" t="s">
        <v>301</v>
      </c>
      <c r="D755" s="22" t="s">
        <v>4</v>
      </c>
    </row>
    <row r="756" spans="1:4" s="26" customFormat="1">
      <c r="A756" s="18" t="str">
        <f t="shared" si="11"/>
        <v>402.1 DENSE GRADED CRUSHED STONE FOR SUB-BASE</v>
      </c>
      <c r="B756" s="21">
        <v>402.1</v>
      </c>
      <c r="C756" s="22" t="s">
        <v>301</v>
      </c>
      <c r="D756" s="22" t="s">
        <v>7</v>
      </c>
    </row>
    <row r="757" spans="1:4">
      <c r="A757" s="18" t="str">
        <f t="shared" si="11"/>
        <v>402.11 DENSE GRADED CRUSHED STONE FOR SHOULDERS</v>
      </c>
      <c r="B757" s="21">
        <v>402.11</v>
      </c>
      <c r="C757" s="22" t="s">
        <v>302</v>
      </c>
      <c r="D757" s="22" t="s">
        <v>7</v>
      </c>
    </row>
    <row r="758" spans="1:4" s="26" customFormat="1">
      <c r="A758" s="18" t="str">
        <f t="shared" si="11"/>
        <v>402.12 DENSE GRADED CRUSHED STONE FOR SHOULDERS</v>
      </c>
      <c r="B758" s="19">
        <v>402.12</v>
      </c>
      <c r="C758" s="20" t="s">
        <v>302</v>
      </c>
      <c r="D758" s="20" t="s">
        <v>4</v>
      </c>
    </row>
    <row r="759" spans="1:4">
      <c r="A759" s="18" t="str">
        <f t="shared" si="11"/>
        <v>402.13 PAVEMENT MILLING MULCH FOR SHOULDERS</v>
      </c>
      <c r="B759" s="21">
        <v>402.13</v>
      </c>
      <c r="C759" s="22" t="s">
        <v>1359</v>
      </c>
      <c r="D759" s="22" t="s">
        <v>17</v>
      </c>
    </row>
    <row r="760" spans="1:4" s="26" customFormat="1">
      <c r="A760" s="18" t="str">
        <f t="shared" si="11"/>
        <v>403 RECLAIMED PAVEMENT FOR BASE COURSE AND/OR SUB-BASE</v>
      </c>
      <c r="B760" s="21">
        <v>403</v>
      </c>
      <c r="C760" s="22" t="s">
        <v>303</v>
      </c>
      <c r="D760" s="22" t="s">
        <v>1</v>
      </c>
    </row>
    <row r="761" spans="1:4">
      <c r="A761" s="18" t="str">
        <f t="shared" si="11"/>
        <v>403.1 CRUSHED STONE FOR BLENDING</v>
      </c>
      <c r="B761" s="19">
        <v>403.1</v>
      </c>
      <c r="C761" s="20" t="s">
        <v>304</v>
      </c>
      <c r="D761" s="20" t="s">
        <v>7</v>
      </c>
    </row>
    <row r="762" spans="1:4" s="26" customFormat="1">
      <c r="A762" s="18" t="str">
        <f t="shared" si="11"/>
        <v>404 PRE-TREATED CRUSHED STONE</v>
      </c>
      <c r="B762" s="19">
        <v>404</v>
      </c>
      <c r="C762" s="20" t="s">
        <v>2352</v>
      </c>
      <c r="D762" s="20" t="s">
        <v>7</v>
      </c>
    </row>
    <row r="763" spans="1:4">
      <c r="A763" s="18" t="str">
        <f t="shared" si="11"/>
        <v>404.5 RECLAIMED PAVEMENT BORROW MATERIAL</v>
      </c>
      <c r="B763" s="19">
        <v>404.5</v>
      </c>
      <c r="C763" s="20" t="s">
        <v>2353</v>
      </c>
      <c r="D763" s="20" t="s">
        <v>4</v>
      </c>
    </row>
    <row r="764" spans="1:4" s="26" customFormat="1">
      <c r="A764" s="18" t="str">
        <f t="shared" si="11"/>
        <v>415.1 PAVEMENT STANDARD MILLING</v>
      </c>
      <c r="B764" s="21">
        <v>415.1</v>
      </c>
      <c r="C764" s="22" t="s">
        <v>1360</v>
      </c>
      <c r="D764" s="22" t="s">
        <v>1</v>
      </c>
    </row>
    <row r="765" spans="1:4">
      <c r="A765" s="18" t="str">
        <f t="shared" si="11"/>
        <v>415.2 PAVEMENT FINE MILLING</v>
      </c>
      <c r="B765" s="19">
        <v>415.2</v>
      </c>
      <c r="C765" s="20" t="s">
        <v>1361</v>
      </c>
      <c r="D765" s="20" t="s">
        <v>1</v>
      </c>
    </row>
    <row r="766" spans="1:4" s="26" customFormat="1">
      <c r="A766" s="18" t="str">
        <f t="shared" si="11"/>
        <v>415.3 PAVEMENT MICRO MILLING</v>
      </c>
      <c r="B766" s="21">
        <v>415.3</v>
      </c>
      <c r="C766" s="22" t="s">
        <v>1230</v>
      </c>
      <c r="D766" s="22" t="s">
        <v>1</v>
      </c>
    </row>
    <row r="767" spans="1:4">
      <c r="A767" s="18" t="str">
        <f t="shared" si="11"/>
        <v>415.4 BRIDGE PAVEMENT MILLING</v>
      </c>
      <c r="B767" s="21">
        <v>415.4</v>
      </c>
      <c r="C767" s="22" t="s">
        <v>1362</v>
      </c>
      <c r="D767" s="22" t="s">
        <v>1</v>
      </c>
    </row>
    <row r="768" spans="1:4" s="26" customFormat="1">
      <c r="A768" s="18" t="str">
        <f t="shared" si="11"/>
        <v>430 CEMENT CONCRETE BASE COURSE</v>
      </c>
      <c r="B768" s="19">
        <v>430</v>
      </c>
      <c r="C768" s="20" t="s">
        <v>1363</v>
      </c>
      <c r="D768" s="20" t="s">
        <v>1</v>
      </c>
    </row>
    <row r="769" spans="1:4">
      <c r="A769" s="18" t="str">
        <f t="shared" si="11"/>
        <v>431 HIGH EARLY STRENGTH CEMENT CONCRETE BASE COURSE</v>
      </c>
      <c r="B769" s="19">
        <v>431</v>
      </c>
      <c r="C769" s="20" t="s">
        <v>27</v>
      </c>
      <c r="D769" s="20" t="s">
        <v>1</v>
      </c>
    </row>
    <row r="770" spans="1:4" s="26" customFormat="1">
      <c r="A770" s="18" t="str">
        <f t="shared" ref="A770:A833" si="12">B770&amp;" "&amp;C770</f>
        <v>431.1 HIGH EARLY STRENGTH CEMENT CONCRETE BASE COURSE</v>
      </c>
      <c r="B770" s="21">
        <v>431.1</v>
      </c>
      <c r="C770" s="22" t="s">
        <v>27</v>
      </c>
      <c r="D770" s="22" t="s">
        <v>4</v>
      </c>
    </row>
    <row r="771" spans="1:4">
      <c r="A771" s="18" t="str">
        <f t="shared" si="12"/>
        <v>440 CALCIUM CHLORIDE FOR ROADWAY DUST CONTROL</v>
      </c>
      <c r="B771" s="19">
        <v>440</v>
      </c>
      <c r="C771" s="20" t="s">
        <v>305</v>
      </c>
      <c r="D771" s="20" t="s">
        <v>100</v>
      </c>
    </row>
    <row r="772" spans="1:4" s="26" customFormat="1">
      <c r="A772" s="18" t="str">
        <f t="shared" si="12"/>
        <v>443 WATER FOR ROADWAY DUST CONTROL</v>
      </c>
      <c r="B772" s="21">
        <v>443</v>
      </c>
      <c r="C772" s="22" t="s">
        <v>306</v>
      </c>
      <c r="D772" s="22" t="s">
        <v>307</v>
      </c>
    </row>
    <row r="773" spans="1:4">
      <c r="A773" s="18" t="str">
        <f t="shared" si="12"/>
        <v>450 GRAVEL FOR SURFACING</v>
      </c>
      <c r="B773" s="21">
        <v>450</v>
      </c>
      <c r="C773" s="22" t="s">
        <v>2354</v>
      </c>
      <c r="D773" s="22" t="s">
        <v>4</v>
      </c>
    </row>
    <row r="774" spans="1:4" s="26" customFormat="1">
      <c r="A774" s="18" t="str">
        <f t="shared" si="12"/>
        <v>450.1 OPEN GRADED FRICTION COURSE - 9.5 - POLYMER MODIFIED (OGFC – P)</v>
      </c>
      <c r="B774" s="19">
        <v>450.1</v>
      </c>
      <c r="C774" s="20" t="s">
        <v>1364</v>
      </c>
      <c r="D774" s="20" t="s">
        <v>7</v>
      </c>
    </row>
    <row r="775" spans="1:4">
      <c r="A775" s="18" t="str">
        <f t="shared" si="12"/>
        <v>450.11 OPEN GRADED FRICTION COURSE - 9.5 - ASPHALT RUBBER (OGFC – AR)</v>
      </c>
      <c r="B775" s="21">
        <v>450.11</v>
      </c>
      <c r="C775" s="22" t="s">
        <v>2355</v>
      </c>
      <c r="D775" s="22" t="s">
        <v>7</v>
      </c>
    </row>
    <row r="776" spans="1:4" s="26" customFormat="1">
      <c r="A776" s="18" t="str">
        <f t="shared" si="12"/>
        <v>450.21 SUPERPAVE SURFACE COURSE – 4.75 (SSC – 4.75)</v>
      </c>
      <c r="B776" s="21">
        <v>450.21</v>
      </c>
      <c r="C776" s="22" t="s">
        <v>2356</v>
      </c>
      <c r="D776" s="22" t="s">
        <v>7</v>
      </c>
    </row>
    <row r="777" spans="1:4">
      <c r="A777" s="18" t="str">
        <f t="shared" si="12"/>
        <v>450.211 SUPERPAVE SURFACE COURSE – 4.75 POLYMER (SSC – 4.75 - P)</v>
      </c>
      <c r="B777" s="21">
        <v>450.21100000000001</v>
      </c>
      <c r="C777" s="22" t="s">
        <v>2357</v>
      </c>
      <c r="D777" s="22" t="s">
        <v>7</v>
      </c>
    </row>
    <row r="778" spans="1:4" s="26" customFormat="1">
      <c r="A778" s="18" t="str">
        <f t="shared" si="12"/>
        <v>450.22 SUPERPAVE SURFACE COURSE – 9.5 (SSC – 9.5)</v>
      </c>
      <c r="B778" s="21">
        <v>450.22</v>
      </c>
      <c r="C778" s="22" t="s">
        <v>1365</v>
      </c>
      <c r="D778" s="22" t="s">
        <v>7</v>
      </c>
    </row>
    <row r="779" spans="1:4">
      <c r="A779" s="18" t="str">
        <f t="shared" si="12"/>
        <v>450.221 SUPERPAVE SURFACE COURSE – 9.5 POLYMER (SSC – 9.5 - P)</v>
      </c>
      <c r="B779" s="19">
        <v>450.221</v>
      </c>
      <c r="C779" s="20" t="s">
        <v>1366</v>
      </c>
      <c r="D779" s="20" t="s">
        <v>7</v>
      </c>
    </row>
    <row r="780" spans="1:4" s="26" customFormat="1">
      <c r="A780" s="18" t="str">
        <f t="shared" si="12"/>
        <v>450.23 SUPERPAVE SURFACE COURSE - 12.5 (SSC - 12.5)</v>
      </c>
      <c r="B780" s="19">
        <v>450.23</v>
      </c>
      <c r="C780" s="20" t="s">
        <v>308</v>
      </c>
      <c r="D780" s="20" t="s">
        <v>7</v>
      </c>
    </row>
    <row r="781" spans="1:4">
      <c r="A781" s="18" t="str">
        <f t="shared" si="12"/>
        <v>450.231 SUPERPAVE SURFACE COURSE - 12.5 POLYMER (SSC - 12.5 - P)</v>
      </c>
      <c r="B781" s="21">
        <v>450.23099999999999</v>
      </c>
      <c r="C781" s="22" t="s">
        <v>1367</v>
      </c>
      <c r="D781" s="22" t="s">
        <v>7</v>
      </c>
    </row>
    <row r="782" spans="1:4" s="26" customFormat="1">
      <c r="A782" s="18" t="str">
        <f t="shared" si="12"/>
        <v>450.24 SUPERPAVE SURFACE COURSE – 19.0 (SSC – 19.0)</v>
      </c>
      <c r="B782" s="19">
        <v>450.24</v>
      </c>
      <c r="C782" s="20" t="s">
        <v>1368</v>
      </c>
      <c r="D782" s="20" t="s">
        <v>7</v>
      </c>
    </row>
    <row r="783" spans="1:4">
      <c r="A783" s="18" t="str">
        <f t="shared" si="12"/>
        <v>450.241 SUPERPAVE SURFACE COURSE – 19.0 POLYMER (SSC – 19.0 - P)</v>
      </c>
      <c r="B783" s="19">
        <v>450.24099999999999</v>
      </c>
      <c r="C783" s="20" t="s">
        <v>2358</v>
      </c>
      <c r="D783" s="20" t="s">
        <v>7</v>
      </c>
    </row>
    <row r="784" spans="1:4" s="26" customFormat="1">
      <c r="A784" s="18" t="str">
        <f t="shared" si="12"/>
        <v>450.31 SUPERPAVE INTERMEDIATE COURSE - 12.5 (SIC -12.5)</v>
      </c>
      <c r="B784" s="21">
        <v>450.31</v>
      </c>
      <c r="C784" s="22" t="s">
        <v>53</v>
      </c>
      <c r="D784" s="22" t="s">
        <v>7</v>
      </c>
    </row>
    <row r="785" spans="1:4">
      <c r="A785" s="18" t="str">
        <f t="shared" si="12"/>
        <v>450.311 SUPERPAVE INTERMEDIATE COURSE - 12.5 POLYMER (SIC -12.5 - P)</v>
      </c>
      <c r="B785" s="19">
        <v>450.31099999999998</v>
      </c>
      <c r="C785" s="20" t="s">
        <v>1369</v>
      </c>
      <c r="D785" s="20" t="s">
        <v>7</v>
      </c>
    </row>
    <row r="786" spans="1:4" s="26" customFormat="1">
      <c r="A786" s="18" t="str">
        <f t="shared" si="12"/>
        <v>450.32 SUPERPAVE INTERMEDIATE COURSE - 19.0 (SIC - 19.0)</v>
      </c>
      <c r="B786" s="21">
        <v>450.32</v>
      </c>
      <c r="C786" s="22" t="s">
        <v>309</v>
      </c>
      <c r="D786" s="22" t="s">
        <v>7</v>
      </c>
    </row>
    <row r="787" spans="1:4">
      <c r="A787" s="18" t="str">
        <f t="shared" si="12"/>
        <v>450.321 SUPERPAVE INTERMEDIATE COURSE - 19.0 POLYMER (SIC - 19.0 - P)</v>
      </c>
      <c r="B787" s="19">
        <v>450.32100000000003</v>
      </c>
      <c r="C787" s="20" t="s">
        <v>1370</v>
      </c>
      <c r="D787" s="20" t="s">
        <v>7</v>
      </c>
    </row>
    <row r="788" spans="1:4" s="26" customFormat="1">
      <c r="A788" s="18" t="str">
        <f t="shared" si="12"/>
        <v>450.41 SUPERPAVE BASE COURSE - 25.0 (SBC - 25.0)</v>
      </c>
      <c r="B788" s="19">
        <v>450.41</v>
      </c>
      <c r="C788" s="20" t="s">
        <v>1371</v>
      </c>
      <c r="D788" s="20" t="s">
        <v>7</v>
      </c>
    </row>
    <row r="789" spans="1:4">
      <c r="A789" s="18" t="str">
        <f t="shared" si="12"/>
        <v>450.42 SUPERPAVE BASE COURSE - 37.5 (SBC - 37.5)</v>
      </c>
      <c r="B789" s="19">
        <v>450.42</v>
      </c>
      <c r="C789" s="20" t="s">
        <v>37</v>
      </c>
      <c r="D789" s="20" t="s">
        <v>7</v>
      </c>
    </row>
    <row r="790" spans="1:4" s="26" customFormat="1">
      <c r="A790" s="18" t="str">
        <f t="shared" si="12"/>
        <v>450.51 SUPERPAVE LEVELING COURSE - 4.75 (SLC - 4.75)</v>
      </c>
      <c r="B790" s="21">
        <v>450.51</v>
      </c>
      <c r="C790" s="22" t="s">
        <v>2359</v>
      </c>
      <c r="D790" s="22" t="s">
        <v>7</v>
      </c>
    </row>
    <row r="791" spans="1:4">
      <c r="A791" s="18" t="str">
        <f t="shared" si="12"/>
        <v>450.52 SUPERPAVE LEVELING COURSE - 9.5 (SLC - 9.5)</v>
      </c>
      <c r="B791" s="21">
        <v>450.52</v>
      </c>
      <c r="C791" s="22" t="s">
        <v>310</v>
      </c>
      <c r="D791" s="22" t="s">
        <v>7</v>
      </c>
    </row>
    <row r="792" spans="1:4" s="26" customFormat="1">
      <c r="A792" s="18" t="str">
        <f t="shared" si="12"/>
        <v>450.53 SUPERPAVE LEVELING COURSE - 12.5 (SLC - 12.5)</v>
      </c>
      <c r="B792" s="21">
        <v>450.53</v>
      </c>
      <c r="C792" s="22" t="s">
        <v>1372</v>
      </c>
      <c r="D792" s="22" t="s">
        <v>7</v>
      </c>
    </row>
    <row r="793" spans="1:4">
      <c r="A793" s="18" t="str">
        <f t="shared" si="12"/>
        <v>450.6 SUPERPAVE BRIDGE SURFACE COURSE - 9.5 (SSC-B - 9.5)</v>
      </c>
      <c r="B793" s="21">
        <v>450.6</v>
      </c>
      <c r="C793" s="22" t="s">
        <v>311</v>
      </c>
      <c r="D793" s="22" t="s">
        <v>7</v>
      </c>
    </row>
    <row r="794" spans="1:4" s="26" customFormat="1">
      <c r="A794" s="18" t="str">
        <f t="shared" si="12"/>
        <v>450.601 SUPERPAVE BRIDGE SURFACE COURSE - 9.5 POLYMER  (SSC-B - 9.5 - P)</v>
      </c>
      <c r="B794" s="19">
        <v>450.601</v>
      </c>
      <c r="C794" s="20" t="s">
        <v>2360</v>
      </c>
      <c r="D794" s="20" t="s">
        <v>7</v>
      </c>
    </row>
    <row r="795" spans="1:4">
      <c r="A795" s="18" t="str">
        <f t="shared" si="12"/>
        <v>450.61 SUPERPAVE BRIDGE SURFACE COURSE - 12.5 (SSC-B - 12.5)</v>
      </c>
      <c r="B795" s="19">
        <v>450.61</v>
      </c>
      <c r="C795" s="20" t="s">
        <v>312</v>
      </c>
      <c r="D795" s="20" t="s">
        <v>7</v>
      </c>
    </row>
    <row r="796" spans="1:4" s="26" customFormat="1">
      <c r="A796" s="18" t="str">
        <f t="shared" si="12"/>
        <v>450.611 SUPERPAVE BRIDGE SURFACE COURSE - 12.5 POLYMER (SSC-B - 12.5 - P)</v>
      </c>
      <c r="B796" s="19">
        <v>450.61099999999999</v>
      </c>
      <c r="C796" s="20" t="s">
        <v>1374</v>
      </c>
      <c r="D796" s="20" t="s">
        <v>7</v>
      </c>
    </row>
    <row r="797" spans="1:4">
      <c r="A797" s="18" t="str">
        <f t="shared" si="12"/>
        <v>450.7 SUPERPAVE BRIDGE PROTECTIVE COURSE - 9.5 (SPC-B - 9.5)</v>
      </c>
      <c r="B797" s="19">
        <v>450.7</v>
      </c>
      <c r="C797" s="20" t="s">
        <v>313</v>
      </c>
      <c r="D797" s="20" t="s">
        <v>7</v>
      </c>
    </row>
    <row r="798" spans="1:4" s="26" customFormat="1">
      <c r="A798" s="18" t="str">
        <f t="shared" si="12"/>
        <v>450.701 SUPERPAVE BRIDGE PROTECTIVE COURSE - 9.5 POLYMER (SPC-B - 9.5 - P)</v>
      </c>
      <c r="B798" s="19">
        <v>450.70100000000002</v>
      </c>
      <c r="C798" s="20" t="s">
        <v>1375</v>
      </c>
      <c r="D798" s="20" t="s">
        <v>7</v>
      </c>
    </row>
    <row r="799" spans="1:4">
      <c r="A799" s="18" t="str">
        <f t="shared" si="12"/>
        <v>450.71 SUPERPAVE BRIDGE PROTECTIVE COURSE – 12.5 (SPC-B - 12.5)</v>
      </c>
      <c r="B799" s="19">
        <v>450.71</v>
      </c>
      <c r="C799" s="20" t="s">
        <v>1376</v>
      </c>
      <c r="D799" s="20" t="s">
        <v>7</v>
      </c>
    </row>
    <row r="800" spans="1:4" s="26" customFormat="1">
      <c r="A800" s="18" t="str">
        <f t="shared" si="12"/>
        <v>450.711 SUPERPAVE BRIDGE PROTECTIVE COURSE – 12.5POLYMER  (SPC-B - 12.5 - P)</v>
      </c>
      <c r="B800" s="21">
        <v>450.71100000000001</v>
      </c>
      <c r="C800" s="22" t="s">
        <v>2361</v>
      </c>
      <c r="D800" s="22" t="s">
        <v>7</v>
      </c>
    </row>
    <row r="801" spans="1:4">
      <c r="A801" s="18" t="str">
        <f t="shared" si="12"/>
        <v>450.8 ASPHALT RUBBER GAP GRADED - 12.5 (ARGG - 12.5)</v>
      </c>
      <c r="B801" s="21">
        <v>450.8</v>
      </c>
      <c r="C801" s="22" t="s">
        <v>1377</v>
      </c>
      <c r="D801" s="22" t="s">
        <v>7</v>
      </c>
    </row>
    <row r="802" spans="1:4" s="26" customFormat="1">
      <c r="A802" s="18" t="str">
        <f t="shared" si="12"/>
        <v>451 HMA FOR PATCHING</v>
      </c>
      <c r="B802" s="21">
        <v>451</v>
      </c>
      <c r="C802" s="22" t="s">
        <v>36</v>
      </c>
      <c r="D802" s="22" t="s">
        <v>7</v>
      </c>
    </row>
    <row r="803" spans="1:4">
      <c r="A803" s="18" t="str">
        <f t="shared" si="12"/>
        <v>452 ASPHALT EMULSION FOR TACK COAT</v>
      </c>
      <c r="B803" s="19">
        <v>452</v>
      </c>
      <c r="C803" s="20" t="s">
        <v>31</v>
      </c>
      <c r="D803" s="20" t="s">
        <v>20</v>
      </c>
    </row>
    <row r="804" spans="1:4" s="26" customFormat="1">
      <c r="A804" s="18" t="str">
        <f t="shared" si="12"/>
        <v>453 HMA JOINT SEALANT</v>
      </c>
      <c r="B804" s="19">
        <v>453</v>
      </c>
      <c r="C804" s="20" t="s">
        <v>32</v>
      </c>
      <c r="D804" s="20" t="s">
        <v>17</v>
      </c>
    </row>
    <row r="805" spans="1:4">
      <c r="A805" s="18" t="str">
        <f t="shared" si="12"/>
        <v>457.1 SUPERPAVE WATERPROOFING SURFACE COURSE - 9.5 (SSC-W-9.5)</v>
      </c>
      <c r="B805" s="21">
        <v>457.1</v>
      </c>
      <c r="C805" s="22" t="s">
        <v>1378</v>
      </c>
      <c r="D805" s="22" t="s">
        <v>7</v>
      </c>
    </row>
    <row r="806" spans="1:4" s="26" customFormat="1">
      <c r="A806" s="18" t="str">
        <f t="shared" si="12"/>
        <v>457.2 SUPERPAVE WATERPROOFING SURFACE COURSE - 12.5 (SSC-W-12.5)</v>
      </c>
      <c r="B806" s="21">
        <v>457.2</v>
      </c>
      <c r="C806" s="22" t="s">
        <v>1379</v>
      </c>
      <c r="D806" s="22" t="s">
        <v>7</v>
      </c>
    </row>
    <row r="807" spans="1:4">
      <c r="A807" s="18" t="str">
        <f t="shared" si="12"/>
        <v>458.1 SUPERPAVE HIGH PERFORMANCE (HP-9.5)</v>
      </c>
      <c r="B807" s="19">
        <v>458.1</v>
      </c>
      <c r="C807" s="20" t="s">
        <v>2362</v>
      </c>
      <c r="D807" s="20" t="s">
        <v>7</v>
      </c>
    </row>
    <row r="808" spans="1:4" s="26" customFormat="1">
      <c r="A808" s="18" t="str">
        <f t="shared" si="12"/>
        <v>458.2 SUPERPAVE HIGH PERFORMANCE (HP-12.5)</v>
      </c>
      <c r="B808" s="19">
        <v>458.2</v>
      </c>
      <c r="C808" s="20" t="s">
        <v>1380</v>
      </c>
      <c r="D808" s="20" t="s">
        <v>7</v>
      </c>
    </row>
    <row r="809" spans="1:4">
      <c r="A809" s="18" t="str">
        <f t="shared" si="12"/>
        <v>458.6 CRUSHED STONE BALLAST</v>
      </c>
      <c r="B809" s="21">
        <v>458.6</v>
      </c>
      <c r="C809" s="22" t="s">
        <v>2363</v>
      </c>
      <c r="D809" s="22" t="s">
        <v>4</v>
      </c>
    </row>
    <row r="810" spans="1:4" s="26" customFormat="1">
      <c r="A810" s="18" t="str">
        <f t="shared" si="12"/>
        <v>458.7 LIGHTWEIGHT AGGREGATE</v>
      </c>
      <c r="B810" s="21">
        <v>458.7</v>
      </c>
      <c r="C810" s="22" t="s">
        <v>1381</v>
      </c>
      <c r="D810" s="22" t="s">
        <v>4</v>
      </c>
    </row>
    <row r="811" spans="1:4">
      <c r="A811" s="18" t="str">
        <f t="shared" si="12"/>
        <v>459 BITUMEN FOR ROADWAY BASE COURSE</v>
      </c>
      <c r="B811" s="21">
        <v>459</v>
      </c>
      <c r="C811" s="22" t="s">
        <v>2364</v>
      </c>
      <c r="D811" s="22" t="s">
        <v>20</v>
      </c>
    </row>
    <row r="812" spans="1:4" s="26" customFormat="1">
      <c r="A812" s="18" t="str">
        <f t="shared" si="12"/>
        <v>459.1 BITUMEN FOR SURFACING TREATMENT</v>
      </c>
      <c r="B812" s="21">
        <v>459.1</v>
      </c>
      <c r="C812" s="22" t="s">
        <v>2365</v>
      </c>
      <c r="D812" s="22" t="s">
        <v>20</v>
      </c>
    </row>
    <row r="813" spans="1:4">
      <c r="A813" s="18" t="str">
        <f t="shared" si="12"/>
        <v>459.2 BITUMEN FOR ROAD-MIX SURFACING</v>
      </c>
      <c r="B813" s="21">
        <v>459.2</v>
      </c>
      <c r="C813" s="22" t="s">
        <v>2366</v>
      </c>
      <c r="D813" s="22" t="s">
        <v>20</v>
      </c>
    </row>
    <row r="814" spans="1:4" s="26" customFormat="1">
      <c r="A814" s="18" t="str">
        <f t="shared" si="12"/>
        <v>459.3 BITUMEN FOR MACADAM SURFACING</v>
      </c>
      <c r="B814" s="21">
        <v>459.3</v>
      </c>
      <c r="C814" s="22" t="s">
        <v>2367</v>
      </c>
      <c r="D814" s="22" t="s">
        <v>20</v>
      </c>
    </row>
    <row r="815" spans="1:4">
      <c r="A815" s="18" t="str">
        <f t="shared" si="12"/>
        <v>459.4 BITUMEN FOR SEAL COAT</v>
      </c>
      <c r="B815" s="19">
        <v>459.4</v>
      </c>
      <c r="C815" s="20" t="s">
        <v>2368</v>
      </c>
      <c r="D815" s="20" t="s">
        <v>20</v>
      </c>
    </row>
    <row r="816" spans="1:4" s="26" customFormat="1">
      <c r="A816" s="18" t="str">
        <f t="shared" si="12"/>
        <v>459.5 BITUMEN FOR WEARING SURFACE</v>
      </c>
      <c r="B816" s="19">
        <v>459.5</v>
      </c>
      <c r="C816" s="20" t="s">
        <v>2369</v>
      </c>
      <c r="D816" s="20" t="s">
        <v>20</v>
      </c>
    </row>
    <row r="817" spans="1:4">
      <c r="A817" s="18" t="str">
        <f t="shared" si="12"/>
        <v>459.6 BITUMEN FOR CURING</v>
      </c>
      <c r="B817" s="21">
        <v>459.6</v>
      </c>
      <c r="C817" s="22" t="s">
        <v>2370</v>
      </c>
      <c r="D817" s="22" t="s">
        <v>20</v>
      </c>
    </row>
    <row r="818" spans="1:4" s="26" customFormat="1">
      <c r="A818" s="18" t="str">
        <f t="shared" si="12"/>
        <v>459.7 RECLAIMED BITUMEN BASE</v>
      </c>
      <c r="B818" s="21">
        <v>459.7</v>
      </c>
      <c r="C818" s="22" t="s">
        <v>2371</v>
      </c>
      <c r="D818" s="22" t="s">
        <v>1</v>
      </c>
    </row>
    <row r="819" spans="1:4">
      <c r="A819" s="18" t="str">
        <f t="shared" si="12"/>
        <v>466 STRESS ABSORBING MEMBRANE INTERLAYER</v>
      </c>
      <c r="B819" s="19">
        <v>466</v>
      </c>
      <c r="C819" s="20" t="s">
        <v>2372</v>
      </c>
      <c r="D819" s="20" t="s">
        <v>1</v>
      </c>
    </row>
    <row r="820" spans="1:4" s="26" customFormat="1">
      <c r="A820" s="18" t="str">
        <f t="shared" si="12"/>
        <v>468 CRUSHED STONE FOR PEASTONE COVER</v>
      </c>
      <c r="B820" s="19">
        <v>468</v>
      </c>
      <c r="C820" s="20" t="s">
        <v>2373</v>
      </c>
      <c r="D820" s="20" t="s">
        <v>7</v>
      </c>
    </row>
    <row r="821" spans="1:4">
      <c r="A821" s="18" t="str">
        <f t="shared" si="12"/>
        <v>469 BITUMEN FOR PEASTONE COVER</v>
      </c>
      <c r="B821" s="19">
        <v>469</v>
      </c>
      <c r="C821" s="20" t="s">
        <v>2374</v>
      </c>
      <c r="D821" s="20" t="s">
        <v>20</v>
      </c>
    </row>
    <row r="822" spans="1:4" s="26" customFormat="1">
      <c r="A822" s="18" t="str">
        <f t="shared" si="12"/>
        <v>470 HOT MIX ASPHALT BERM</v>
      </c>
      <c r="B822" s="19">
        <v>470</v>
      </c>
      <c r="C822" s="20" t="s">
        <v>1382</v>
      </c>
      <c r="D822" s="20" t="s">
        <v>7</v>
      </c>
    </row>
    <row r="823" spans="1:4">
      <c r="A823" s="18" t="str">
        <f t="shared" si="12"/>
        <v>472 TEMPORARY ASPHALT PATCHING</v>
      </c>
      <c r="B823" s="21">
        <v>472</v>
      </c>
      <c r="C823" s="22" t="s">
        <v>1383</v>
      </c>
      <c r="D823" s="22" t="s">
        <v>7</v>
      </c>
    </row>
    <row r="824" spans="1:4" s="26" customFormat="1">
      <c r="A824" s="18" t="str">
        <f t="shared" si="12"/>
        <v>476 CEMENT CONCRETE PAVEMENT</v>
      </c>
      <c r="B824" s="19">
        <v>476</v>
      </c>
      <c r="C824" s="20" t="s">
        <v>316</v>
      </c>
      <c r="D824" s="20" t="s">
        <v>1</v>
      </c>
    </row>
    <row r="825" spans="1:4">
      <c r="A825" s="18" t="str">
        <f t="shared" si="12"/>
        <v>476.1 CEMENT CONCRETE PAVEMENT</v>
      </c>
      <c r="B825" s="21">
        <v>476.1</v>
      </c>
      <c r="C825" s="22" t="s">
        <v>316</v>
      </c>
      <c r="D825" s="22" t="s">
        <v>4</v>
      </c>
    </row>
    <row r="826" spans="1:4" s="26" customFormat="1">
      <c r="A826" s="18" t="str">
        <f t="shared" si="12"/>
        <v>476.2 HIGH EARLY STRENGTH CEMENT CONCRETE PAVEMENT</v>
      </c>
      <c r="B826" s="19">
        <v>476.2</v>
      </c>
      <c r="C826" s="20" t="s">
        <v>2375</v>
      </c>
      <c r="D826" s="20" t="s">
        <v>4</v>
      </c>
    </row>
    <row r="827" spans="1:4">
      <c r="A827" s="18" t="str">
        <f t="shared" si="12"/>
        <v>476.21 HIGH EARLY STRENGTH CEMENT CONCRETE PAVEMENT</v>
      </c>
      <c r="B827" s="19">
        <v>476.21</v>
      </c>
      <c r="C827" s="20" t="s">
        <v>2375</v>
      </c>
      <c r="D827" s="20" t="s">
        <v>1</v>
      </c>
    </row>
    <row r="828" spans="1:4" s="26" customFormat="1">
      <c r="A828" s="18" t="str">
        <f t="shared" si="12"/>
        <v>476.31 POLYMER MODIFIED MORTAR OVERLAYMENT</v>
      </c>
      <c r="B828" s="21">
        <v>476.31</v>
      </c>
      <c r="C828" s="22" t="s">
        <v>2376</v>
      </c>
      <c r="D828" s="22" t="s">
        <v>1</v>
      </c>
    </row>
    <row r="829" spans="1:4">
      <c r="A829" s="18" t="str">
        <f t="shared" si="12"/>
        <v>476.32 POLYMER MODIFIED CONCRETE OVERLAYMENT</v>
      </c>
      <c r="B829" s="21">
        <v>476.32</v>
      </c>
      <c r="C829" s="22" t="s">
        <v>317</v>
      </c>
      <c r="D829" s="22" t="s">
        <v>1</v>
      </c>
    </row>
    <row r="830" spans="1:4" s="26" customFormat="1">
      <c r="A830" s="18" t="str">
        <f t="shared" si="12"/>
        <v>476.35 EPOXY WATERPROOFING OVERLAY</v>
      </c>
      <c r="B830" s="21">
        <v>476.35</v>
      </c>
      <c r="C830" s="22" t="s">
        <v>2377</v>
      </c>
      <c r="D830" s="22" t="s">
        <v>1</v>
      </c>
    </row>
    <row r="831" spans="1:4">
      <c r="A831" s="18" t="str">
        <f t="shared" si="12"/>
        <v>477 MILLED RUMBLE STRIP (TYPE A)</v>
      </c>
      <c r="B831" s="21">
        <v>477</v>
      </c>
      <c r="C831" s="22" t="s">
        <v>1384</v>
      </c>
      <c r="D831" s="22" t="s">
        <v>17</v>
      </c>
    </row>
    <row r="832" spans="1:4" s="26" customFormat="1">
      <c r="A832" s="18" t="str">
        <f t="shared" si="12"/>
        <v>477.1 MILLED RUMBLE STRIP (TYPE B)</v>
      </c>
      <c r="B832" s="21">
        <v>477.1</v>
      </c>
      <c r="C832" s="22" t="s">
        <v>1385</v>
      </c>
      <c r="D832" s="22" t="s">
        <v>17</v>
      </c>
    </row>
    <row r="833" spans="1:4">
      <c r="A833" s="18" t="str">
        <f t="shared" si="12"/>
        <v>477.2 MILLED RUMBLE STRIP (TYPE C)</v>
      </c>
      <c r="B833" s="19">
        <v>477.2</v>
      </c>
      <c r="C833" s="20" t="s">
        <v>1386</v>
      </c>
      <c r="D833" s="20" t="s">
        <v>17</v>
      </c>
    </row>
    <row r="834" spans="1:4" s="26" customFormat="1">
      <c r="A834" s="18" t="str">
        <f t="shared" ref="A834:A897" si="13">B834&amp;" "&amp;C834</f>
        <v>481.42 ELASTOMERIC BRIDGE JOINT SYSTEM</v>
      </c>
      <c r="B834" s="19">
        <v>481.42</v>
      </c>
      <c r="C834" s="20" t="s">
        <v>2378</v>
      </c>
      <c r="D834" s="20" t="s">
        <v>17</v>
      </c>
    </row>
    <row r="835" spans="1:4">
      <c r="A835" s="18" t="str">
        <f t="shared" si="13"/>
        <v>482 HOT APPLIED ASPHALTIC CRACK FILLER</v>
      </c>
      <c r="B835" s="19">
        <v>482</v>
      </c>
      <c r="C835" s="20" t="s">
        <v>1387</v>
      </c>
      <c r="D835" s="20" t="s">
        <v>20</v>
      </c>
    </row>
    <row r="836" spans="1:4" s="26" customFormat="1">
      <c r="A836" s="18" t="str">
        <f t="shared" si="13"/>
        <v>482.01 HOT APPLIED ASPHALTIC CRACK FILLER</v>
      </c>
      <c r="B836" s="19">
        <v>482.01</v>
      </c>
      <c r="C836" s="20" t="s">
        <v>1387</v>
      </c>
      <c r="D836" s="20" t="s">
        <v>17</v>
      </c>
    </row>
    <row r="837" spans="1:4">
      <c r="A837" s="18" t="str">
        <f t="shared" si="13"/>
        <v>482.15 HOT APPLIED ASPHALTIC CRACK FILLER (POLYESTER FIBERS)</v>
      </c>
      <c r="B837" s="19">
        <v>482.15</v>
      </c>
      <c r="C837" s="20" t="s">
        <v>1388</v>
      </c>
      <c r="D837" s="20" t="s">
        <v>20</v>
      </c>
    </row>
    <row r="838" spans="1:4" s="26" customFormat="1">
      <c r="A838" s="18" t="str">
        <f t="shared" si="13"/>
        <v>482.17 HOT APPLIED RUBBERIZED ASPHALTIC CRACK FILLER</v>
      </c>
      <c r="B838" s="21">
        <v>482.17</v>
      </c>
      <c r="C838" s="22" t="s">
        <v>318</v>
      </c>
      <c r="D838" s="22" t="s">
        <v>20</v>
      </c>
    </row>
    <row r="839" spans="1:4">
      <c r="A839" s="18" t="str">
        <f t="shared" si="13"/>
        <v>482.2 HOT POURED JOINT SEALER</v>
      </c>
      <c r="B839" s="21">
        <v>482.2</v>
      </c>
      <c r="C839" s="22" t="s">
        <v>2379</v>
      </c>
      <c r="D839" s="22" t="s">
        <v>17</v>
      </c>
    </row>
    <row r="840" spans="1:4" s="26" customFormat="1">
      <c r="A840" s="18" t="str">
        <f t="shared" si="13"/>
        <v>482.25 ROUTING, DRYING, AND SEALING CRACKS IN EXISTING PAVEMENT</v>
      </c>
      <c r="B840" s="19">
        <v>482.25</v>
      </c>
      <c r="C840" s="20" t="s">
        <v>2380</v>
      </c>
      <c r="D840" s="20" t="s">
        <v>17</v>
      </c>
    </row>
    <row r="841" spans="1:4">
      <c r="A841" s="18" t="str">
        <f t="shared" si="13"/>
        <v>482.3 SAWCUTTING ASPHALT PAVEMENT</v>
      </c>
      <c r="B841" s="19">
        <v>482.3</v>
      </c>
      <c r="C841" s="20" t="s">
        <v>319</v>
      </c>
      <c r="D841" s="20" t="s">
        <v>17</v>
      </c>
    </row>
    <row r="842" spans="1:4" s="26" customFormat="1">
      <c r="A842" s="18" t="str">
        <f t="shared" si="13"/>
        <v>482.31 SAWING &amp; SEALING JOINTS IN ASPHALT PAVEMENT AT BRIDGES</v>
      </c>
      <c r="B842" s="21">
        <v>482.31</v>
      </c>
      <c r="C842" s="22" t="s">
        <v>320</v>
      </c>
      <c r="D842" s="22" t="s">
        <v>17</v>
      </c>
    </row>
    <row r="843" spans="1:4">
      <c r="A843" s="18" t="str">
        <f t="shared" si="13"/>
        <v>482.32 SAWING AND SEALING JOINTS IN ASPHALT PAVEMENT</v>
      </c>
      <c r="B843" s="21">
        <v>482.32</v>
      </c>
      <c r="C843" s="22" t="s">
        <v>2381</v>
      </c>
      <c r="D843" s="22" t="s">
        <v>17</v>
      </c>
    </row>
    <row r="844" spans="1:4" s="26" customFormat="1">
      <c r="A844" s="18" t="str">
        <f t="shared" si="13"/>
        <v>482.4 SAWCUTTING PORTLAND CEMENT CONCRETE</v>
      </c>
      <c r="B844" s="21">
        <v>482.4</v>
      </c>
      <c r="C844" s="22" t="s">
        <v>321</v>
      </c>
      <c r="D844" s="22" t="s">
        <v>17</v>
      </c>
    </row>
    <row r="845" spans="1:4">
      <c r="A845" s="18" t="str">
        <f t="shared" si="13"/>
        <v>482.5 SAWCUTTING ASPHALT PAVEMENT FOR BOX WIDENING</v>
      </c>
      <c r="B845" s="19">
        <v>482.5</v>
      </c>
      <c r="C845" s="20" t="s">
        <v>43</v>
      </c>
      <c r="D845" s="20" t="s">
        <v>17</v>
      </c>
    </row>
    <row r="846" spans="1:4" s="26" customFormat="1">
      <c r="A846" s="18" t="str">
        <f t="shared" si="13"/>
        <v>483.2 SEALING ASPHALT PAVEMENT  SURFACE CRACKS</v>
      </c>
      <c r="B846" s="21">
        <v>483.2</v>
      </c>
      <c r="C846" s="22" t="s">
        <v>2382</v>
      </c>
      <c r="D846" s="22" t="s">
        <v>20</v>
      </c>
    </row>
    <row r="847" spans="1:4">
      <c r="A847" s="18" t="str">
        <f t="shared" si="13"/>
        <v>484 REHABILITATING EXISTING ASPHALT PAVEMENT</v>
      </c>
      <c r="B847" s="21">
        <v>484</v>
      </c>
      <c r="C847" s="22" t="s">
        <v>2383</v>
      </c>
      <c r="D847" s="22" t="s">
        <v>1</v>
      </c>
    </row>
    <row r="848" spans="1:4" s="26" customFormat="1">
      <c r="A848" s="18" t="str">
        <f t="shared" si="13"/>
        <v>485 GRANITE RUBBLE BLOCK PAVEMENT</v>
      </c>
      <c r="B848" s="19">
        <v>485</v>
      </c>
      <c r="C848" s="20" t="s">
        <v>1389</v>
      </c>
      <c r="D848" s="20" t="s">
        <v>1</v>
      </c>
    </row>
    <row r="849" spans="1:4">
      <c r="A849" s="18" t="str">
        <f t="shared" si="13"/>
        <v>485.1 GRANITE RUBBLE BLOCK PAVEMENT REMOVED AND RESET</v>
      </c>
      <c r="B849" s="19">
        <v>485.1</v>
      </c>
      <c r="C849" s="20" t="s">
        <v>2384</v>
      </c>
      <c r="D849" s="20" t="s">
        <v>1</v>
      </c>
    </row>
    <row r="850" spans="1:4" s="26" customFormat="1">
      <c r="A850" s="18" t="str">
        <f t="shared" si="13"/>
        <v>485.11 GRANITE RUBBLE BLOCK PAVEMENT REMOVED AND STACKED</v>
      </c>
      <c r="B850" s="19">
        <v>485.11</v>
      </c>
      <c r="C850" s="20" t="s">
        <v>2385</v>
      </c>
      <c r="D850" s="20" t="s">
        <v>1</v>
      </c>
    </row>
    <row r="851" spans="1:4">
      <c r="A851" s="18" t="str">
        <f t="shared" si="13"/>
        <v>485.2 GRANITE RUBBLE BLOCK PAVEMENT EXCL. COST OF CONCRETE BASE</v>
      </c>
      <c r="B851" s="21">
        <v>485.2</v>
      </c>
      <c r="C851" s="22" t="s">
        <v>1390</v>
      </c>
      <c r="D851" s="22" t="s">
        <v>1</v>
      </c>
    </row>
    <row r="852" spans="1:4" s="26" customFormat="1">
      <c r="A852" s="18" t="str">
        <f t="shared" si="13"/>
        <v>486 SCORED CEMENT CONCRETE PAVEMENT</v>
      </c>
      <c r="B852" s="19">
        <v>486</v>
      </c>
      <c r="C852" s="20" t="s">
        <v>322</v>
      </c>
      <c r="D852" s="20" t="s">
        <v>4</v>
      </c>
    </row>
    <row r="853" spans="1:4">
      <c r="A853" s="18" t="str">
        <f t="shared" si="13"/>
        <v>486.1 SCORED CEMENT CONCRETE PAVEMENT</v>
      </c>
      <c r="B853" s="19">
        <v>486.1</v>
      </c>
      <c r="C853" s="20" t="s">
        <v>322</v>
      </c>
      <c r="D853" s="20" t="s">
        <v>1</v>
      </c>
    </row>
    <row r="854" spans="1:4" s="26" customFormat="1">
      <c r="A854" s="18" t="str">
        <f t="shared" si="13"/>
        <v>490 RUBBERIZED RAILROAD CROSSING</v>
      </c>
      <c r="B854" s="21">
        <v>490</v>
      </c>
      <c r="C854" s="22" t="s">
        <v>2386</v>
      </c>
      <c r="D854" s="22" t="s">
        <v>17</v>
      </c>
    </row>
    <row r="855" spans="1:4">
      <c r="A855" s="18" t="str">
        <f t="shared" si="13"/>
        <v>501 GRANITE CURB TYPE VA1 - STRAIGHT</v>
      </c>
      <c r="B855" s="21">
        <v>501</v>
      </c>
      <c r="C855" s="22" t="s">
        <v>1391</v>
      </c>
      <c r="D855" s="22" t="s">
        <v>17</v>
      </c>
    </row>
    <row r="856" spans="1:4" s="26" customFormat="1">
      <c r="A856" s="18" t="str">
        <f t="shared" si="13"/>
        <v>501.1 GRANITE CURB TYPE VA1 - CURVED</v>
      </c>
      <c r="B856" s="21">
        <v>501.1</v>
      </c>
      <c r="C856" s="22" t="s">
        <v>2387</v>
      </c>
      <c r="D856" s="22" t="s">
        <v>17</v>
      </c>
    </row>
    <row r="857" spans="1:4">
      <c r="A857" s="18" t="str">
        <f t="shared" si="13"/>
        <v>502 GRANITE CURB TYPE VA2 - STRAIGHT</v>
      </c>
      <c r="B857" s="19">
        <v>502</v>
      </c>
      <c r="C857" s="20" t="s">
        <v>1392</v>
      </c>
      <c r="D857" s="20" t="s">
        <v>17</v>
      </c>
    </row>
    <row r="858" spans="1:4" s="26" customFormat="1">
      <c r="A858" s="18" t="str">
        <f t="shared" si="13"/>
        <v>502.1 GRANITE CURB TYPE VA2 - CURVED</v>
      </c>
      <c r="B858" s="21">
        <v>502.1</v>
      </c>
      <c r="C858" s="22" t="s">
        <v>1393</v>
      </c>
      <c r="D858" s="22" t="s">
        <v>17</v>
      </c>
    </row>
    <row r="859" spans="1:4">
      <c r="A859" s="18" t="str">
        <f t="shared" si="13"/>
        <v>503 GRANITE CURB TYPE VA3 - STRAIGHT</v>
      </c>
      <c r="B859" s="19">
        <v>503</v>
      </c>
      <c r="C859" s="20" t="s">
        <v>323</v>
      </c>
      <c r="D859" s="20" t="s">
        <v>17</v>
      </c>
    </row>
    <row r="860" spans="1:4" s="26" customFormat="1">
      <c r="A860" s="18" t="str">
        <f t="shared" si="13"/>
        <v>503.1 GRANITE CURB TYPE VA3 - CURVED</v>
      </c>
      <c r="B860" s="21">
        <v>503.1</v>
      </c>
      <c r="C860" s="22" t="s">
        <v>324</v>
      </c>
      <c r="D860" s="22" t="s">
        <v>17</v>
      </c>
    </row>
    <row r="861" spans="1:4">
      <c r="A861" s="18" t="str">
        <f t="shared" si="13"/>
        <v>504 GRANITE CURB TYPE VA4 - STRAIGHT</v>
      </c>
      <c r="B861" s="21">
        <v>504</v>
      </c>
      <c r="C861" s="22" t="s">
        <v>325</v>
      </c>
      <c r="D861" s="22" t="s">
        <v>17</v>
      </c>
    </row>
    <row r="862" spans="1:4" s="26" customFormat="1">
      <c r="A862" s="18" t="str">
        <f t="shared" si="13"/>
        <v>504.1 GRANITE CURB TYPE VA4 - CURVED</v>
      </c>
      <c r="B862" s="21">
        <v>504.1</v>
      </c>
      <c r="C862" s="22" t="s">
        <v>326</v>
      </c>
      <c r="D862" s="22" t="s">
        <v>17</v>
      </c>
    </row>
    <row r="863" spans="1:4">
      <c r="A863" s="18" t="str">
        <f t="shared" si="13"/>
        <v>504.2 GRANITE CURB TYPE VA4 - SPLAYED END</v>
      </c>
      <c r="B863" s="19">
        <v>504.2</v>
      </c>
      <c r="C863" s="20" t="s">
        <v>327</v>
      </c>
      <c r="D863" s="20" t="s">
        <v>2</v>
      </c>
    </row>
    <row r="864" spans="1:4" s="26" customFormat="1">
      <c r="A864" s="18" t="str">
        <f t="shared" si="13"/>
        <v>505 GRANITE CURB TYPE VA5 - STRAIGHT</v>
      </c>
      <c r="B864" s="19">
        <v>505</v>
      </c>
      <c r="C864" s="20" t="s">
        <v>328</v>
      </c>
      <c r="D864" s="20" t="s">
        <v>17</v>
      </c>
    </row>
    <row r="865" spans="1:4">
      <c r="A865" s="18" t="str">
        <f t="shared" si="13"/>
        <v>505.1 GRANITE CURB TYPE VA5 - CURVED</v>
      </c>
      <c r="B865" s="19">
        <v>505.1</v>
      </c>
      <c r="C865" s="20" t="s">
        <v>329</v>
      </c>
      <c r="D865" s="20" t="s">
        <v>17</v>
      </c>
    </row>
    <row r="866" spans="1:4" s="26" customFormat="1">
      <c r="A866" s="18" t="str">
        <f t="shared" si="13"/>
        <v>506 GRANITE CURB TYPE VB - STRAIGHT</v>
      </c>
      <c r="B866" s="19">
        <v>506</v>
      </c>
      <c r="C866" s="20" t="s">
        <v>40</v>
      </c>
      <c r="D866" s="20" t="s">
        <v>17</v>
      </c>
    </row>
    <row r="867" spans="1:4">
      <c r="A867" s="18" t="str">
        <f t="shared" si="13"/>
        <v>506.1 GRANITE CURB TYPE VB - CURVED</v>
      </c>
      <c r="B867" s="21">
        <v>506.1</v>
      </c>
      <c r="C867" s="22" t="s">
        <v>41</v>
      </c>
      <c r="D867" s="22" t="s">
        <v>17</v>
      </c>
    </row>
    <row r="868" spans="1:4" s="26" customFormat="1">
      <c r="A868" s="18" t="str">
        <f t="shared" si="13"/>
        <v>509 GRANITE TRANSITION CURB FOR PEDESTRIAN CURB RAMPS - STRAIGHT</v>
      </c>
      <c r="B868" s="21">
        <v>509</v>
      </c>
      <c r="C868" s="22" t="s">
        <v>1394</v>
      </c>
      <c r="D868" s="22" t="s">
        <v>17</v>
      </c>
    </row>
    <row r="869" spans="1:4">
      <c r="A869" s="18" t="str">
        <f t="shared" si="13"/>
        <v>509.1 GRANITE TRANSITION CURB FOR PEDESTRIAN CURB RAMPS - CURVED</v>
      </c>
      <c r="B869" s="21">
        <v>509.1</v>
      </c>
      <c r="C869" s="22" t="s">
        <v>1395</v>
      </c>
      <c r="D869" s="22" t="s">
        <v>17</v>
      </c>
    </row>
    <row r="870" spans="1:4" s="26" customFormat="1">
      <c r="A870" s="18" t="str">
        <f t="shared" si="13"/>
        <v>510 GRANITE EDGING TYPE SA</v>
      </c>
      <c r="B870" s="19">
        <v>510</v>
      </c>
      <c r="C870" s="20" t="s">
        <v>330</v>
      </c>
      <c r="D870" s="20" t="s">
        <v>17</v>
      </c>
    </row>
    <row r="871" spans="1:4">
      <c r="A871" s="18" t="str">
        <f t="shared" si="13"/>
        <v>510.1 GRANITE EDGING TYPE SA (RADIUS 10 FEET OR LESS)</v>
      </c>
      <c r="B871" s="19">
        <v>510.1</v>
      </c>
      <c r="C871" s="20" t="s">
        <v>331</v>
      </c>
      <c r="D871" s="20" t="s">
        <v>17</v>
      </c>
    </row>
    <row r="872" spans="1:4" s="26" customFormat="1">
      <c r="A872" s="18" t="str">
        <f t="shared" si="13"/>
        <v>511.1 GRANITE EDGING TYPE SB - STRAIGHT</v>
      </c>
      <c r="B872" s="19">
        <v>511.1</v>
      </c>
      <c r="C872" s="20" t="s">
        <v>332</v>
      </c>
      <c r="D872" s="20" t="s">
        <v>17</v>
      </c>
    </row>
    <row r="873" spans="1:4">
      <c r="A873" s="18" t="str">
        <f t="shared" si="13"/>
        <v>512.1 GRANITE EDGING TYPE SB (RADIUS 10 FEET OR LESS)</v>
      </c>
      <c r="B873" s="19">
        <v>512.1</v>
      </c>
      <c r="C873" s="20" t="s">
        <v>333</v>
      </c>
      <c r="D873" s="20" t="s">
        <v>17</v>
      </c>
    </row>
    <row r="874" spans="1:4" s="26" customFormat="1">
      <c r="A874" s="18" t="str">
        <f t="shared" si="13"/>
        <v>513 GRANITE EDGING TYPE SC</v>
      </c>
      <c r="B874" s="21">
        <v>513</v>
      </c>
      <c r="C874" s="22" t="s">
        <v>2388</v>
      </c>
      <c r="D874" s="22" t="s">
        <v>17</v>
      </c>
    </row>
    <row r="875" spans="1:4">
      <c r="A875" s="18" t="str">
        <f t="shared" si="13"/>
        <v>513.1 GRANITE EDGING TYPE SC (RADIUS 10 FEET OR LESS)</v>
      </c>
      <c r="B875" s="21">
        <v>513.1</v>
      </c>
      <c r="C875" s="22" t="s">
        <v>2389</v>
      </c>
      <c r="D875" s="22" t="s">
        <v>17</v>
      </c>
    </row>
    <row r="876" spans="1:4" s="26" customFormat="1">
      <c r="A876" s="18" t="str">
        <f t="shared" si="13"/>
        <v>514 GRANITE CURB INLET - STRAIGHT</v>
      </c>
      <c r="B876" s="21">
        <v>514</v>
      </c>
      <c r="C876" s="22" t="s">
        <v>38</v>
      </c>
      <c r="D876" s="22" t="s">
        <v>2</v>
      </c>
    </row>
    <row r="877" spans="1:4">
      <c r="A877" s="18" t="str">
        <f t="shared" si="13"/>
        <v>514.01 GRANITE CURB INLET - STRAIGHT - EXCLUDING COST OF CURB INLET</v>
      </c>
      <c r="B877" s="19">
        <v>514.01</v>
      </c>
      <c r="C877" s="20" t="s">
        <v>2390</v>
      </c>
      <c r="D877" s="20" t="s">
        <v>2</v>
      </c>
    </row>
    <row r="878" spans="1:4" s="26" customFormat="1">
      <c r="A878" s="18" t="str">
        <f t="shared" si="13"/>
        <v>514.2 GRANITE CURB INLET - STRAIGHT- MUNICIPAL STANDARD</v>
      </c>
      <c r="B878" s="19">
        <v>514.20000000000005</v>
      </c>
      <c r="C878" s="20" t="s">
        <v>2391</v>
      </c>
      <c r="D878" s="20" t="s">
        <v>2</v>
      </c>
    </row>
    <row r="879" spans="1:4">
      <c r="A879" s="18" t="str">
        <f t="shared" si="13"/>
        <v>515 GRANITE CURB INLET - CURVED</v>
      </c>
      <c r="B879" s="19">
        <v>515</v>
      </c>
      <c r="C879" s="20" t="s">
        <v>45</v>
      </c>
      <c r="D879" s="20" t="s">
        <v>2</v>
      </c>
    </row>
    <row r="880" spans="1:4" s="26" customFormat="1">
      <c r="A880" s="18" t="str">
        <f t="shared" si="13"/>
        <v>515.1 GRANITE CURB INLET - CURVED - MUNICIPAL STANDARD</v>
      </c>
      <c r="B880" s="21">
        <v>515.1</v>
      </c>
      <c r="C880" s="22" t="s">
        <v>2392</v>
      </c>
      <c r="D880" s="22" t="s">
        <v>2</v>
      </c>
    </row>
    <row r="881" spans="1:4">
      <c r="A881" s="18" t="str">
        <f t="shared" si="13"/>
        <v>516 GRANITE CURB CORNER TYPE A</v>
      </c>
      <c r="B881" s="21">
        <v>516</v>
      </c>
      <c r="C881" s="22" t="s">
        <v>47</v>
      </c>
      <c r="D881" s="22" t="s">
        <v>2</v>
      </c>
    </row>
    <row r="882" spans="1:4" s="26" customFormat="1">
      <c r="A882" s="18" t="str">
        <f t="shared" si="13"/>
        <v>517 GRANITE CURB CORNER TYPE B</v>
      </c>
      <c r="B882" s="21">
        <v>517</v>
      </c>
      <c r="C882" s="22" t="s">
        <v>334</v>
      </c>
      <c r="D882" s="22" t="s">
        <v>2</v>
      </c>
    </row>
    <row r="883" spans="1:4">
      <c r="A883" s="18" t="str">
        <f t="shared" si="13"/>
        <v>517.01 GRANITE CURB CORNER - TYPE C</v>
      </c>
      <c r="B883" s="19">
        <v>517.01</v>
      </c>
      <c r="C883" s="20" t="s">
        <v>335</v>
      </c>
      <c r="D883" s="20" t="s">
        <v>2</v>
      </c>
    </row>
    <row r="884" spans="1:4" s="26" customFormat="1">
      <c r="A884" s="18" t="str">
        <f t="shared" si="13"/>
        <v>518 CONCRETE CURB INLET - STRAIGHT</v>
      </c>
      <c r="B884" s="19">
        <v>518</v>
      </c>
      <c r="C884" s="20" t="s">
        <v>2393</v>
      </c>
      <c r="D884" s="20" t="s">
        <v>2</v>
      </c>
    </row>
    <row r="885" spans="1:4">
      <c r="A885" s="18" t="str">
        <f t="shared" si="13"/>
        <v>519 CONCRETE CURB INLET - CURVED</v>
      </c>
      <c r="B885" s="21">
        <v>519</v>
      </c>
      <c r="C885" s="22" t="s">
        <v>2394</v>
      </c>
      <c r="D885" s="22" t="s">
        <v>2</v>
      </c>
    </row>
    <row r="886" spans="1:4" s="26" customFormat="1">
      <c r="A886" s="18" t="str">
        <f t="shared" si="13"/>
        <v>520 CONCRETE CURB TYPE VA</v>
      </c>
      <c r="B886" s="21">
        <v>520</v>
      </c>
      <c r="C886" s="22" t="s">
        <v>336</v>
      </c>
      <c r="D886" s="22" t="s">
        <v>17</v>
      </c>
    </row>
    <row r="887" spans="1:4">
      <c r="A887" s="18" t="str">
        <f t="shared" si="13"/>
        <v>520.1 CONCRETE CURB TYPE VA - PRECAST</v>
      </c>
      <c r="B887" s="21">
        <v>520.1</v>
      </c>
      <c r="C887" s="22" t="s">
        <v>2395</v>
      </c>
      <c r="D887" s="22" t="s">
        <v>17</v>
      </c>
    </row>
    <row r="888" spans="1:4" s="26" customFormat="1">
      <c r="A888" s="18" t="str">
        <f t="shared" si="13"/>
        <v>520.11 SPECIAL CONCRETE CURB - CAST IN PLACE</v>
      </c>
      <c r="B888" s="21">
        <v>520.11</v>
      </c>
      <c r="C888" s="22" t="s">
        <v>2396</v>
      </c>
      <c r="D888" s="22" t="s">
        <v>17</v>
      </c>
    </row>
    <row r="889" spans="1:4">
      <c r="A889" s="18" t="str">
        <f t="shared" si="13"/>
        <v>520.12 CONCRETE CURB STOP REMOVED AND RESET</v>
      </c>
      <c r="B889" s="19">
        <v>520.12</v>
      </c>
      <c r="C889" s="20" t="s">
        <v>2397</v>
      </c>
      <c r="D889" s="20" t="s">
        <v>2</v>
      </c>
    </row>
    <row r="890" spans="1:4" s="26" customFormat="1">
      <c r="A890" s="18" t="str">
        <f t="shared" si="13"/>
        <v>520.2 SPECIAL CONCRETE CURB - PRECAST</v>
      </c>
      <c r="B890" s="19">
        <v>520.20000000000005</v>
      </c>
      <c r="C890" s="20" t="s">
        <v>2398</v>
      </c>
      <c r="D890" s="20" t="s">
        <v>2</v>
      </c>
    </row>
    <row r="891" spans="1:4">
      <c r="A891" s="18" t="str">
        <f t="shared" si="13"/>
        <v>521 CONCRETE CURB CORNER TYPE A</v>
      </c>
      <c r="B891" s="19">
        <v>521</v>
      </c>
      <c r="C891" s="20" t="s">
        <v>2399</v>
      </c>
      <c r="D891" s="20" t="s">
        <v>2</v>
      </c>
    </row>
    <row r="892" spans="1:4" s="26" customFormat="1">
      <c r="A892" s="18" t="str">
        <f t="shared" si="13"/>
        <v>521.1 CONCRETE CURB CORNER TYPE B</v>
      </c>
      <c r="B892" s="21">
        <v>521.1</v>
      </c>
      <c r="C892" s="22" t="s">
        <v>2400</v>
      </c>
      <c r="D892" s="22" t="s">
        <v>2</v>
      </c>
    </row>
    <row r="893" spans="1:4">
      <c r="A893" s="18" t="str">
        <f t="shared" si="13"/>
        <v>522 CONCRETE EDGING TYPE SA</v>
      </c>
      <c r="B893" s="21">
        <v>522</v>
      </c>
      <c r="C893" s="22" t="s">
        <v>2401</v>
      </c>
      <c r="D893" s="22" t="s">
        <v>17</v>
      </c>
    </row>
    <row r="894" spans="1:4" s="26" customFormat="1">
      <c r="A894" s="18" t="str">
        <f t="shared" si="13"/>
        <v>570 HOT MIX ASPHALT CURB - OPTION</v>
      </c>
      <c r="B894" s="21">
        <v>570</v>
      </c>
      <c r="C894" s="22" t="s">
        <v>337</v>
      </c>
      <c r="D894" s="22" t="s">
        <v>17</v>
      </c>
    </row>
    <row r="895" spans="1:4">
      <c r="A895" s="18" t="str">
        <f t="shared" si="13"/>
        <v>570.1 HOT MIX ASPHALT CURB TYPE 1</v>
      </c>
      <c r="B895" s="19">
        <v>570.1</v>
      </c>
      <c r="C895" s="20" t="s">
        <v>1396</v>
      </c>
      <c r="D895" s="20" t="s">
        <v>17</v>
      </c>
    </row>
    <row r="896" spans="1:4" s="26" customFormat="1">
      <c r="A896" s="18" t="str">
        <f t="shared" si="13"/>
        <v>570.2 HOT MIX ASPHALT CURB TYPE 2</v>
      </c>
      <c r="B896" s="19">
        <v>570.20000000000005</v>
      </c>
      <c r="C896" s="20" t="s">
        <v>338</v>
      </c>
      <c r="D896" s="20" t="s">
        <v>17</v>
      </c>
    </row>
    <row r="897" spans="1:4">
      <c r="A897" s="18" t="str">
        <f t="shared" si="13"/>
        <v>570.3 HOT MIX ASPHALT CURB TYPE 3</v>
      </c>
      <c r="B897" s="19">
        <v>570.29999999999995</v>
      </c>
      <c r="C897" s="20" t="s">
        <v>339</v>
      </c>
      <c r="D897" s="20" t="s">
        <v>17</v>
      </c>
    </row>
    <row r="898" spans="1:4" s="26" customFormat="1">
      <c r="A898" s="18" t="str">
        <f t="shared" ref="A898:A961" si="14">B898&amp;" "&amp;C898</f>
        <v>572 HOT MIX ASPHALT CURB - OPTION</v>
      </c>
      <c r="B898" s="21">
        <v>572</v>
      </c>
      <c r="C898" s="22" t="s">
        <v>337</v>
      </c>
      <c r="D898" s="22" t="s">
        <v>7</v>
      </c>
    </row>
    <row r="899" spans="1:4">
      <c r="A899" s="18" t="str">
        <f t="shared" si="14"/>
        <v>572.1 HOT MIX ASPHALT CURB TYPE 1</v>
      </c>
      <c r="B899" s="19">
        <v>572.1</v>
      </c>
      <c r="C899" s="20" t="s">
        <v>1396</v>
      </c>
      <c r="D899" s="20" t="s">
        <v>7</v>
      </c>
    </row>
    <row r="900" spans="1:4" s="26" customFormat="1">
      <c r="A900" s="18" t="str">
        <f t="shared" si="14"/>
        <v>572.2 HOT MIX ASPHALT CURB TYPE 2</v>
      </c>
      <c r="B900" s="21">
        <v>572.20000000000005</v>
      </c>
      <c r="C900" s="22" t="s">
        <v>338</v>
      </c>
      <c r="D900" s="22" t="s">
        <v>7</v>
      </c>
    </row>
    <row r="901" spans="1:4">
      <c r="A901" s="18" t="str">
        <f t="shared" si="14"/>
        <v>572.3 HOT MIX ASPHALT CURB TYPE 3</v>
      </c>
      <c r="B901" s="19">
        <v>572.29999999999995</v>
      </c>
      <c r="C901" s="20" t="s">
        <v>339</v>
      </c>
      <c r="D901" s="20" t="s">
        <v>7</v>
      </c>
    </row>
    <row r="902" spans="1:4" s="26" customFormat="1">
      <c r="A902" s="18" t="str">
        <f t="shared" si="14"/>
        <v>580 CURB REMOVED AND RESET</v>
      </c>
      <c r="B902" s="21">
        <v>580</v>
      </c>
      <c r="C902" s="22" t="s">
        <v>56</v>
      </c>
      <c r="D902" s="22" t="s">
        <v>17</v>
      </c>
    </row>
    <row r="903" spans="1:4">
      <c r="A903" s="18" t="str">
        <f t="shared" si="14"/>
        <v>580.1 CURB REMOVED, RELOCATED AND RESET</v>
      </c>
      <c r="B903" s="21">
        <v>580.1</v>
      </c>
      <c r="C903" s="22" t="s">
        <v>1397</v>
      </c>
      <c r="D903" s="22" t="s">
        <v>17</v>
      </c>
    </row>
    <row r="904" spans="1:4" s="26" customFormat="1">
      <c r="A904" s="18" t="str">
        <f t="shared" si="14"/>
        <v>581 CURB INLET REMOVED AND RESET</v>
      </c>
      <c r="B904" s="21">
        <v>581</v>
      </c>
      <c r="C904" s="22" t="s">
        <v>340</v>
      </c>
      <c r="D904" s="22" t="s">
        <v>2</v>
      </c>
    </row>
    <row r="905" spans="1:4">
      <c r="A905" s="18" t="str">
        <f t="shared" si="14"/>
        <v>581.1 CURB INLET REMOVED, RELOCATED AND RESET</v>
      </c>
      <c r="B905" s="19">
        <v>581.1</v>
      </c>
      <c r="C905" s="20" t="s">
        <v>2402</v>
      </c>
      <c r="D905" s="20" t="s">
        <v>2</v>
      </c>
    </row>
    <row r="906" spans="1:4" s="26" customFormat="1">
      <c r="A906" s="18" t="str">
        <f t="shared" si="14"/>
        <v>582 CURB CORNER REMOVED AND RESET</v>
      </c>
      <c r="B906" s="19">
        <v>582</v>
      </c>
      <c r="C906" s="20" t="s">
        <v>341</v>
      </c>
      <c r="D906" s="20" t="s">
        <v>2</v>
      </c>
    </row>
    <row r="907" spans="1:4">
      <c r="A907" s="18" t="str">
        <f t="shared" si="14"/>
        <v>582.1 CURB CORNER - EXCLUDING COST OF CURB CORNER</v>
      </c>
      <c r="B907" s="19">
        <v>582.1</v>
      </c>
      <c r="C907" s="20" t="s">
        <v>2403</v>
      </c>
      <c r="D907" s="20" t="s">
        <v>2</v>
      </c>
    </row>
    <row r="908" spans="1:4" s="26" customFormat="1">
      <c r="A908" s="18" t="str">
        <f t="shared" si="14"/>
        <v>582.2 CURB CORNER REMOVED, RELOCATED AND RESET</v>
      </c>
      <c r="B908" s="19">
        <v>582.20000000000005</v>
      </c>
      <c r="C908" s="20" t="s">
        <v>2404</v>
      </c>
      <c r="D908" s="20" t="s">
        <v>2</v>
      </c>
    </row>
    <row r="909" spans="1:4">
      <c r="A909" s="18" t="str">
        <f t="shared" si="14"/>
        <v>583 EDGING REMOVED AND RESET</v>
      </c>
      <c r="B909" s="19">
        <v>583</v>
      </c>
      <c r="C909" s="20" t="s">
        <v>342</v>
      </c>
      <c r="D909" s="20" t="s">
        <v>17</v>
      </c>
    </row>
    <row r="910" spans="1:4" s="26" customFormat="1">
      <c r="A910" s="18" t="str">
        <f t="shared" si="14"/>
        <v>590 CURB REMOVED AND STACKED</v>
      </c>
      <c r="B910" s="21">
        <v>590</v>
      </c>
      <c r="C910" s="22" t="s">
        <v>343</v>
      </c>
      <c r="D910" s="22" t="s">
        <v>17</v>
      </c>
    </row>
    <row r="911" spans="1:4">
      <c r="A911" s="18" t="str">
        <f t="shared" si="14"/>
        <v>590.1 CONCRETE CURB BARRIER REMOVED AND STACKED</v>
      </c>
      <c r="B911" s="21">
        <v>590.1</v>
      </c>
      <c r="C911" s="22" t="s">
        <v>2405</v>
      </c>
      <c r="D911" s="22" t="s">
        <v>2</v>
      </c>
    </row>
    <row r="912" spans="1:4" s="26" customFormat="1">
      <c r="A912" s="18" t="str">
        <f t="shared" si="14"/>
        <v>590.2 CONCRETE CURB BARRIER REMOVED AND RESET</v>
      </c>
      <c r="B912" s="21">
        <v>590.20000000000005</v>
      </c>
      <c r="C912" s="22" t="s">
        <v>2406</v>
      </c>
      <c r="D912" s="22" t="s">
        <v>2</v>
      </c>
    </row>
    <row r="913" spans="1:4">
      <c r="A913" s="18" t="str">
        <f t="shared" si="14"/>
        <v>591 CURB INLET REMOVED AND STACKED</v>
      </c>
      <c r="B913" s="19">
        <v>591</v>
      </c>
      <c r="C913" s="20" t="s">
        <v>344</v>
      </c>
      <c r="D913" s="20" t="s">
        <v>2</v>
      </c>
    </row>
    <row r="914" spans="1:4" s="26" customFormat="1">
      <c r="A914" s="18" t="str">
        <f t="shared" si="14"/>
        <v>592 CURB CORNER REMOVED AND STACKED</v>
      </c>
      <c r="B914" s="21">
        <v>592</v>
      </c>
      <c r="C914" s="22" t="s">
        <v>345</v>
      </c>
      <c r="D914" s="22" t="s">
        <v>2</v>
      </c>
    </row>
    <row r="915" spans="1:4">
      <c r="A915" s="18" t="str">
        <f t="shared" si="14"/>
        <v>593 EDGING REMOVED AND STACKED</v>
      </c>
      <c r="B915" s="19">
        <v>593</v>
      </c>
      <c r="C915" s="20" t="s">
        <v>2407</v>
      </c>
      <c r="D915" s="20" t="s">
        <v>17</v>
      </c>
    </row>
    <row r="916" spans="1:4" s="26" customFormat="1">
      <c r="A916" s="18" t="str">
        <f t="shared" si="14"/>
        <v>594 CURB REMOVED AND DISCARDED</v>
      </c>
      <c r="B916" s="21">
        <v>594</v>
      </c>
      <c r="C916" s="22" t="s">
        <v>346</v>
      </c>
      <c r="D916" s="22" t="s">
        <v>17</v>
      </c>
    </row>
    <row r="917" spans="1:4">
      <c r="A917" s="18" t="str">
        <f t="shared" si="14"/>
        <v>595 CURB INLET REMOVED AND DISCARDED</v>
      </c>
      <c r="B917" s="19">
        <v>595</v>
      </c>
      <c r="C917" s="20" t="s">
        <v>347</v>
      </c>
      <c r="D917" s="20" t="s">
        <v>2</v>
      </c>
    </row>
    <row r="918" spans="1:4" s="26" customFormat="1">
      <c r="A918" s="18" t="str">
        <f t="shared" si="14"/>
        <v>596 CURB CORNER REMOVED AND DISCARDED</v>
      </c>
      <c r="B918" s="19">
        <v>596</v>
      </c>
      <c r="C918" s="20" t="s">
        <v>348</v>
      </c>
      <c r="D918" s="20" t="s">
        <v>2</v>
      </c>
    </row>
    <row r="919" spans="1:4">
      <c r="A919" s="18" t="str">
        <f t="shared" si="14"/>
        <v>597 EDGING REMOVED AND DISCARDED</v>
      </c>
      <c r="B919" s="21">
        <v>597</v>
      </c>
      <c r="C919" s="22" t="s">
        <v>349</v>
      </c>
      <c r="D919" s="22" t="s">
        <v>17</v>
      </c>
    </row>
    <row r="920" spans="1:4" s="26" customFormat="1">
      <c r="A920" s="18" t="str">
        <f t="shared" si="14"/>
        <v>620.12 GUARDRAIL, TL-2 (SINGLE FACED)</v>
      </c>
      <c r="B920" s="21">
        <v>620.12</v>
      </c>
      <c r="C920" s="22" t="s">
        <v>1252</v>
      </c>
      <c r="D920" s="22" t="s">
        <v>17</v>
      </c>
    </row>
    <row r="921" spans="1:4">
      <c r="A921" s="18" t="str">
        <f t="shared" si="14"/>
        <v>620.13 GUARDRAIL, TL-3 (SINGLE FACED)</v>
      </c>
      <c r="B921" s="19">
        <v>620.13</v>
      </c>
      <c r="C921" s="20" t="s">
        <v>1398</v>
      </c>
      <c r="D921" s="20" t="s">
        <v>17</v>
      </c>
    </row>
    <row r="922" spans="1:4" s="26" customFormat="1">
      <c r="A922" s="18" t="str">
        <f t="shared" si="14"/>
        <v>620.131 GUARDRAIL, DEEP POST (SINGLE FACED)</v>
      </c>
      <c r="B922" s="21">
        <v>620.13099999999997</v>
      </c>
      <c r="C922" s="22" t="s">
        <v>1399</v>
      </c>
      <c r="D922" s="22" t="s">
        <v>17</v>
      </c>
    </row>
    <row r="923" spans="1:4">
      <c r="A923" s="18" t="str">
        <f t="shared" si="14"/>
        <v>620.32 GUARDRAIL - CURVED, TL-2 (SINGLE FACED)</v>
      </c>
      <c r="B923" s="21">
        <v>620.32000000000005</v>
      </c>
      <c r="C923" s="22" t="s">
        <v>1253</v>
      </c>
      <c r="D923" s="22" t="s">
        <v>17</v>
      </c>
    </row>
    <row r="924" spans="1:4" s="26" customFormat="1">
      <c r="A924" s="18" t="str">
        <f t="shared" si="14"/>
        <v>620.33 GUARDRAIL - CURVED, TL-3 (SINGLE FACED)</v>
      </c>
      <c r="B924" s="19">
        <v>620.33000000000004</v>
      </c>
      <c r="C924" s="20" t="s">
        <v>1400</v>
      </c>
      <c r="D924" s="20" t="s">
        <v>17</v>
      </c>
    </row>
    <row r="925" spans="1:4">
      <c r="A925" s="18" t="str">
        <f t="shared" si="14"/>
        <v>621.12 GUARDRAIL, TL-2 (DOUBLE FACED)</v>
      </c>
      <c r="B925" s="19">
        <v>621.12</v>
      </c>
      <c r="C925" s="20" t="s">
        <v>1401</v>
      </c>
      <c r="D925" s="20" t="s">
        <v>17</v>
      </c>
    </row>
    <row r="926" spans="1:4" s="26" customFormat="1">
      <c r="A926" s="18" t="str">
        <f t="shared" si="14"/>
        <v>621.13 GUARDRAIL, TL-3 (DOUBLE FACED)</v>
      </c>
      <c r="B926" s="21">
        <v>621.13</v>
      </c>
      <c r="C926" s="22" t="s">
        <v>1402</v>
      </c>
      <c r="D926" s="22" t="s">
        <v>17</v>
      </c>
    </row>
    <row r="927" spans="1:4">
      <c r="A927" s="18" t="str">
        <f t="shared" si="14"/>
        <v>621.32 GUARDRAIL - CURVED, TL-2 (DOUBLE FACED)</v>
      </c>
      <c r="B927" s="21">
        <v>621.32000000000005</v>
      </c>
      <c r="C927" s="22" t="s">
        <v>2408</v>
      </c>
      <c r="D927" s="22" t="s">
        <v>17</v>
      </c>
    </row>
    <row r="928" spans="1:4" s="26" customFormat="1">
      <c r="A928" s="18" t="str">
        <f t="shared" si="14"/>
        <v>621.33 GUARDRAIL - CURVED, TL-3 (DOUBLE FACED)</v>
      </c>
      <c r="B928" s="19">
        <v>621.33000000000004</v>
      </c>
      <c r="C928" s="20" t="s">
        <v>2409</v>
      </c>
      <c r="D928" s="20" t="s">
        <v>17</v>
      </c>
    </row>
    <row r="929" spans="1:4">
      <c r="A929" s="18" t="str">
        <f t="shared" si="14"/>
        <v>627.1 TRAILING ANCHORAGE</v>
      </c>
      <c r="B929" s="19">
        <v>627.1</v>
      </c>
      <c r="C929" s="20" t="s">
        <v>1403</v>
      </c>
      <c r="D929" s="20" t="s">
        <v>2</v>
      </c>
    </row>
    <row r="930" spans="1:4" s="26" customFormat="1">
      <c r="A930" s="18" t="str">
        <f t="shared" si="14"/>
        <v>627.72 GUARDRAIL END TREATMENT, TL-2 (DOUBLE FACED)</v>
      </c>
      <c r="B930" s="19">
        <v>627.72</v>
      </c>
      <c r="C930" s="20" t="s">
        <v>1404</v>
      </c>
      <c r="D930" s="20" t="s">
        <v>2</v>
      </c>
    </row>
    <row r="931" spans="1:4">
      <c r="A931" s="18" t="str">
        <f t="shared" si="14"/>
        <v>627.73 GUARDRAIL END TREATMENT, TL-3 (DOUBLE FACED)</v>
      </c>
      <c r="B931" s="19">
        <v>627.73</v>
      </c>
      <c r="C931" s="20" t="s">
        <v>1405</v>
      </c>
      <c r="D931" s="20" t="s">
        <v>2</v>
      </c>
    </row>
    <row r="932" spans="1:4" s="26" customFormat="1">
      <c r="A932" s="18" t="str">
        <f t="shared" si="14"/>
        <v>627.82 GUARDRAIL TANGENT END TREATMENT, TL-2</v>
      </c>
      <c r="B932" s="19">
        <v>627.82000000000005</v>
      </c>
      <c r="C932" s="20" t="s">
        <v>1406</v>
      </c>
      <c r="D932" s="20" t="s">
        <v>2</v>
      </c>
    </row>
    <row r="933" spans="1:4">
      <c r="A933" s="18" t="str">
        <f t="shared" si="14"/>
        <v>627.83 GUARDRAIL TANGENT END TREATMENT, TL-3</v>
      </c>
      <c r="B933" s="21">
        <v>627.83000000000004</v>
      </c>
      <c r="C933" s="22" t="s">
        <v>1407</v>
      </c>
      <c r="D933" s="22" t="s">
        <v>2</v>
      </c>
    </row>
    <row r="934" spans="1:4" s="26" customFormat="1">
      <c r="A934" s="18" t="str">
        <f t="shared" si="14"/>
        <v>627.92 GUARDRAIL FLARED END TREATMENT, TL-2</v>
      </c>
      <c r="B934" s="21">
        <v>627.91999999999996</v>
      </c>
      <c r="C934" s="22" t="s">
        <v>1408</v>
      </c>
      <c r="D934" s="22" t="s">
        <v>2</v>
      </c>
    </row>
    <row r="935" spans="1:4">
      <c r="A935" s="18" t="str">
        <f t="shared" si="14"/>
        <v>627.93 GUARDRAIL FLARED END TREATMENT, TL-3</v>
      </c>
      <c r="B935" s="21">
        <v>627.92999999999995</v>
      </c>
      <c r="C935" s="22" t="s">
        <v>1409</v>
      </c>
      <c r="D935" s="22" t="s">
        <v>2</v>
      </c>
    </row>
    <row r="936" spans="1:4" s="26" customFormat="1">
      <c r="A936" s="18" t="str">
        <f t="shared" si="14"/>
        <v>628.21 TRANSITION TO NCHRP 350 GUARDRAIL</v>
      </c>
      <c r="B936" s="19">
        <v>628.21</v>
      </c>
      <c r="C936" s="20" t="s">
        <v>1410</v>
      </c>
      <c r="D936" s="20" t="s">
        <v>2</v>
      </c>
    </row>
    <row r="937" spans="1:4">
      <c r="A937" s="18" t="str">
        <f t="shared" si="14"/>
        <v>628.22 TRANSITION TO RIGID BARRIER (SINGLE FACED)</v>
      </c>
      <c r="B937" s="19">
        <v>628.22</v>
      </c>
      <c r="C937" s="20" t="s">
        <v>1411</v>
      </c>
      <c r="D937" s="20" t="s">
        <v>2</v>
      </c>
    </row>
    <row r="938" spans="1:4" s="26" customFormat="1">
      <c r="A938" s="18" t="str">
        <f t="shared" si="14"/>
        <v>628.23 TRANSITION TO RIGID BARRIER (DOUBLE FACED)</v>
      </c>
      <c r="B938" s="21">
        <v>628.23</v>
      </c>
      <c r="C938" s="22" t="s">
        <v>1412</v>
      </c>
      <c r="D938" s="22" t="s">
        <v>2</v>
      </c>
    </row>
    <row r="939" spans="1:4">
      <c r="A939" s="18" t="str">
        <f t="shared" si="14"/>
        <v>628.24 TRANSITION TO BRIDGE RAIL</v>
      </c>
      <c r="B939" s="19">
        <v>628.24</v>
      </c>
      <c r="C939" s="20" t="s">
        <v>1413</v>
      </c>
      <c r="D939" s="20" t="s">
        <v>2</v>
      </c>
    </row>
    <row r="940" spans="1:4" s="26" customFormat="1">
      <c r="A940" s="18" t="str">
        <f t="shared" si="14"/>
        <v>628.25 TRANSITION TO THRIE BEAM</v>
      </c>
      <c r="B940" s="19">
        <v>628.25</v>
      </c>
      <c r="C940" s="20" t="s">
        <v>1414</v>
      </c>
      <c r="D940" s="20" t="s">
        <v>2</v>
      </c>
    </row>
    <row r="941" spans="1:4">
      <c r="A941" s="18" t="str">
        <f t="shared" si="14"/>
        <v>628.302 PERMANENT IMPACT ATTENUATOR, NON-REDIRECTIVE, TL-2</v>
      </c>
      <c r="B941" s="21">
        <v>628.30200000000002</v>
      </c>
      <c r="C941" s="22" t="s">
        <v>2410</v>
      </c>
      <c r="D941" s="22" t="s">
        <v>2</v>
      </c>
    </row>
    <row r="942" spans="1:4" s="26" customFormat="1">
      <c r="A942" s="18" t="str">
        <f t="shared" si="14"/>
        <v>628.303 PERMANENT IMPACT ATTENUATOR, NON-REDIRECTIVE, TL-3</v>
      </c>
      <c r="B942" s="21">
        <v>628.303</v>
      </c>
      <c r="C942" s="22" t="s">
        <v>2411</v>
      </c>
      <c r="D942" s="22" t="s">
        <v>2</v>
      </c>
    </row>
    <row r="943" spans="1:4">
      <c r="A943" s="18" t="str">
        <f t="shared" si="14"/>
        <v>628.304 TEMPORARY IMPACT ATTENUATOR, NON-REDIRECTIVE, TL-2</v>
      </c>
      <c r="B943" s="21">
        <v>628.30399999999997</v>
      </c>
      <c r="C943" s="22" t="s">
        <v>2412</v>
      </c>
      <c r="D943" s="22" t="s">
        <v>2</v>
      </c>
    </row>
    <row r="944" spans="1:4" s="26" customFormat="1">
      <c r="A944" s="18" t="str">
        <f t="shared" si="14"/>
        <v>628.305 TEMPORARY IMPACT ATTENUATOR, NON-REDIRECTIVE, TL-3</v>
      </c>
      <c r="B944" s="19">
        <v>628.30499999999995</v>
      </c>
      <c r="C944" s="20" t="s">
        <v>2413</v>
      </c>
      <c r="D944" s="20" t="s">
        <v>2</v>
      </c>
    </row>
    <row r="945" spans="1:4">
      <c r="A945" s="18" t="str">
        <f t="shared" si="14"/>
        <v>628.31 IMPACT ATTENUATOR FOR SHOULDER, INCAPABLE OF REDIRECTION</v>
      </c>
      <c r="B945" s="21">
        <v>628.30999999999995</v>
      </c>
      <c r="C945" s="22" t="s">
        <v>350</v>
      </c>
      <c r="D945" s="22" t="s">
        <v>2</v>
      </c>
    </row>
    <row r="946" spans="1:4" s="26" customFormat="1">
      <c r="A946" s="18" t="str">
        <f t="shared" si="14"/>
        <v>628.312 PERMANENT IMPACT ATTENUATOR, REDIRECTIVE, TL-2</v>
      </c>
      <c r="B946" s="19">
        <v>628.31200000000001</v>
      </c>
      <c r="C946" s="20" t="s">
        <v>2414</v>
      </c>
      <c r="D946" s="20" t="s">
        <v>2</v>
      </c>
    </row>
    <row r="947" spans="1:4">
      <c r="A947" s="18" t="str">
        <f t="shared" si="14"/>
        <v>628.313 PERMANENT IMPACT ATTENUATOR, REDIRECTIVE, TL-3</v>
      </c>
      <c r="B947" s="21">
        <v>628.31299999999999</v>
      </c>
      <c r="C947" s="22" t="s">
        <v>2415</v>
      </c>
      <c r="D947" s="22" t="s">
        <v>2</v>
      </c>
    </row>
    <row r="948" spans="1:4" s="26" customFormat="1">
      <c r="A948" s="18" t="str">
        <f t="shared" si="14"/>
        <v>628.314 TEMPORARY IMPACT ATTENUATOR, REDIRECTIVE, TL-2</v>
      </c>
      <c r="B948" s="19">
        <v>628.31399999999996</v>
      </c>
      <c r="C948" s="20" t="s">
        <v>2416</v>
      </c>
      <c r="D948" s="20" t="s">
        <v>2</v>
      </c>
    </row>
    <row r="949" spans="1:4">
      <c r="A949" s="18" t="str">
        <f t="shared" si="14"/>
        <v>628.315 TEMPORARY IMPACT ATTENUATOR, REDIRECTIVE, TL-3</v>
      </c>
      <c r="B949" s="21">
        <v>628.31500000000005</v>
      </c>
      <c r="C949" s="22" t="s">
        <v>2417</v>
      </c>
      <c r="D949" s="22" t="s">
        <v>2</v>
      </c>
    </row>
    <row r="950" spans="1:4" s="26" customFormat="1">
      <c r="A950" s="18" t="str">
        <f t="shared" si="14"/>
        <v>628.32 IMPACT ATTENUATOR FOR SHOULDER,  CAPABLE OF REDIRECTION</v>
      </c>
      <c r="B950" s="21">
        <v>628.32000000000005</v>
      </c>
      <c r="C950" s="22" t="s">
        <v>2418</v>
      </c>
      <c r="D950" s="22" t="s">
        <v>2</v>
      </c>
    </row>
    <row r="951" spans="1:4">
      <c r="A951" s="18" t="str">
        <f t="shared" si="14"/>
        <v>628.322 PERMANENT IMPACT ATTENUATOR, LOW MAINTENANCE, TL-2</v>
      </c>
      <c r="B951" s="19">
        <v>628.322</v>
      </c>
      <c r="C951" s="20" t="s">
        <v>2419</v>
      </c>
      <c r="D951" s="20" t="s">
        <v>2</v>
      </c>
    </row>
    <row r="952" spans="1:4" s="26" customFormat="1">
      <c r="A952" s="18" t="str">
        <f t="shared" si="14"/>
        <v>628.323 PERMANENT IMPACT ATTENUATOR, LOW MAINTENANCE, TL-3</v>
      </c>
      <c r="B952" s="19">
        <v>628.32299999999998</v>
      </c>
      <c r="C952" s="20" t="s">
        <v>2420</v>
      </c>
      <c r="D952" s="20" t="s">
        <v>2</v>
      </c>
    </row>
    <row r="953" spans="1:4">
      <c r="A953" s="18" t="str">
        <f t="shared" si="14"/>
        <v>628.33 IMPACT ATTENUATOR FOR MEDIAN, INCAPABLE OF REDIRECTION</v>
      </c>
      <c r="B953" s="19">
        <v>628.33000000000004</v>
      </c>
      <c r="C953" s="20" t="s">
        <v>351</v>
      </c>
      <c r="D953" s="20" t="s">
        <v>2</v>
      </c>
    </row>
    <row r="954" spans="1:4" s="26" customFormat="1">
      <c r="A954" s="18" t="str">
        <f t="shared" si="14"/>
        <v>628.34 IMPACT ATTENUATOR FOR MEDIAN, CAPABLE OF REDIRECTION</v>
      </c>
      <c r="B954" s="21">
        <v>628.34</v>
      </c>
      <c r="C954" s="22" t="s">
        <v>352</v>
      </c>
      <c r="D954" s="22" t="s">
        <v>2</v>
      </c>
    </row>
    <row r="955" spans="1:4">
      <c r="A955" s="18" t="str">
        <f t="shared" si="14"/>
        <v>628.4 TEMPORARY IMPACT ATTENUATOR REMOVED AND RESET</v>
      </c>
      <c r="B955" s="21">
        <v>628.4</v>
      </c>
      <c r="C955" s="22" t="s">
        <v>2421</v>
      </c>
      <c r="D955" s="22" t="s">
        <v>2</v>
      </c>
    </row>
    <row r="956" spans="1:4" s="26" customFormat="1">
      <c r="A956" s="18" t="str">
        <f t="shared" si="14"/>
        <v>629.1 PRECAST CONCRETE BARRIER - SINGLE FACED</v>
      </c>
      <c r="B956" s="19">
        <v>629.1</v>
      </c>
      <c r="C956" s="20" t="s">
        <v>353</v>
      </c>
      <c r="D956" s="20" t="s">
        <v>17</v>
      </c>
    </row>
    <row r="957" spans="1:4">
      <c r="A957" s="18" t="str">
        <f t="shared" si="14"/>
        <v>629.2 PRECAST CONCRETE MEDIAN BARRIER - DOUBLE FACED</v>
      </c>
      <c r="B957" s="19">
        <v>629.20000000000005</v>
      </c>
      <c r="C957" s="20" t="s">
        <v>354</v>
      </c>
      <c r="D957" s="20" t="s">
        <v>17</v>
      </c>
    </row>
    <row r="958" spans="1:4" s="26" customFormat="1">
      <c r="A958" s="18" t="str">
        <f t="shared" si="14"/>
        <v>629.3 CAST-IN-PLACE CONCRETE BARRIER - SINGLE FACED</v>
      </c>
      <c r="B958" s="21">
        <v>629.29999999999995</v>
      </c>
      <c r="C958" s="22" t="s">
        <v>1415</v>
      </c>
      <c r="D958" s="22" t="s">
        <v>17</v>
      </c>
    </row>
    <row r="959" spans="1:4">
      <c r="A959" s="18" t="str">
        <f t="shared" si="14"/>
        <v>629.4 CAST-IN-PLACE CONCRETE MEDIAN BARRIER - DOUBLE FACED</v>
      </c>
      <c r="B959" s="19">
        <v>629.4</v>
      </c>
      <c r="C959" s="20" t="s">
        <v>355</v>
      </c>
      <c r="D959" s="20" t="s">
        <v>17</v>
      </c>
    </row>
    <row r="960" spans="1:4" s="26" customFormat="1">
      <c r="A960" s="18" t="str">
        <f t="shared" si="14"/>
        <v>629.5 CAST-IN-PLACE MEDIAN BARRIER CAP</v>
      </c>
      <c r="B960" s="21">
        <v>629.5</v>
      </c>
      <c r="C960" s="22" t="s">
        <v>1416</v>
      </c>
      <c r="D960" s="22" t="s">
        <v>4</v>
      </c>
    </row>
    <row r="961" spans="1:4">
      <c r="A961" s="18" t="str">
        <f t="shared" si="14"/>
        <v>630 HIGHWAY GUARD REMOVED AND RESET</v>
      </c>
      <c r="B961" s="19">
        <v>630</v>
      </c>
      <c r="C961" s="20" t="s">
        <v>356</v>
      </c>
      <c r="D961" s="20" t="s">
        <v>17</v>
      </c>
    </row>
    <row r="962" spans="1:4" s="26" customFormat="1">
      <c r="A962" s="18" t="str">
        <f t="shared" ref="A962:A1025" si="15">B962&amp;" "&amp;C962</f>
        <v>630.1 HIGHWAY GUARD REMOVED AND STACKED</v>
      </c>
      <c r="B962" s="21">
        <v>630.1</v>
      </c>
      <c r="C962" s="22" t="s">
        <v>357</v>
      </c>
      <c r="D962" s="22" t="s">
        <v>17</v>
      </c>
    </row>
    <row r="963" spans="1:4">
      <c r="A963" s="18" t="str">
        <f t="shared" si="15"/>
        <v>630.2 HIGHWAY GUARD REMOVED AND DISCARDED</v>
      </c>
      <c r="B963" s="21">
        <v>630.20000000000005</v>
      </c>
      <c r="C963" s="22" t="s">
        <v>358</v>
      </c>
      <c r="D963" s="22" t="s">
        <v>17</v>
      </c>
    </row>
    <row r="964" spans="1:4" s="26" customFormat="1">
      <c r="A964" s="18" t="str">
        <f t="shared" si="15"/>
        <v>630.3 HIGHWAY GUARD REMOVED AND RESET BY FIELD DRILLING</v>
      </c>
      <c r="B964" s="19">
        <v>630.29999999999995</v>
      </c>
      <c r="C964" s="20" t="s">
        <v>2422</v>
      </c>
      <c r="D964" s="20" t="s">
        <v>17</v>
      </c>
    </row>
    <row r="965" spans="1:4">
      <c r="A965" s="18" t="str">
        <f t="shared" si="15"/>
        <v>631 SPECIAL BASE ANCHOR FOR GUARDRAIL POST</v>
      </c>
      <c r="B965" s="19">
        <v>631</v>
      </c>
      <c r="C965" s="20" t="s">
        <v>1417</v>
      </c>
      <c r="D965" s="20" t="s">
        <v>2</v>
      </c>
    </row>
    <row r="966" spans="1:4" s="26" customFormat="1">
      <c r="A966" s="18" t="str">
        <f t="shared" si="15"/>
        <v>632 GUARDRAIL POST - STEEL</v>
      </c>
      <c r="B966" s="21">
        <v>632</v>
      </c>
      <c r="C966" s="22" t="s">
        <v>359</v>
      </c>
      <c r="D966" s="22" t="s">
        <v>2</v>
      </c>
    </row>
    <row r="967" spans="1:4">
      <c r="A967" s="18" t="str">
        <f t="shared" si="15"/>
        <v>632.1 GUARDRAIL POST - WOOD</v>
      </c>
      <c r="B967" s="19">
        <v>632.1</v>
      </c>
      <c r="C967" s="20" t="s">
        <v>360</v>
      </c>
      <c r="D967" s="20" t="s">
        <v>2</v>
      </c>
    </row>
    <row r="968" spans="1:4" s="26" customFormat="1">
      <c r="A968" s="18" t="str">
        <f t="shared" si="15"/>
        <v>632.11 GUARDRAIL, DEEP POST - STEEL</v>
      </c>
      <c r="B968" s="21">
        <v>632.11</v>
      </c>
      <c r="C968" s="22" t="s">
        <v>2423</v>
      </c>
      <c r="D968" s="22" t="s">
        <v>2</v>
      </c>
    </row>
    <row r="969" spans="1:4">
      <c r="A969" s="18" t="str">
        <f t="shared" si="15"/>
        <v>632.2 INDIVIDUAL POST REMOVED AND RESET</v>
      </c>
      <c r="B969" s="19">
        <v>632.20000000000005</v>
      </c>
      <c r="C969" s="20" t="s">
        <v>1418</v>
      </c>
      <c r="D969" s="20" t="s">
        <v>2</v>
      </c>
    </row>
    <row r="970" spans="1:4" s="26" customFormat="1">
      <c r="A970" s="18" t="str">
        <f t="shared" si="15"/>
        <v>632.3 INDIVIDUAL POST REMOVED AND STACKED</v>
      </c>
      <c r="B970" s="19">
        <v>632.29999999999995</v>
      </c>
      <c r="C970" s="20" t="s">
        <v>2424</v>
      </c>
      <c r="D970" s="20" t="s">
        <v>2</v>
      </c>
    </row>
    <row r="971" spans="1:4">
      <c r="A971" s="18" t="str">
        <f t="shared" si="15"/>
        <v>632.4 INDIVIDUAL POST REMOVED AND DISCARDED</v>
      </c>
      <c r="B971" s="21">
        <v>632.4</v>
      </c>
      <c r="C971" s="22" t="s">
        <v>361</v>
      </c>
      <c r="D971" s="22" t="s">
        <v>2</v>
      </c>
    </row>
    <row r="972" spans="1:4" s="26" customFormat="1">
      <c r="A972" s="18" t="str">
        <f t="shared" si="15"/>
        <v>633 GUARDRAIL OFFSET BLOCK - W BEAM</v>
      </c>
      <c r="B972" s="21">
        <v>633</v>
      </c>
      <c r="C972" s="22" t="s">
        <v>362</v>
      </c>
      <c r="D972" s="22" t="s">
        <v>2</v>
      </c>
    </row>
    <row r="973" spans="1:4">
      <c r="A973" s="18" t="str">
        <f t="shared" si="15"/>
        <v>633.1 GUARDRAIL OFFSET BLOCK - THRIE BEAM</v>
      </c>
      <c r="B973" s="21">
        <v>633.1</v>
      </c>
      <c r="C973" s="22" t="s">
        <v>363</v>
      </c>
      <c r="D973" s="22" t="s">
        <v>2</v>
      </c>
    </row>
    <row r="974" spans="1:4" s="26" customFormat="1">
      <c r="A974" s="18" t="str">
        <f t="shared" si="15"/>
        <v>634 W BEAM GUARD PANEL</v>
      </c>
      <c r="B974" s="19">
        <v>634</v>
      </c>
      <c r="C974" s="20" t="s">
        <v>364</v>
      </c>
      <c r="D974" s="20" t="s">
        <v>2</v>
      </c>
    </row>
    <row r="975" spans="1:4">
      <c r="A975" s="18" t="str">
        <f t="shared" si="15"/>
        <v>634.1 THRIE BEAM GUARD PANEL</v>
      </c>
      <c r="B975" s="21">
        <v>634.1</v>
      </c>
      <c r="C975" s="22" t="s">
        <v>365</v>
      </c>
      <c r="D975" s="22" t="s">
        <v>2</v>
      </c>
    </row>
    <row r="976" spans="1:4" s="26" customFormat="1">
      <c r="A976" s="18" t="str">
        <f t="shared" si="15"/>
        <v>638.1 PROTECTIVE SCREEN (CHAIN LINK)</v>
      </c>
      <c r="B976" s="19">
        <v>638.1</v>
      </c>
      <c r="C976" s="20" t="s">
        <v>366</v>
      </c>
      <c r="D976" s="20" t="s">
        <v>17</v>
      </c>
    </row>
    <row r="977" spans="1:4">
      <c r="A977" s="18" t="str">
        <f t="shared" si="15"/>
        <v>638.11 PROTECTIVE SCREEN (CHAIN LINK) WITH HANDRAIL</v>
      </c>
      <c r="B977" s="19">
        <v>638.11</v>
      </c>
      <c r="C977" s="20" t="s">
        <v>2425</v>
      </c>
      <c r="D977" s="20" t="s">
        <v>17</v>
      </c>
    </row>
    <row r="978" spans="1:4" s="26" customFormat="1">
      <c r="A978" s="18" t="str">
        <f t="shared" si="15"/>
        <v>638.2 PROTECTIVE SCREEN FOR PEDESTRIAN OVERPASS</v>
      </c>
      <c r="B978" s="19">
        <v>638.20000000000005</v>
      </c>
      <c r="C978" s="20" t="s">
        <v>2426</v>
      </c>
      <c r="D978" s="20" t="s">
        <v>17</v>
      </c>
    </row>
    <row r="979" spans="1:4">
      <c r="A979" s="18" t="str">
        <f t="shared" si="15"/>
        <v>644.036 36 INCH CHAIN LINK FENCE (SPRING TENSION WIRE) (LINE POST OPTION)</v>
      </c>
      <c r="B979" s="21">
        <v>644.03599999999994</v>
      </c>
      <c r="C979" s="22" t="s">
        <v>2427</v>
      </c>
      <c r="D979" s="22" t="s">
        <v>17</v>
      </c>
    </row>
    <row r="980" spans="1:4" s="26" customFormat="1">
      <c r="A980" s="18" t="str">
        <f t="shared" si="15"/>
        <v>644.048 48 INCH CHAIN LINK FENCE (SPRING TENSION WIRE) (LINE POST OPTION)</v>
      </c>
      <c r="B980" s="19">
        <v>644.048</v>
      </c>
      <c r="C980" s="20" t="s">
        <v>2428</v>
      </c>
      <c r="D980" s="20" t="s">
        <v>17</v>
      </c>
    </row>
    <row r="981" spans="1:4">
      <c r="A981" s="18" t="str">
        <f t="shared" si="15"/>
        <v>644.06 60 INCH CHAIN LINK FENCE (SPRING TENSION WIRE) (LINE POST OPTION)</v>
      </c>
      <c r="B981" s="21">
        <v>644.05999999999995</v>
      </c>
      <c r="C981" s="22" t="s">
        <v>367</v>
      </c>
      <c r="D981" s="22" t="s">
        <v>17</v>
      </c>
    </row>
    <row r="982" spans="1:4" s="26" customFormat="1">
      <c r="A982" s="18" t="str">
        <f t="shared" si="15"/>
        <v>644.072 72 INCH CHAIN LINK FENCE (SPRING TENSION WIRE) (LINE POST OPTION)</v>
      </c>
      <c r="B982" s="21">
        <v>644.072</v>
      </c>
      <c r="C982" s="22" t="s">
        <v>368</v>
      </c>
      <c r="D982" s="22" t="s">
        <v>17</v>
      </c>
    </row>
    <row r="983" spans="1:4">
      <c r="A983" s="18" t="str">
        <f t="shared" si="15"/>
        <v>644.084 84 INCH CHAIN LINK FENCE (SPRING TENSION WIRE) (LINE POST OPTION)</v>
      </c>
      <c r="B983" s="21">
        <v>644.08399999999995</v>
      </c>
      <c r="C983" s="22" t="s">
        <v>2429</v>
      </c>
      <c r="D983" s="22" t="s">
        <v>17</v>
      </c>
    </row>
    <row r="984" spans="1:4" s="26" customFormat="1">
      <c r="A984" s="18" t="str">
        <f t="shared" si="15"/>
        <v>644.096 96 INCH CHAIN LINK FENCE (SPRING TENSION WIRE) (LINE POST OPTION)</v>
      </c>
      <c r="B984" s="19">
        <v>644.096</v>
      </c>
      <c r="C984" s="20" t="s">
        <v>2430</v>
      </c>
      <c r="D984" s="20" t="s">
        <v>17</v>
      </c>
    </row>
    <row r="985" spans="1:4">
      <c r="A985" s="18" t="str">
        <f t="shared" si="15"/>
        <v>644.097 120 INCH CHAIN LINK FENCE (SPRING TENSION WIRE) (LINE POST OPTION)</v>
      </c>
      <c r="B985" s="21">
        <v>644.09699999999998</v>
      </c>
      <c r="C985" s="22" t="s">
        <v>2431</v>
      </c>
      <c r="D985" s="22" t="s">
        <v>17</v>
      </c>
    </row>
    <row r="986" spans="1:4" s="26" customFormat="1">
      <c r="A986" s="18" t="str">
        <f t="shared" si="15"/>
        <v>644.098 144 INCH CHAIN LINK FENCE (SPRING TENSION WIRE) (LINE POST OPTION)</v>
      </c>
      <c r="B986" s="19">
        <v>644.09799999999996</v>
      </c>
      <c r="C986" s="20" t="s">
        <v>2432</v>
      </c>
      <c r="D986" s="20" t="s">
        <v>17</v>
      </c>
    </row>
    <row r="987" spans="1:4">
      <c r="A987" s="18" t="str">
        <f t="shared" si="15"/>
        <v>644.136 36 INCH CHAIN LINK FENCE (SPRING TENSION WIRE) VINYL COATED (LINE POST OPTION)</v>
      </c>
      <c r="B987" s="21">
        <v>644.13599999999997</v>
      </c>
      <c r="C987" s="22" t="s">
        <v>2433</v>
      </c>
      <c r="D987" s="22" t="s">
        <v>17</v>
      </c>
    </row>
    <row r="988" spans="1:4" s="26" customFormat="1">
      <c r="A988" s="18" t="str">
        <f t="shared" si="15"/>
        <v>644.148 48 INCH CHAIN LINK FENCE (SPRING TENSION WIRE) VINYL COATED (LINE POST OPTION)</v>
      </c>
      <c r="B988" s="21">
        <v>644.14800000000002</v>
      </c>
      <c r="C988" s="22" t="s">
        <v>369</v>
      </c>
      <c r="D988" s="22" t="s">
        <v>17</v>
      </c>
    </row>
    <row r="989" spans="1:4">
      <c r="A989" s="18" t="str">
        <f t="shared" si="15"/>
        <v>644.16 60 INCH CHAIN LINK FENCE (SPRING TENSION WIRE) VINYL COATED (LINE POST OPTION)</v>
      </c>
      <c r="B989" s="19">
        <v>644.16</v>
      </c>
      <c r="C989" s="20" t="s">
        <v>370</v>
      </c>
      <c r="D989" s="20" t="s">
        <v>17</v>
      </c>
    </row>
    <row r="990" spans="1:4" s="26" customFormat="1">
      <c r="A990" s="18" t="str">
        <f t="shared" si="15"/>
        <v>644.172 72 INCH CHAIN LINK FENCE (SPRING TENSION WIRE) VINYL COATED (LINE POST OPTION)</v>
      </c>
      <c r="B990" s="21">
        <v>644.17200000000003</v>
      </c>
      <c r="C990" s="22" t="s">
        <v>371</v>
      </c>
      <c r="D990" s="22" t="s">
        <v>17</v>
      </c>
    </row>
    <row r="991" spans="1:4">
      <c r="A991" s="18" t="str">
        <f t="shared" si="15"/>
        <v>644.184 84 INCH CHAIN LINK FENCE (SPRING TENSION WIRE) VINYL COATED (LINE POST OPTION)</v>
      </c>
      <c r="B991" s="21">
        <v>644.18399999999997</v>
      </c>
      <c r="C991" s="22" t="s">
        <v>2434</v>
      </c>
      <c r="D991" s="22" t="s">
        <v>17</v>
      </c>
    </row>
    <row r="992" spans="1:4" s="26" customFormat="1">
      <c r="A992" s="18" t="str">
        <f t="shared" si="15"/>
        <v>644.196 96 INCH CHAIN LINK FENCE (SPRING TENSION WIRE) VINYL COATED (LINE POST OPTION)</v>
      </c>
      <c r="B992" s="19">
        <v>644.19600000000003</v>
      </c>
      <c r="C992" s="20" t="s">
        <v>372</v>
      </c>
      <c r="D992" s="20" t="s">
        <v>17</v>
      </c>
    </row>
    <row r="993" spans="1:4">
      <c r="A993" s="18" t="str">
        <f t="shared" si="15"/>
        <v>644.197 120 INCH CHAIN LINK FENCE (SPRING TENSION WIRE) VINYL COATED (LINE POST OPTION)</v>
      </c>
      <c r="B993" s="19">
        <v>644.197</v>
      </c>
      <c r="C993" s="20" t="s">
        <v>2435</v>
      </c>
      <c r="D993" s="20" t="s">
        <v>17</v>
      </c>
    </row>
    <row r="994" spans="1:4" s="26" customFormat="1">
      <c r="A994" s="18" t="str">
        <f t="shared" si="15"/>
        <v>644.198 144 INCH CHAIN LINK FENCE (SPRING TENSION WIRE) VINYL COATED (LINE POST OPTION)</v>
      </c>
      <c r="B994" s="19">
        <v>644.19799999999998</v>
      </c>
      <c r="C994" s="20" t="s">
        <v>2436</v>
      </c>
      <c r="D994" s="20" t="s">
        <v>17</v>
      </c>
    </row>
    <row r="995" spans="1:4">
      <c r="A995" s="18" t="str">
        <f t="shared" si="15"/>
        <v>645.036 36 INCH CHAIN LINK FENCE (PIPE TOP RAIL) (LINE POST OPTION)</v>
      </c>
      <c r="B995" s="19">
        <v>645.03599999999994</v>
      </c>
      <c r="C995" s="20" t="s">
        <v>2437</v>
      </c>
      <c r="D995" s="20" t="s">
        <v>17</v>
      </c>
    </row>
    <row r="996" spans="1:4" s="26" customFormat="1">
      <c r="A996" s="18" t="str">
        <f t="shared" si="15"/>
        <v>645.048 48 INCH CHAIN LINK FENCE (PIPE TOP RAIL) (LINE POST OPTION)</v>
      </c>
      <c r="B996" s="21">
        <v>645.048</v>
      </c>
      <c r="C996" s="22" t="s">
        <v>373</v>
      </c>
      <c r="D996" s="22" t="s">
        <v>17</v>
      </c>
    </row>
    <row r="997" spans="1:4">
      <c r="A997" s="18" t="str">
        <f t="shared" si="15"/>
        <v>645.06 60 INCH CHAIN LINK FENCE (PIPE TOP RAIL) (LINE POST OPTION)</v>
      </c>
      <c r="B997" s="21">
        <v>645.05999999999995</v>
      </c>
      <c r="C997" s="22" t="s">
        <v>2438</v>
      </c>
      <c r="D997" s="22" t="s">
        <v>17</v>
      </c>
    </row>
    <row r="998" spans="1:4" s="26" customFormat="1">
      <c r="A998" s="18" t="str">
        <f t="shared" si="15"/>
        <v>645.072 72 INCH CHAIN LINK FENCE (PIPE TOP RAIL) (LINE POST OPTION)</v>
      </c>
      <c r="B998" s="21">
        <v>645.072</v>
      </c>
      <c r="C998" s="22" t="s">
        <v>374</v>
      </c>
      <c r="D998" s="22" t="s">
        <v>17</v>
      </c>
    </row>
    <row r="999" spans="1:4">
      <c r="A999" s="18" t="str">
        <f t="shared" si="15"/>
        <v>645.084 84 INCH CHAIN LINK FENCE (PIPE TOP RAIL) (LINE POST OPTION)</v>
      </c>
      <c r="B999" s="21">
        <v>645.08399999999995</v>
      </c>
      <c r="C999" s="22" t="s">
        <v>2439</v>
      </c>
      <c r="D999" s="22" t="s">
        <v>17</v>
      </c>
    </row>
    <row r="1000" spans="1:4" s="26" customFormat="1">
      <c r="A1000" s="18" t="str">
        <f t="shared" si="15"/>
        <v>645.096 96 INCH CHAIN LINK FENCE (PIPE TOP RAIL) (LINE POST OPTION)</v>
      </c>
      <c r="B1000" s="19">
        <v>645.096</v>
      </c>
      <c r="C1000" s="20" t="s">
        <v>1419</v>
      </c>
      <c r="D1000" s="20" t="s">
        <v>17</v>
      </c>
    </row>
    <row r="1001" spans="1:4">
      <c r="A1001" s="18" t="str">
        <f t="shared" si="15"/>
        <v>645.097 120 INCH CHAIN LINK FENCE (PIPE TOP RAIL) (LINE POST OPTION)</v>
      </c>
      <c r="B1001" s="21">
        <v>645.09699999999998</v>
      </c>
      <c r="C1001" s="22" t="s">
        <v>2440</v>
      </c>
      <c r="D1001" s="22" t="s">
        <v>17</v>
      </c>
    </row>
    <row r="1002" spans="1:4" s="26" customFormat="1">
      <c r="A1002" s="18" t="str">
        <f t="shared" si="15"/>
        <v>645.098 144 INCH CHAIN LINK FENCE (PIPE TOP RAIL) (LINE POST OPTION)</v>
      </c>
      <c r="B1002" s="19">
        <v>645.09799999999996</v>
      </c>
      <c r="C1002" s="20" t="s">
        <v>2441</v>
      </c>
      <c r="D1002" s="20" t="s">
        <v>17</v>
      </c>
    </row>
    <row r="1003" spans="1:4">
      <c r="A1003" s="18" t="str">
        <f t="shared" si="15"/>
        <v>645.137 36 INCH CHAIN LINK FENCE (PIPE TOP RAIL) VINYL COATED (LINE POST OPTION)</v>
      </c>
      <c r="B1003" s="19">
        <v>645.13699999999994</v>
      </c>
      <c r="C1003" s="20" t="s">
        <v>2442</v>
      </c>
      <c r="D1003" s="20" t="s">
        <v>17</v>
      </c>
    </row>
    <row r="1004" spans="1:4" s="26" customFormat="1">
      <c r="A1004" s="18" t="str">
        <f t="shared" si="15"/>
        <v>645.148 48 INCH CHAIN LINK FENCE (PIPE TOP RAIL) VINYL COATED (LINE POST OPTION)</v>
      </c>
      <c r="B1004" s="19">
        <v>645.14800000000002</v>
      </c>
      <c r="C1004" s="20" t="s">
        <v>375</v>
      </c>
      <c r="D1004" s="20" t="s">
        <v>17</v>
      </c>
    </row>
    <row r="1005" spans="1:4">
      <c r="A1005" s="18" t="str">
        <f t="shared" si="15"/>
        <v>645.16 60 INCH CHAIN LINK FENCE (PIPE TOP RAIL) VINYL COATED (LINE POST OPTION)</v>
      </c>
      <c r="B1005" s="19">
        <v>645.16</v>
      </c>
      <c r="C1005" s="20" t="s">
        <v>2443</v>
      </c>
      <c r="D1005" s="20" t="s">
        <v>17</v>
      </c>
    </row>
    <row r="1006" spans="1:4" s="26" customFormat="1">
      <c r="A1006" s="18" t="str">
        <f t="shared" si="15"/>
        <v>645.172 72 INCH CHAIN LINK FENCE (PIPE TOP RAIL) VINYL COATED (LINE POST OPTION)</v>
      </c>
      <c r="B1006" s="21">
        <v>645.17200000000003</v>
      </c>
      <c r="C1006" s="22" t="s">
        <v>376</v>
      </c>
      <c r="D1006" s="22" t="s">
        <v>17</v>
      </c>
    </row>
    <row r="1007" spans="1:4">
      <c r="A1007" s="18" t="str">
        <f t="shared" si="15"/>
        <v>645.184 84 INCH CHAIN LINK FENCE (PIPE TOP RAIL) VINYL COATED (LINE POST OPTION)</v>
      </c>
      <c r="B1007" s="19">
        <v>645.18399999999997</v>
      </c>
      <c r="C1007" s="20" t="s">
        <v>2444</v>
      </c>
      <c r="D1007" s="20" t="s">
        <v>17</v>
      </c>
    </row>
    <row r="1008" spans="1:4" s="26" customFormat="1">
      <c r="A1008" s="18" t="str">
        <f t="shared" si="15"/>
        <v>645.196 96 INCH CHAIN LINK FENCE (PIPE TOP RAIL) VINYL COATED (LINE POST OPTION)</v>
      </c>
      <c r="B1008" s="21">
        <v>645.19600000000003</v>
      </c>
      <c r="C1008" s="22" t="s">
        <v>2445</v>
      </c>
      <c r="D1008" s="22" t="s">
        <v>17</v>
      </c>
    </row>
    <row r="1009" spans="1:4">
      <c r="A1009" s="18" t="str">
        <f t="shared" si="15"/>
        <v>645.197 120 INCH CHAIN LINK FENCE(PIPE TOP RAIL) VINYL COATED (LINE POST OPTION)</v>
      </c>
      <c r="B1009" s="21">
        <v>645.197</v>
      </c>
      <c r="C1009" s="22" t="s">
        <v>2446</v>
      </c>
      <c r="D1009" s="22" t="s">
        <v>17</v>
      </c>
    </row>
    <row r="1010" spans="1:4" s="26" customFormat="1">
      <c r="A1010" s="18" t="str">
        <f t="shared" si="15"/>
        <v>645.198 144 INCH CHAIN LINK FENCE (PIPE TOP RAIL) VINYL COATED (LINE POST OPTION)</v>
      </c>
      <c r="B1010" s="19">
        <v>645.19799999999998</v>
      </c>
      <c r="C1010" s="20" t="s">
        <v>2447</v>
      </c>
      <c r="D1010" s="20" t="s">
        <v>17</v>
      </c>
    </row>
    <row r="1011" spans="1:4">
      <c r="A1011" s="18" t="str">
        <f t="shared" si="15"/>
        <v>647.036 36 INCH CHAIN LINK FENCE (PIPE TOP RAIL) W/BARB (LINE POST OPTION)</v>
      </c>
      <c r="B1011" s="21">
        <v>647.03599999999994</v>
      </c>
      <c r="C1011" s="22" t="s">
        <v>2448</v>
      </c>
      <c r="D1011" s="22" t="s">
        <v>17</v>
      </c>
    </row>
    <row r="1012" spans="1:4" s="26" customFormat="1">
      <c r="A1012" s="18" t="str">
        <f t="shared" si="15"/>
        <v>647.048 48 INCH CHAIN LINK FENCE (PIPE TOP RAIL) W/BARB (LINE POST OPTION)</v>
      </c>
      <c r="B1012" s="19">
        <v>647.048</v>
      </c>
      <c r="C1012" s="20" t="s">
        <v>2449</v>
      </c>
      <c r="D1012" s="20" t="s">
        <v>17</v>
      </c>
    </row>
    <row r="1013" spans="1:4">
      <c r="A1013" s="18" t="str">
        <f t="shared" si="15"/>
        <v>647.06 60 INCH CHAIN LINK FENCE (PIPE TOP RAIL) W/BARB (LINE POST OPTION)</v>
      </c>
      <c r="B1013" s="19">
        <v>647.05999999999995</v>
      </c>
      <c r="C1013" s="20" t="s">
        <v>2450</v>
      </c>
      <c r="D1013" s="20" t="s">
        <v>17</v>
      </c>
    </row>
    <row r="1014" spans="1:4" s="26" customFormat="1">
      <c r="A1014" s="18" t="str">
        <f t="shared" si="15"/>
        <v>647.072 72 INCH CHAIN LINK FENCE (PIPE TOP RAIL) W/BARB (LINE POST OPTION)</v>
      </c>
      <c r="B1014" s="21">
        <v>647.072</v>
      </c>
      <c r="C1014" s="22" t="s">
        <v>2451</v>
      </c>
      <c r="D1014" s="22" t="s">
        <v>17</v>
      </c>
    </row>
    <row r="1015" spans="1:4">
      <c r="A1015" s="18" t="str">
        <f t="shared" si="15"/>
        <v>647.084 84 INCH CHAIN LINK FENCE (PIPE TOP RAIL) W/BARB (LINE POST OPTION)</v>
      </c>
      <c r="B1015" s="21">
        <v>647.08399999999995</v>
      </c>
      <c r="C1015" s="22" t="s">
        <v>2452</v>
      </c>
      <c r="D1015" s="22" t="s">
        <v>17</v>
      </c>
    </row>
    <row r="1016" spans="1:4" s="26" customFormat="1">
      <c r="A1016" s="18" t="str">
        <f t="shared" si="15"/>
        <v>647.096 96 INCH CHAIN LINK FENCE (PIPE TOP RAIL) W/BARB (LINE POST OPTION)</v>
      </c>
      <c r="B1016" s="21">
        <v>647.096</v>
      </c>
      <c r="C1016" s="22" t="s">
        <v>2453</v>
      </c>
      <c r="D1016" s="22" t="s">
        <v>17</v>
      </c>
    </row>
    <row r="1017" spans="1:4">
      <c r="A1017" s="18" t="str">
        <f t="shared" si="15"/>
        <v>647.12 120 INCH CHAIN LINK FENCE (PIPE TOP RAIL) W/BARB (LINE POST OPTION)</v>
      </c>
      <c r="B1017" s="19">
        <v>647.12</v>
      </c>
      <c r="C1017" s="20" t="s">
        <v>2454</v>
      </c>
      <c r="D1017" s="20" t="s">
        <v>17</v>
      </c>
    </row>
    <row r="1018" spans="1:4" s="26" customFormat="1">
      <c r="A1018" s="18" t="str">
        <f t="shared" si="15"/>
        <v>647.144 144 INCH CHAIN LINK FENCE (PIPE TOP RAIL) W/BARB (LINE POST OPTION)</v>
      </c>
      <c r="B1018" s="19">
        <v>647.14400000000001</v>
      </c>
      <c r="C1018" s="20" t="s">
        <v>2455</v>
      </c>
      <c r="D1018" s="20" t="s">
        <v>17</v>
      </c>
    </row>
    <row r="1019" spans="1:4">
      <c r="A1019" s="18" t="str">
        <f t="shared" si="15"/>
        <v>649.036 36 INCH CHAIN LINK FENCE (SPRING TENSION WIRE) W/BARB (LINE POST OPTION)</v>
      </c>
      <c r="B1019" s="21">
        <v>649.03599999999994</v>
      </c>
      <c r="C1019" s="22" t="s">
        <v>2456</v>
      </c>
      <c r="D1019" s="22" t="s">
        <v>17</v>
      </c>
    </row>
    <row r="1020" spans="1:4" s="26" customFormat="1">
      <c r="A1020" s="18" t="str">
        <f t="shared" si="15"/>
        <v>649.048 48 INCH CHAIN LINK FENCE (SPRING TENSION WIRE) W/BARB (LINE POST OPTION)</v>
      </c>
      <c r="B1020" s="19">
        <v>649.048</v>
      </c>
      <c r="C1020" s="20" t="s">
        <v>2457</v>
      </c>
      <c r="D1020" s="20" t="s">
        <v>17</v>
      </c>
    </row>
    <row r="1021" spans="1:4">
      <c r="A1021" s="18" t="str">
        <f t="shared" si="15"/>
        <v>649.06 60 INCH CHAIN LINK FENCE (SPRING TENSION WIRE) W/BARB (LINE POST OPTION)</v>
      </c>
      <c r="B1021" s="19">
        <v>649.05999999999995</v>
      </c>
      <c r="C1021" s="20" t="s">
        <v>2458</v>
      </c>
      <c r="D1021" s="20" t="s">
        <v>17</v>
      </c>
    </row>
    <row r="1022" spans="1:4" s="26" customFormat="1">
      <c r="A1022" s="18" t="str">
        <f t="shared" si="15"/>
        <v>649.072 72 INCH CHAIN LINK FENCE (SPRING TENSION WIRE) W/BARB (LINE POST OPTION)</v>
      </c>
      <c r="B1022" s="19">
        <v>649.072</v>
      </c>
      <c r="C1022" s="20" t="s">
        <v>2459</v>
      </c>
      <c r="D1022" s="20" t="s">
        <v>17</v>
      </c>
    </row>
    <row r="1023" spans="1:4">
      <c r="A1023" s="18" t="str">
        <f t="shared" si="15"/>
        <v>649.084 84 INCH CHAIN LINK FENCE (SPRING TENSION WIRE) W/BARB (LINE POST OPTION)</v>
      </c>
      <c r="B1023" s="21">
        <v>649.08399999999995</v>
      </c>
      <c r="C1023" s="22" t="s">
        <v>2460</v>
      </c>
      <c r="D1023" s="22" t="s">
        <v>17</v>
      </c>
    </row>
    <row r="1024" spans="1:4" s="26" customFormat="1">
      <c r="A1024" s="18" t="str">
        <f t="shared" si="15"/>
        <v>649.096 96 INCH CHAIN LINK FENCE (SPRING TENSION WIRE) W/BARB (LINE POST OPTION)</v>
      </c>
      <c r="B1024" s="21">
        <v>649.096</v>
      </c>
      <c r="C1024" s="22" t="s">
        <v>2461</v>
      </c>
      <c r="D1024" s="22" t="s">
        <v>17</v>
      </c>
    </row>
    <row r="1025" spans="1:4">
      <c r="A1025" s="18" t="str">
        <f t="shared" si="15"/>
        <v>649.12 120 INCH CHAIN LINK FENCE (SPRING TENSION WIRE) W/BARB (LINE POST OPTION)</v>
      </c>
      <c r="B1025" s="21">
        <v>649.12</v>
      </c>
      <c r="C1025" s="22" t="s">
        <v>2462</v>
      </c>
      <c r="D1025" s="22" t="s">
        <v>17</v>
      </c>
    </row>
    <row r="1026" spans="1:4" s="26" customFormat="1">
      <c r="A1026" s="18" t="str">
        <f t="shared" ref="A1026:A1089" si="16">B1026&amp;" "&amp;C1026</f>
        <v>649.144 144 INCH CHAIN LINK FENCE (SPRING TENSION WIRE) W/BARB (LINE POST OPTION)</v>
      </c>
      <c r="B1026" s="21">
        <v>649.14400000000001</v>
      </c>
      <c r="C1026" s="22" t="s">
        <v>2463</v>
      </c>
      <c r="D1026" s="22" t="s">
        <v>17</v>
      </c>
    </row>
    <row r="1027" spans="1:4">
      <c r="A1027" s="18" t="str">
        <f t="shared" si="16"/>
        <v>650.036 36 INCH CHAIN LINK GATE WITH GATE POSTS</v>
      </c>
      <c r="B1027" s="19">
        <v>650.03599999999994</v>
      </c>
      <c r="C1027" s="20" t="s">
        <v>2464</v>
      </c>
      <c r="D1027" s="20" t="s">
        <v>17</v>
      </c>
    </row>
    <row r="1028" spans="1:4" s="26" customFormat="1">
      <c r="A1028" s="18" t="str">
        <f t="shared" si="16"/>
        <v>650.048 48 INCH CHAIN LINK GATE WITH GATE POSTS</v>
      </c>
      <c r="B1028" s="19">
        <v>650.048</v>
      </c>
      <c r="C1028" s="20" t="s">
        <v>377</v>
      </c>
      <c r="D1028" s="20" t="s">
        <v>17</v>
      </c>
    </row>
    <row r="1029" spans="1:4">
      <c r="A1029" s="18" t="str">
        <f t="shared" si="16"/>
        <v>650.06 60 INCH CHAIN LINK GATE WITH GATE POSTS</v>
      </c>
      <c r="B1029" s="19">
        <v>650.05999999999995</v>
      </c>
      <c r="C1029" s="20" t="s">
        <v>2465</v>
      </c>
      <c r="D1029" s="20" t="s">
        <v>17</v>
      </c>
    </row>
    <row r="1030" spans="1:4" s="26" customFormat="1">
      <c r="A1030" s="18" t="str">
        <f t="shared" si="16"/>
        <v>650.072 72 INCH CHAIN LINK GATE WITH GATE POSTS</v>
      </c>
      <c r="B1030" s="19">
        <v>650.072</v>
      </c>
      <c r="C1030" s="20" t="s">
        <v>378</v>
      </c>
      <c r="D1030" s="20" t="s">
        <v>17</v>
      </c>
    </row>
    <row r="1031" spans="1:4">
      <c r="A1031" s="18" t="str">
        <f t="shared" si="16"/>
        <v>650.084 84 INCH CHAIN LINK GATE WITH GATE POSTS</v>
      </c>
      <c r="B1031" s="21">
        <v>650.08399999999995</v>
      </c>
      <c r="C1031" s="22" t="s">
        <v>2466</v>
      </c>
      <c r="D1031" s="22" t="s">
        <v>17</v>
      </c>
    </row>
    <row r="1032" spans="1:4" s="26" customFormat="1">
      <c r="A1032" s="18" t="str">
        <f t="shared" si="16"/>
        <v>650.096 96 INCH CHAIN LINK GATE WITH GATE POSTS</v>
      </c>
      <c r="B1032" s="21">
        <v>650.096</v>
      </c>
      <c r="C1032" s="22" t="s">
        <v>1420</v>
      </c>
      <c r="D1032" s="22" t="s">
        <v>17</v>
      </c>
    </row>
    <row r="1033" spans="1:4">
      <c r="A1033" s="18" t="str">
        <f t="shared" si="16"/>
        <v>650.12 120 INCH CHAIN LINK GATE WITH GATE POSTS</v>
      </c>
      <c r="B1033" s="21">
        <v>650.12</v>
      </c>
      <c r="C1033" s="22" t="s">
        <v>2467</v>
      </c>
      <c r="D1033" s="22" t="s">
        <v>17</v>
      </c>
    </row>
    <row r="1034" spans="1:4" s="26" customFormat="1">
      <c r="A1034" s="18" t="str">
        <f t="shared" si="16"/>
        <v>650.144 144 INCH CHAIN LINK GATE WITH GATE POSTS</v>
      </c>
      <c r="B1034" s="21">
        <v>650.14400000000001</v>
      </c>
      <c r="C1034" s="22" t="s">
        <v>2468</v>
      </c>
      <c r="D1034" s="22" t="s">
        <v>17</v>
      </c>
    </row>
    <row r="1035" spans="1:4">
      <c r="A1035" s="18" t="str">
        <f t="shared" si="16"/>
        <v>651.06 60 INCH CHAIN LINK GATE WITH GATE POSTS AND BARBED WIRE</v>
      </c>
      <c r="B1035" s="19">
        <v>651.05999999999995</v>
      </c>
      <c r="C1035" s="20" t="s">
        <v>2469</v>
      </c>
      <c r="D1035" s="20" t="s">
        <v>17</v>
      </c>
    </row>
    <row r="1036" spans="1:4" s="26" customFormat="1">
      <c r="A1036" s="18" t="str">
        <f t="shared" si="16"/>
        <v>651.072 72 INCH CHAIN LINK GATE WITH GATE POSTS AND BARBED WIRE</v>
      </c>
      <c r="B1036" s="19">
        <v>651.072</v>
      </c>
      <c r="C1036" s="20" t="s">
        <v>379</v>
      </c>
      <c r="D1036" s="20" t="s">
        <v>17</v>
      </c>
    </row>
    <row r="1037" spans="1:4">
      <c r="A1037" s="18" t="str">
        <f t="shared" si="16"/>
        <v>651.084 84 INCH CHAIN LINK GATE WITH GATE POSTS AND BARBED WIRE</v>
      </c>
      <c r="B1037" s="19">
        <v>651.08399999999995</v>
      </c>
      <c r="C1037" s="20" t="s">
        <v>2470</v>
      </c>
      <c r="D1037" s="20" t="s">
        <v>17</v>
      </c>
    </row>
    <row r="1038" spans="1:4" s="26" customFormat="1">
      <c r="A1038" s="18" t="str">
        <f t="shared" si="16"/>
        <v>651.096 96 INCH CHAIN LINK GATE WITH GATE POSTS AND BARBED WIRE</v>
      </c>
      <c r="B1038" s="19">
        <v>651.096</v>
      </c>
      <c r="C1038" s="20" t="s">
        <v>2471</v>
      </c>
      <c r="D1038" s="20" t="s">
        <v>17</v>
      </c>
    </row>
    <row r="1039" spans="1:4">
      <c r="A1039" s="18" t="str">
        <f t="shared" si="16"/>
        <v>651.12 120 INCH CHAIN LINK GATE WITH GATE POSTS AND BARBED WIRE</v>
      </c>
      <c r="B1039" s="21">
        <v>651.12</v>
      </c>
      <c r="C1039" s="22" t="s">
        <v>2472</v>
      </c>
      <c r="D1039" s="22" t="s">
        <v>17</v>
      </c>
    </row>
    <row r="1040" spans="1:4" s="26" customFormat="1">
      <c r="A1040" s="18" t="str">
        <f t="shared" si="16"/>
        <v>651.144 144 INCH CHAIN LINK GATE WITH GATE POSTS AND BARBED WIRE</v>
      </c>
      <c r="B1040" s="21">
        <v>651.14400000000001</v>
      </c>
      <c r="C1040" s="22" t="s">
        <v>2473</v>
      </c>
      <c r="D1040" s="22" t="s">
        <v>17</v>
      </c>
    </row>
    <row r="1041" spans="1:4">
      <c r="A1041" s="18" t="str">
        <f t="shared" si="16"/>
        <v>652.036 36 INCH CHAIN LINK FENCE END POST</v>
      </c>
      <c r="B1041" s="19">
        <v>652.03599999999994</v>
      </c>
      <c r="C1041" s="20" t="s">
        <v>2474</v>
      </c>
      <c r="D1041" s="20" t="s">
        <v>2</v>
      </c>
    </row>
    <row r="1042" spans="1:4" s="26" customFormat="1">
      <c r="A1042" s="18" t="str">
        <f t="shared" si="16"/>
        <v>652.048 48 INCH CHAIN LINK FENCE END POST</v>
      </c>
      <c r="B1042" s="21">
        <v>652.048</v>
      </c>
      <c r="C1042" s="22" t="s">
        <v>380</v>
      </c>
      <c r="D1042" s="22" t="s">
        <v>2</v>
      </c>
    </row>
    <row r="1043" spans="1:4">
      <c r="A1043" s="18" t="str">
        <f t="shared" si="16"/>
        <v>652.06 60 INCH CHAIN LINK FENCE END POST</v>
      </c>
      <c r="B1043" s="21">
        <v>652.05999999999995</v>
      </c>
      <c r="C1043" s="22" t="s">
        <v>2475</v>
      </c>
      <c r="D1043" s="22" t="s">
        <v>2</v>
      </c>
    </row>
    <row r="1044" spans="1:4" s="26" customFormat="1">
      <c r="A1044" s="18" t="str">
        <f t="shared" si="16"/>
        <v>652.072 72 INCH CHAIN LINK FENCE END POST</v>
      </c>
      <c r="B1044" s="19">
        <v>652.072</v>
      </c>
      <c r="C1044" s="20" t="s">
        <v>381</v>
      </c>
      <c r="D1044" s="20" t="s">
        <v>2</v>
      </c>
    </row>
    <row r="1045" spans="1:4">
      <c r="A1045" s="18" t="str">
        <f t="shared" si="16"/>
        <v>652.084 84 INCH CHAIN LINK FENCE END POST</v>
      </c>
      <c r="B1045" s="21">
        <v>652.08399999999995</v>
      </c>
      <c r="C1045" s="22" t="s">
        <v>2476</v>
      </c>
      <c r="D1045" s="22" t="s">
        <v>2</v>
      </c>
    </row>
    <row r="1046" spans="1:4" s="26" customFormat="1">
      <c r="A1046" s="18" t="str">
        <f t="shared" si="16"/>
        <v>652.096 96 INCH CHAIN LINK FENCE END POST</v>
      </c>
      <c r="B1046" s="19">
        <v>652.096</v>
      </c>
      <c r="C1046" s="20" t="s">
        <v>2477</v>
      </c>
      <c r="D1046" s="20" t="s">
        <v>2</v>
      </c>
    </row>
    <row r="1047" spans="1:4">
      <c r="A1047" s="18" t="str">
        <f t="shared" si="16"/>
        <v>652.12 120 INCH CHAIN LINK FENCE END POST</v>
      </c>
      <c r="B1047" s="21">
        <v>652.12</v>
      </c>
      <c r="C1047" s="22" t="s">
        <v>2478</v>
      </c>
      <c r="D1047" s="22" t="s">
        <v>2</v>
      </c>
    </row>
    <row r="1048" spans="1:4" s="26" customFormat="1">
      <c r="A1048" s="18" t="str">
        <f t="shared" si="16"/>
        <v>652.144 144 INCH CHAIN LINK FENCE END POST</v>
      </c>
      <c r="B1048" s="19">
        <v>652.14400000000001</v>
      </c>
      <c r="C1048" s="20" t="s">
        <v>2479</v>
      </c>
      <c r="D1048" s="20" t="s">
        <v>2</v>
      </c>
    </row>
    <row r="1049" spans="1:4">
      <c r="A1049" s="18" t="str">
        <f t="shared" si="16"/>
        <v>653.036 36 INCH CHAIN LINK FENCE CORNER OR INTERMEDIATE BRACE POST</v>
      </c>
      <c r="B1049" s="21">
        <v>653.03599999999994</v>
      </c>
      <c r="C1049" s="22" t="s">
        <v>2480</v>
      </c>
      <c r="D1049" s="22" t="s">
        <v>2</v>
      </c>
    </row>
    <row r="1050" spans="1:4" s="26" customFormat="1">
      <c r="A1050" s="18" t="str">
        <f t="shared" si="16"/>
        <v>653.048 48 INCH CHAIN LINK FENCE CORNER OR INTERMEDIATE BRACE POST</v>
      </c>
      <c r="B1050" s="19">
        <v>653.048</v>
      </c>
      <c r="C1050" s="20" t="s">
        <v>382</v>
      </c>
      <c r="D1050" s="20" t="s">
        <v>2</v>
      </c>
    </row>
    <row r="1051" spans="1:4">
      <c r="A1051" s="18" t="str">
        <f t="shared" si="16"/>
        <v>653.06 60 INCH CHAIN LINK FENCE CORNER OR INTERMEDIATE BRACE POST</v>
      </c>
      <c r="B1051" s="21">
        <v>653.05999999999995</v>
      </c>
      <c r="C1051" s="22" t="s">
        <v>2481</v>
      </c>
      <c r="D1051" s="22" t="s">
        <v>2</v>
      </c>
    </row>
    <row r="1052" spans="1:4" s="26" customFormat="1">
      <c r="A1052" s="18" t="str">
        <f t="shared" si="16"/>
        <v>653.072 72 INCH CHAIN LINK FENCE CORNER OR INTERMEDIATE BRACE POST</v>
      </c>
      <c r="B1052" s="21">
        <v>653.072</v>
      </c>
      <c r="C1052" s="22" t="s">
        <v>383</v>
      </c>
      <c r="D1052" s="22" t="s">
        <v>2</v>
      </c>
    </row>
    <row r="1053" spans="1:4">
      <c r="A1053" s="18" t="str">
        <f t="shared" si="16"/>
        <v>653.084 84 INCH CHAIN LINK FENCE CORNER OR INTERMEDIATE BRACE POST</v>
      </c>
      <c r="B1053" s="19">
        <v>653.08399999999995</v>
      </c>
      <c r="C1053" s="20" t="s">
        <v>2482</v>
      </c>
      <c r="D1053" s="20" t="s">
        <v>2</v>
      </c>
    </row>
    <row r="1054" spans="1:4" s="26" customFormat="1">
      <c r="A1054" s="18" t="str">
        <f t="shared" si="16"/>
        <v>653.096 96 INCH CHAIN LINK FENCE CORNER OR INTERMEDIATE BRACE POST</v>
      </c>
      <c r="B1054" s="19">
        <v>653.096</v>
      </c>
      <c r="C1054" s="20" t="s">
        <v>384</v>
      </c>
      <c r="D1054" s="20" t="s">
        <v>2</v>
      </c>
    </row>
    <row r="1055" spans="1:4">
      <c r="A1055" s="18" t="str">
        <f t="shared" si="16"/>
        <v>653.12 120 INCH CHAIN LINK FENCE CORNER OR INTERMEDIATE BRACE POST</v>
      </c>
      <c r="B1055" s="21">
        <v>653.12</v>
      </c>
      <c r="C1055" s="22" t="s">
        <v>2483</v>
      </c>
      <c r="D1055" s="22" t="s">
        <v>2</v>
      </c>
    </row>
    <row r="1056" spans="1:4" s="26" customFormat="1">
      <c r="A1056" s="18" t="str">
        <f t="shared" si="16"/>
        <v>653.144 144 INCH CHAIN LINK FENCE CORNER OR INTERMEDIATE BRACE POST</v>
      </c>
      <c r="B1056" s="19">
        <v>653.14400000000001</v>
      </c>
      <c r="C1056" s="20" t="s">
        <v>2484</v>
      </c>
      <c r="D1056" s="20" t="s">
        <v>2</v>
      </c>
    </row>
    <row r="1057" spans="1:4">
      <c r="A1057" s="18" t="str">
        <f t="shared" si="16"/>
        <v>654.036 36 INCH CHAIN LINK FENCE FABRIC</v>
      </c>
      <c r="B1057" s="21">
        <v>654.03599999999994</v>
      </c>
      <c r="C1057" s="22" t="s">
        <v>2485</v>
      </c>
      <c r="D1057" s="22" t="s">
        <v>17</v>
      </c>
    </row>
    <row r="1058" spans="1:4" s="26" customFormat="1">
      <c r="A1058" s="18" t="str">
        <f t="shared" si="16"/>
        <v>654.048 48 INCH CHAIN LINK FENCE FABRIC</v>
      </c>
      <c r="B1058" s="19">
        <v>654.048</v>
      </c>
      <c r="C1058" s="20" t="s">
        <v>2486</v>
      </c>
      <c r="D1058" s="20" t="s">
        <v>17</v>
      </c>
    </row>
    <row r="1059" spans="1:4">
      <c r="A1059" s="18" t="str">
        <f t="shared" si="16"/>
        <v>654.06 60 INCH CHAIN LINK FENCE FABRIC</v>
      </c>
      <c r="B1059" s="19">
        <v>654.05999999999995</v>
      </c>
      <c r="C1059" s="20" t="s">
        <v>2487</v>
      </c>
      <c r="D1059" s="20" t="s">
        <v>17</v>
      </c>
    </row>
    <row r="1060" spans="1:4" s="26" customFormat="1">
      <c r="A1060" s="18" t="str">
        <f t="shared" si="16"/>
        <v>654.072 72 INCH CHAIN LINK FENCE FABRIC</v>
      </c>
      <c r="B1060" s="21">
        <v>654.072</v>
      </c>
      <c r="C1060" s="22" t="s">
        <v>385</v>
      </c>
      <c r="D1060" s="22" t="s">
        <v>17</v>
      </c>
    </row>
    <row r="1061" spans="1:4">
      <c r="A1061" s="18" t="str">
        <f t="shared" si="16"/>
        <v>654.084 84 INCH CHAIN LINK FENCE FABRIC</v>
      </c>
      <c r="B1061" s="21">
        <v>654.08399999999995</v>
      </c>
      <c r="C1061" s="22" t="s">
        <v>2488</v>
      </c>
      <c r="D1061" s="22" t="s">
        <v>17</v>
      </c>
    </row>
    <row r="1062" spans="1:4" s="26" customFormat="1">
      <c r="A1062" s="18" t="str">
        <f t="shared" si="16"/>
        <v>654.096 96 INCH CHAIN LINK FENCE FABRIC</v>
      </c>
      <c r="B1062" s="19">
        <v>654.096</v>
      </c>
      <c r="C1062" s="20" t="s">
        <v>2489</v>
      </c>
      <c r="D1062" s="20" t="s">
        <v>17</v>
      </c>
    </row>
    <row r="1063" spans="1:4">
      <c r="A1063" s="18" t="str">
        <f t="shared" si="16"/>
        <v>654.12 120 INCH CHAIN LINK FENCE FABRIC</v>
      </c>
      <c r="B1063" s="21">
        <v>654.12</v>
      </c>
      <c r="C1063" s="22" t="s">
        <v>2490</v>
      </c>
      <c r="D1063" s="22" t="s">
        <v>17</v>
      </c>
    </row>
    <row r="1064" spans="1:4" s="26" customFormat="1">
      <c r="A1064" s="18" t="str">
        <f t="shared" si="16"/>
        <v>654.144 144 INCH CHAIN LINK FENCE FABRIC</v>
      </c>
      <c r="B1064" s="21">
        <v>654.14400000000001</v>
      </c>
      <c r="C1064" s="22" t="s">
        <v>1421</v>
      </c>
      <c r="D1064" s="22" t="s">
        <v>17</v>
      </c>
    </row>
    <row r="1065" spans="1:4">
      <c r="A1065" s="18" t="str">
        <f t="shared" si="16"/>
        <v>655 CEDAR RAIL FENCE</v>
      </c>
      <c r="B1065" s="19">
        <v>655</v>
      </c>
      <c r="C1065" s="20" t="s">
        <v>386</v>
      </c>
      <c r="D1065" s="20" t="s">
        <v>17</v>
      </c>
    </row>
    <row r="1066" spans="1:4" s="26" customFormat="1">
      <c r="A1066" s="18" t="str">
        <f t="shared" si="16"/>
        <v>655.1 IRON PIPE FENCE</v>
      </c>
      <c r="B1066" s="19">
        <v>655.1</v>
      </c>
      <c r="C1066" s="20" t="s">
        <v>2491</v>
      </c>
      <c r="D1066" s="20" t="s">
        <v>17</v>
      </c>
    </row>
    <row r="1067" spans="1:4">
      <c r="A1067" s="18" t="str">
        <f t="shared" si="16"/>
        <v>655.2 ORNAMENTAL HAND RAIL</v>
      </c>
      <c r="B1067" s="19">
        <v>655.20000000000005</v>
      </c>
      <c r="C1067" s="20" t="s">
        <v>2492</v>
      </c>
      <c r="D1067" s="20" t="s">
        <v>17</v>
      </c>
    </row>
    <row r="1068" spans="1:4" s="26" customFormat="1">
      <c r="A1068" s="18" t="str">
        <f t="shared" si="16"/>
        <v>657 TEMPORARY FENCE</v>
      </c>
      <c r="B1068" s="19">
        <v>657</v>
      </c>
      <c r="C1068" s="20" t="s">
        <v>387</v>
      </c>
      <c r="D1068" s="20" t="s">
        <v>17</v>
      </c>
    </row>
    <row r="1069" spans="1:4">
      <c r="A1069" s="18" t="str">
        <f t="shared" si="16"/>
        <v>657.5 TEMPORARY FENCE REMOVED AND RESET</v>
      </c>
      <c r="B1069" s="19">
        <v>657.5</v>
      </c>
      <c r="C1069" s="20" t="s">
        <v>388</v>
      </c>
      <c r="D1069" s="20" t="s">
        <v>17</v>
      </c>
    </row>
    <row r="1070" spans="1:4" s="26" customFormat="1">
      <c r="A1070" s="18" t="str">
        <f t="shared" si="16"/>
        <v>658 INDIVIDUAL LINE POST - OPTION</v>
      </c>
      <c r="B1070" s="21">
        <v>658</v>
      </c>
      <c r="C1070" s="22" t="s">
        <v>2493</v>
      </c>
      <c r="D1070" s="22" t="s">
        <v>2</v>
      </c>
    </row>
    <row r="1071" spans="1:4">
      <c r="A1071" s="18" t="str">
        <f t="shared" si="16"/>
        <v>660 METAL PIPE RAIL</v>
      </c>
      <c r="B1071" s="21">
        <v>660</v>
      </c>
      <c r="C1071" s="22" t="s">
        <v>389</v>
      </c>
      <c r="D1071" s="22" t="s">
        <v>17</v>
      </c>
    </row>
    <row r="1072" spans="1:4" s="26" customFormat="1">
      <c r="A1072" s="18" t="str">
        <f t="shared" si="16"/>
        <v>665 CHAIN LINK FENCE REMOVED AND STACKED</v>
      </c>
      <c r="B1072" s="19">
        <v>665</v>
      </c>
      <c r="C1072" s="20" t="s">
        <v>390</v>
      </c>
      <c r="D1072" s="20" t="s">
        <v>17</v>
      </c>
    </row>
    <row r="1073" spans="1:4">
      <c r="A1073" s="18" t="str">
        <f t="shared" si="16"/>
        <v>665.1 CHAIN LINK FENCE ADJUST AND PAINT</v>
      </c>
      <c r="B1073" s="21">
        <v>665.1</v>
      </c>
      <c r="C1073" s="22" t="s">
        <v>2494</v>
      </c>
      <c r="D1073" s="22" t="s">
        <v>17</v>
      </c>
    </row>
    <row r="1074" spans="1:4" s="26" customFormat="1">
      <c r="A1074" s="18" t="str">
        <f t="shared" si="16"/>
        <v>666 CHAIN LINK FENCE REMOVED AND RESET</v>
      </c>
      <c r="B1074" s="21">
        <v>666</v>
      </c>
      <c r="C1074" s="22" t="s">
        <v>391</v>
      </c>
      <c r="D1074" s="22" t="s">
        <v>17</v>
      </c>
    </row>
    <row r="1075" spans="1:4">
      <c r="A1075" s="18" t="str">
        <f t="shared" si="16"/>
        <v>667 CHAIN LINK FENCE GATE W/GATE POSTS REMOVED &amp; STACKED</v>
      </c>
      <c r="B1075" s="19">
        <v>667</v>
      </c>
      <c r="C1075" s="20" t="s">
        <v>2495</v>
      </c>
      <c r="D1075" s="20" t="s">
        <v>2</v>
      </c>
    </row>
    <row r="1076" spans="1:4" s="26" customFormat="1">
      <c r="A1076" s="18" t="str">
        <f t="shared" si="16"/>
        <v>668 CHAIN LINK FENCE GATE W/GATE POSTS REMOVED &amp; RESET</v>
      </c>
      <c r="B1076" s="21">
        <v>668</v>
      </c>
      <c r="C1076" s="22" t="s">
        <v>392</v>
      </c>
      <c r="D1076" s="22" t="s">
        <v>2</v>
      </c>
    </row>
    <row r="1077" spans="1:4">
      <c r="A1077" s="18" t="str">
        <f t="shared" si="16"/>
        <v>669 FENCE REMOVED AND STACKED</v>
      </c>
      <c r="B1077" s="19">
        <v>669</v>
      </c>
      <c r="C1077" s="20" t="s">
        <v>393</v>
      </c>
      <c r="D1077" s="20" t="s">
        <v>17</v>
      </c>
    </row>
    <row r="1078" spans="1:4" s="26" customFormat="1">
      <c r="A1078" s="18" t="str">
        <f t="shared" si="16"/>
        <v>670 FENCE REMOVED AND RESET</v>
      </c>
      <c r="B1078" s="19">
        <v>670</v>
      </c>
      <c r="C1078" s="20" t="s">
        <v>394</v>
      </c>
      <c r="D1078" s="20" t="s">
        <v>17</v>
      </c>
    </row>
    <row r="1079" spans="1:4">
      <c r="A1079" s="18" t="str">
        <f t="shared" si="16"/>
        <v>671 FENCE GATE AND GATE POSTS REMOVED AND STACKED</v>
      </c>
      <c r="B1079" s="21">
        <v>671</v>
      </c>
      <c r="C1079" s="22" t="s">
        <v>2496</v>
      </c>
      <c r="D1079" s="22" t="s">
        <v>2</v>
      </c>
    </row>
    <row r="1080" spans="1:4" s="26" customFormat="1">
      <c r="A1080" s="18" t="str">
        <f t="shared" si="16"/>
        <v>672 FENCE GATE AND GATE POSTS REMOVED AND RESET</v>
      </c>
      <c r="B1080" s="21">
        <v>672</v>
      </c>
      <c r="C1080" s="22" t="s">
        <v>395</v>
      </c>
      <c r="D1080" s="22" t="s">
        <v>2</v>
      </c>
    </row>
    <row r="1081" spans="1:4">
      <c r="A1081" s="18" t="str">
        <f t="shared" si="16"/>
        <v>675 PERMANENT BARRIER FENCE</v>
      </c>
      <c r="B1081" s="19">
        <v>675</v>
      </c>
      <c r="C1081" s="20" t="s">
        <v>2497</v>
      </c>
      <c r="D1081" s="20" t="s">
        <v>17</v>
      </c>
    </row>
    <row r="1082" spans="1:4" s="26" customFormat="1">
      <c r="A1082" s="18" t="str">
        <f t="shared" si="16"/>
        <v>675.1 PERMANENT BARRIER FENCE REMOVED AND RESET</v>
      </c>
      <c r="B1082" s="21">
        <v>675.1</v>
      </c>
      <c r="C1082" s="22" t="s">
        <v>2498</v>
      </c>
      <c r="D1082" s="22" t="s">
        <v>17</v>
      </c>
    </row>
    <row r="1083" spans="1:4">
      <c r="A1083" s="18" t="str">
        <f t="shared" si="16"/>
        <v>677 PORTABLE BARRIER FENCE (LEFT-IN-PLACE)</v>
      </c>
      <c r="B1083" s="21">
        <v>677</v>
      </c>
      <c r="C1083" s="22" t="s">
        <v>2499</v>
      </c>
      <c r="D1083" s="22" t="s">
        <v>2</v>
      </c>
    </row>
    <row r="1084" spans="1:4" s="26" customFormat="1">
      <c r="A1084" s="18" t="str">
        <f t="shared" si="16"/>
        <v>680.3 30 INCH YELLOW MODULE CONTAINER</v>
      </c>
      <c r="B1084" s="21">
        <v>680.3</v>
      </c>
      <c r="C1084" s="22" t="s">
        <v>2500</v>
      </c>
      <c r="D1084" s="22" t="s">
        <v>2</v>
      </c>
    </row>
    <row r="1085" spans="1:4">
      <c r="A1085" s="18" t="str">
        <f t="shared" si="16"/>
        <v>680.36 36 INCH YELLOW MODULE CONTAINER</v>
      </c>
      <c r="B1085" s="19">
        <v>680.36</v>
      </c>
      <c r="C1085" s="20" t="s">
        <v>2501</v>
      </c>
      <c r="D1085" s="20" t="s">
        <v>2</v>
      </c>
    </row>
    <row r="1086" spans="1:4" s="26" customFormat="1">
      <c r="A1086" s="18" t="str">
        <f t="shared" si="16"/>
        <v>681.24 24 INCH ANTI-GLARE SCREEN (MODULAR UNITS) - PADDLE TYPE</v>
      </c>
      <c r="B1086" s="19">
        <v>681.24</v>
      </c>
      <c r="C1086" s="20" t="s">
        <v>2502</v>
      </c>
      <c r="D1086" s="20" t="s">
        <v>17</v>
      </c>
    </row>
    <row r="1087" spans="1:4">
      <c r="A1087" s="18" t="str">
        <f t="shared" si="16"/>
        <v>681.36 36 INCH ANTI-GLARE SCREEN (MODULAR UNITS) - PADDLE TYPE</v>
      </c>
      <c r="B1087" s="19">
        <v>681.36</v>
      </c>
      <c r="C1087" s="20" t="s">
        <v>2503</v>
      </c>
      <c r="D1087" s="20" t="s">
        <v>17</v>
      </c>
    </row>
    <row r="1088" spans="1:4" s="26" customFormat="1">
      <c r="A1088" s="18" t="str">
        <f t="shared" si="16"/>
        <v>681.48 48 INCH ANTI-GLARE SCREEN (MODULAR UNITS) - PADDLE TYPE</v>
      </c>
      <c r="B1088" s="19">
        <v>681.48</v>
      </c>
      <c r="C1088" s="20" t="s">
        <v>2504</v>
      </c>
      <c r="D1088" s="20" t="s">
        <v>17</v>
      </c>
    </row>
    <row r="1089" spans="1:4">
      <c r="A1089" s="18" t="str">
        <f t="shared" si="16"/>
        <v>684 STONE MASONRY STAIRS REMOVED AND RESET IN CEMENT MORTAR</v>
      </c>
      <c r="B1089" s="21">
        <v>684</v>
      </c>
      <c r="C1089" s="22" t="s">
        <v>2505</v>
      </c>
      <c r="D1089" s="22" t="s">
        <v>22</v>
      </c>
    </row>
    <row r="1090" spans="1:4" s="26" customFormat="1">
      <c r="A1090" s="18" t="str">
        <f t="shared" ref="A1090:A1153" si="17">B1090&amp;" "&amp;C1090</f>
        <v>685 STONE MASONRY WALL IN CEMENT MORTAR</v>
      </c>
      <c r="B1090" s="21">
        <v>685</v>
      </c>
      <c r="C1090" s="22" t="s">
        <v>396</v>
      </c>
      <c r="D1090" s="22" t="s">
        <v>4</v>
      </c>
    </row>
    <row r="1091" spans="1:4">
      <c r="A1091" s="18" t="str">
        <f t="shared" si="17"/>
        <v>685.1 STONE MASONRY WALL, DRY</v>
      </c>
      <c r="B1091" s="19">
        <v>685.1</v>
      </c>
      <c r="C1091" s="20" t="s">
        <v>2506</v>
      </c>
      <c r="D1091" s="20" t="s">
        <v>4</v>
      </c>
    </row>
    <row r="1092" spans="1:4" s="26" customFormat="1">
      <c r="A1092" s="18" t="str">
        <f t="shared" si="17"/>
        <v>685.2 STONE MASONRY POST REMOVED AND REBUILT</v>
      </c>
      <c r="B1092" s="19">
        <v>685.2</v>
      </c>
      <c r="C1092" s="20" t="s">
        <v>2507</v>
      </c>
      <c r="D1092" s="20" t="s">
        <v>2</v>
      </c>
    </row>
    <row r="1093" spans="1:4">
      <c r="A1093" s="18" t="str">
        <f t="shared" si="17"/>
        <v>690 STONE MASONRY WALL REMOVED AND REBUILT IN CEMENT MORTAR</v>
      </c>
      <c r="B1093" s="19">
        <v>690</v>
      </c>
      <c r="C1093" s="20" t="s">
        <v>397</v>
      </c>
      <c r="D1093" s="20" t="s">
        <v>4</v>
      </c>
    </row>
    <row r="1094" spans="1:4" s="26" customFormat="1">
      <c r="A1094" s="18" t="str">
        <f t="shared" si="17"/>
        <v>690.1 STONE MASONRY WALL REMOVED AND REBUILT DRY</v>
      </c>
      <c r="B1094" s="21">
        <v>690.1</v>
      </c>
      <c r="C1094" s="22" t="s">
        <v>398</v>
      </c>
      <c r="D1094" s="22" t="s">
        <v>4</v>
      </c>
    </row>
    <row r="1095" spans="1:4">
      <c r="A1095" s="18" t="str">
        <f t="shared" si="17"/>
        <v>691 BALANCE STONE WALL REMOVED AND REBUILT</v>
      </c>
      <c r="B1095" s="21">
        <v>691</v>
      </c>
      <c r="C1095" s="22" t="s">
        <v>399</v>
      </c>
      <c r="D1095" s="22" t="s">
        <v>17</v>
      </c>
    </row>
    <row r="1096" spans="1:4" s="26" customFormat="1">
      <c r="A1096" s="18" t="str">
        <f t="shared" si="17"/>
        <v>692 BALANCE STONE WALL</v>
      </c>
      <c r="B1096" s="19">
        <v>692</v>
      </c>
      <c r="C1096" s="20" t="s">
        <v>1655</v>
      </c>
      <c r="D1096" s="20" t="s">
        <v>17</v>
      </c>
    </row>
    <row r="1097" spans="1:4">
      <c r="A1097" s="18" t="str">
        <f t="shared" si="17"/>
        <v>697 SEDIMENTATION FENCE</v>
      </c>
      <c r="B1097" s="19">
        <v>697</v>
      </c>
      <c r="C1097" s="20" t="s">
        <v>400</v>
      </c>
      <c r="D1097" s="20" t="s">
        <v>17</v>
      </c>
    </row>
    <row r="1098" spans="1:4" s="26" customFormat="1">
      <c r="A1098" s="18" t="str">
        <f t="shared" si="17"/>
        <v>697.1 SILT SACK</v>
      </c>
      <c r="B1098" s="21">
        <v>697.1</v>
      </c>
      <c r="C1098" s="22" t="s">
        <v>401</v>
      </c>
      <c r="D1098" s="22" t="s">
        <v>2</v>
      </c>
    </row>
    <row r="1099" spans="1:4">
      <c r="A1099" s="18" t="str">
        <f t="shared" si="17"/>
        <v>697.2 FLOATING SILT FENCE</v>
      </c>
      <c r="B1099" s="21">
        <v>697.2</v>
      </c>
      <c r="C1099" s="22" t="s">
        <v>402</v>
      </c>
      <c r="D1099" s="22" t="s">
        <v>17</v>
      </c>
    </row>
    <row r="1100" spans="1:4" s="26" customFormat="1">
      <c r="A1100" s="18" t="str">
        <f t="shared" si="17"/>
        <v>698.1 GEOTEXTILE FABRIC FOR STABILIZATION</v>
      </c>
      <c r="B1100" s="21">
        <v>698.1</v>
      </c>
      <c r="C1100" s="22" t="s">
        <v>403</v>
      </c>
      <c r="D1100" s="22" t="s">
        <v>1</v>
      </c>
    </row>
    <row r="1101" spans="1:4">
      <c r="A1101" s="18" t="str">
        <f t="shared" si="17"/>
        <v>698.2 GEOTEXTILE FABRIC FOR SUBSURFACE DRAINAGE</v>
      </c>
      <c r="B1101" s="21">
        <v>698.2</v>
      </c>
      <c r="C1101" s="22" t="s">
        <v>63</v>
      </c>
      <c r="D1101" s="22" t="s">
        <v>1</v>
      </c>
    </row>
    <row r="1102" spans="1:4" s="26" customFormat="1">
      <c r="A1102" s="18" t="str">
        <f t="shared" si="17"/>
        <v>698.3 GEOTEXTILE FABRIC FOR SEPARATION</v>
      </c>
      <c r="B1102" s="19">
        <v>698.3</v>
      </c>
      <c r="C1102" s="20" t="s">
        <v>404</v>
      </c>
      <c r="D1102" s="20" t="s">
        <v>1</v>
      </c>
    </row>
    <row r="1103" spans="1:4">
      <c r="A1103" s="18" t="str">
        <f t="shared" si="17"/>
        <v>698.4 GEOTEXTILE FABRIC FOR PERMANENT EROSION CONTROL</v>
      </c>
      <c r="B1103" s="19">
        <v>698.4</v>
      </c>
      <c r="C1103" s="20" t="s">
        <v>405</v>
      </c>
      <c r="D1103" s="20" t="s">
        <v>1</v>
      </c>
    </row>
    <row r="1104" spans="1:4" s="26" customFormat="1">
      <c r="A1104" s="18" t="str">
        <f t="shared" si="17"/>
        <v>701 CEMENT CONCRETE SIDEWALK</v>
      </c>
      <c r="B1104" s="21">
        <v>701</v>
      </c>
      <c r="C1104" s="22" t="s">
        <v>406</v>
      </c>
      <c r="D1104" s="22" t="s">
        <v>1</v>
      </c>
    </row>
    <row r="1105" spans="1:4">
      <c r="A1105" s="18" t="str">
        <f t="shared" si="17"/>
        <v>701.1 CEMENT CONCRETE SIDEWALK AT DRIVEWAYS</v>
      </c>
      <c r="B1105" s="21">
        <v>701.1</v>
      </c>
      <c r="C1105" s="22" t="s">
        <v>407</v>
      </c>
      <c r="D1105" s="22" t="s">
        <v>1</v>
      </c>
    </row>
    <row r="1106" spans="1:4" s="26" customFormat="1">
      <c r="A1106" s="18" t="str">
        <f t="shared" si="17"/>
        <v>701.2 CEMENT CONCRETE PEDESTRIAN CURB RAMP</v>
      </c>
      <c r="B1106" s="19">
        <v>701.2</v>
      </c>
      <c r="C1106" s="20" t="s">
        <v>1422</v>
      </c>
      <c r="D1106" s="20" t="s">
        <v>1</v>
      </c>
    </row>
    <row r="1107" spans="1:4">
      <c r="A1107" s="18" t="str">
        <f t="shared" si="17"/>
        <v>702 HOT MIX ASPHALT SIDEWALK OR DRIVEWAY</v>
      </c>
      <c r="B1107" s="19">
        <v>702</v>
      </c>
      <c r="C1107" s="20" t="s">
        <v>1423</v>
      </c>
      <c r="D1107" s="20" t="s">
        <v>7</v>
      </c>
    </row>
    <row r="1108" spans="1:4" s="26" customFormat="1">
      <c r="A1108" s="18" t="str">
        <f t="shared" si="17"/>
        <v>703.1 CONCRETE WHEEL STOP</v>
      </c>
      <c r="B1108" s="21">
        <v>703.1</v>
      </c>
      <c r="C1108" s="22" t="s">
        <v>408</v>
      </c>
      <c r="D1108" s="22" t="s">
        <v>2</v>
      </c>
    </row>
    <row r="1109" spans="1:4">
      <c r="A1109" s="18" t="str">
        <f t="shared" si="17"/>
        <v>704 STONE DUST WALKS</v>
      </c>
      <c r="B1109" s="21">
        <v>704</v>
      </c>
      <c r="C1109" s="22" t="s">
        <v>2508</v>
      </c>
      <c r="D1109" s="22" t="s">
        <v>7</v>
      </c>
    </row>
    <row r="1110" spans="1:4" s="26" customFormat="1">
      <c r="A1110" s="18" t="str">
        <f t="shared" si="17"/>
        <v>704.1 STONE DUST FOR DRIVEWAYS</v>
      </c>
      <c r="B1110" s="19">
        <v>704.1</v>
      </c>
      <c r="C1110" s="20" t="s">
        <v>2509</v>
      </c>
      <c r="D1110" s="20" t="s">
        <v>7</v>
      </c>
    </row>
    <row r="1111" spans="1:4">
      <c r="A1111" s="18" t="str">
        <f t="shared" si="17"/>
        <v>705 FLAGSTONE WALK</v>
      </c>
      <c r="B1111" s="19">
        <v>705</v>
      </c>
      <c r="C1111" s="20" t="s">
        <v>1424</v>
      </c>
      <c r="D1111" s="20" t="s">
        <v>1</v>
      </c>
    </row>
    <row r="1112" spans="1:4" s="26" customFormat="1">
      <c r="A1112" s="18" t="str">
        <f t="shared" si="17"/>
        <v>705.1 FLAGSTONE WALK REMOVED AND RESET</v>
      </c>
      <c r="B1112" s="21">
        <v>705.1</v>
      </c>
      <c r="C1112" s="22" t="s">
        <v>409</v>
      </c>
      <c r="D1112" s="22" t="s">
        <v>1</v>
      </c>
    </row>
    <row r="1113" spans="1:4">
      <c r="A1113" s="18" t="str">
        <f t="shared" si="17"/>
        <v>706 BRICK WALK</v>
      </c>
      <c r="B1113" s="19">
        <v>706</v>
      </c>
      <c r="C1113" s="20" t="s">
        <v>410</v>
      </c>
      <c r="D1113" s="20" t="s">
        <v>1</v>
      </c>
    </row>
    <row r="1114" spans="1:4" s="26" customFormat="1">
      <c r="A1114" s="18" t="str">
        <f t="shared" si="17"/>
        <v>706.1 BRICK WALK REMOVED AND RELAID</v>
      </c>
      <c r="B1114" s="21">
        <v>706.1</v>
      </c>
      <c r="C1114" s="22" t="s">
        <v>411</v>
      </c>
      <c r="D1114" s="22" t="s">
        <v>1</v>
      </c>
    </row>
    <row r="1115" spans="1:4">
      <c r="A1115" s="18" t="str">
        <f t="shared" si="17"/>
        <v>706.2 BRICK STEPS</v>
      </c>
      <c r="B1115" s="21">
        <v>706.2</v>
      </c>
      <c r="C1115" s="22" t="s">
        <v>2510</v>
      </c>
      <c r="D1115" s="22" t="s">
        <v>22</v>
      </c>
    </row>
    <row r="1116" spans="1:4" s="26" customFormat="1">
      <c r="A1116" s="18" t="str">
        <f t="shared" si="17"/>
        <v>706.4 GRANITE STEPS REMOVED AND RESET</v>
      </c>
      <c r="B1116" s="19">
        <v>706.4</v>
      </c>
      <c r="C1116" s="20" t="s">
        <v>412</v>
      </c>
      <c r="D1116" s="20" t="s">
        <v>22</v>
      </c>
    </row>
    <row r="1117" spans="1:4">
      <c r="A1117" s="18" t="str">
        <f t="shared" si="17"/>
        <v>706.5 FIELD STONE WALK REMOVED AND RESET</v>
      </c>
      <c r="B1117" s="19">
        <v>706.5</v>
      </c>
      <c r="C1117" s="20" t="s">
        <v>413</v>
      </c>
      <c r="D1117" s="20" t="s">
        <v>1</v>
      </c>
    </row>
    <row r="1118" spans="1:4" s="26" customFormat="1">
      <c r="A1118" s="18" t="str">
        <f t="shared" si="17"/>
        <v>706.6 GRANITE SLAB WALK REMOVED AND RESET</v>
      </c>
      <c r="B1118" s="19">
        <v>706.6</v>
      </c>
      <c r="C1118" s="20" t="s">
        <v>1425</v>
      </c>
      <c r="D1118" s="20" t="s">
        <v>1</v>
      </c>
    </row>
    <row r="1119" spans="1:4">
      <c r="A1119" s="18" t="str">
        <f t="shared" si="17"/>
        <v>707.1 PARK BENCH</v>
      </c>
      <c r="B1119" s="21">
        <v>707.1</v>
      </c>
      <c r="C1119" s="22" t="s">
        <v>60</v>
      </c>
      <c r="D1119" s="22" t="s">
        <v>2</v>
      </c>
    </row>
    <row r="1120" spans="1:4" s="26" customFormat="1">
      <c r="A1120" s="18" t="str">
        <f t="shared" si="17"/>
        <v>707.15 PARK BENCH REMOVED AND RESET</v>
      </c>
      <c r="B1120" s="21">
        <v>707.15</v>
      </c>
      <c r="C1120" s="22" t="s">
        <v>414</v>
      </c>
      <c r="D1120" s="22" t="s">
        <v>2</v>
      </c>
    </row>
    <row r="1121" spans="1:4">
      <c r="A1121" s="18" t="str">
        <f t="shared" si="17"/>
        <v>707.2 TRASH RECEPTACLE</v>
      </c>
      <c r="B1121" s="21">
        <v>707.2</v>
      </c>
      <c r="C1121" s="22" t="s">
        <v>415</v>
      </c>
      <c r="D1121" s="22" t="s">
        <v>2</v>
      </c>
    </row>
    <row r="1122" spans="1:4" s="26" customFormat="1">
      <c r="A1122" s="18" t="str">
        <f t="shared" si="17"/>
        <v>707.3 TREE GRATE</v>
      </c>
      <c r="B1122" s="19">
        <v>707.3</v>
      </c>
      <c r="C1122" s="20" t="s">
        <v>2511</v>
      </c>
      <c r="D1122" s="20" t="s">
        <v>2</v>
      </c>
    </row>
    <row r="1123" spans="1:4">
      <c r="A1123" s="18" t="str">
        <f t="shared" si="17"/>
        <v>707.5 TREE GUARD</v>
      </c>
      <c r="B1123" s="21">
        <v>707.5</v>
      </c>
      <c r="C1123" s="22" t="s">
        <v>2512</v>
      </c>
      <c r="D1123" s="22" t="s">
        <v>2</v>
      </c>
    </row>
    <row r="1124" spans="1:4" s="26" customFormat="1">
      <c r="A1124" s="18" t="str">
        <f t="shared" si="17"/>
        <v>707.6 PICNIC TABLE</v>
      </c>
      <c r="B1124" s="21">
        <v>707.6</v>
      </c>
      <c r="C1124" s="22" t="s">
        <v>2513</v>
      </c>
      <c r="D1124" s="22" t="s">
        <v>2</v>
      </c>
    </row>
    <row r="1125" spans="1:4">
      <c r="A1125" s="18" t="str">
        <f t="shared" si="17"/>
        <v>707.8 STEEL BOLLARD</v>
      </c>
      <c r="B1125" s="21">
        <v>707.8</v>
      </c>
      <c r="C1125" s="22" t="s">
        <v>416</v>
      </c>
      <c r="D1125" s="22" t="s">
        <v>2</v>
      </c>
    </row>
    <row r="1126" spans="1:4" s="26" customFormat="1">
      <c r="A1126" s="18" t="str">
        <f t="shared" si="17"/>
        <v>707.9 BICYCLE RACK</v>
      </c>
      <c r="B1126" s="19">
        <v>707.9</v>
      </c>
      <c r="C1126" s="20" t="s">
        <v>61</v>
      </c>
      <c r="D1126" s="20" t="s">
        <v>2</v>
      </c>
    </row>
    <row r="1127" spans="1:4">
      <c r="A1127" s="18" t="str">
        <f t="shared" si="17"/>
        <v>710.2 BOUND (EXCLUDING COST OF BOUND)</v>
      </c>
      <c r="B1127" s="19">
        <v>710.2</v>
      </c>
      <c r="C1127" s="20" t="s">
        <v>2514</v>
      </c>
      <c r="D1127" s="20" t="s">
        <v>2</v>
      </c>
    </row>
    <row r="1128" spans="1:4" s="26" customFormat="1">
      <c r="A1128" s="18" t="str">
        <f t="shared" si="17"/>
        <v>710.3 BOUND - LETTERED GRANITE</v>
      </c>
      <c r="B1128" s="21">
        <v>710.3</v>
      </c>
      <c r="C1128" s="22" t="s">
        <v>48</v>
      </c>
      <c r="D1128" s="22" t="s">
        <v>2</v>
      </c>
    </row>
    <row r="1129" spans="1:4">
      <c r="A1129" s="18" t="str">
        <f t="shared" si="17"/>
        <v>710.4 BOUND - PLAIN GRANITE</v>
      </c>
      <c r="B1129" s="21">
        <v>710.4</v>
      </c>
      <c r="C1129" s="22" t="s">
        <v>417</v>
      </c>
      <c r="D1129" s="22" t="s">
        <v>2</v>
      </c>
    </row>
    <row r="1130" spans="1:4" s="26" customFormat="1">
      <c r="A1130" s="18" t="str">
        <f t="shared" si="17"/>
        <v>710.6 TOWN LINE BOUND</v>
      </c>
      <c r="B1130" s="19">
        <v>710.6</v>
      </c>
      <c r="C1130" s="20" t="s">
        <v>2515</v>
      </c>
      <c r="D1130" s="20" t="s">
        <v>2</v>
      </c>
    </row>
    <row r="1131" spans="1:4">
      <c r="A1131" s="18" t="str">
        <f t="shared" si="17"/>
        <v>710.7 TOWN LINE WITNESS BOUND</v>
      </c>
      <c r="B1131" s="19">
        <v>710.7</v>
      </c>
      <c r="C1131" s="20" t="s">
        <v>2516</v>
      </c>
      <c r="D1131" s="20" t="s">
        <v>2</v>
      </c>
    </row>
    <row r="1132" spans="1:4" s="26" customFormat="1">
      <c r="A1132" s="18" t="str">
        <f t="shared" si="17"/>
        <v>711 BOUND REMOVED AND RESET</v>
      </c>
      <c r="B1132" s="19">
        <v>711</v>
      </c>
      <c r="C1132" s="20" t="s">
        <v>418</v>
      </c>
      <c r="D1132" s="20" t="s">
        <v>2</v>
      </c>
    </row>
    <row r="1133" spans="1:4">
      <c r="A1133" s="18" t="str">
        <f t="shared" si="17"/>
        <v>711.1 PROPERTY BOUND REMOVED AND RESET</v>
      </c>
      <c r="B1133" s="21">
        <v>711.1</v>
      </c>
      <c r="C1133" s="22" t="s">
        <v>419</v>
      </c>
      <c r="D1133" s="22" t="s">
        <v>2</v>
      </c>
    </row>
    <row r="1134" spans="1:4" s="26" customFormat="1">
      <c r="A1134" s="18" t="str">
        <f t="shared" si="17"/>
        <v>711.2 TOWN LINE BOUND REMOVED AND RESET</v>
      </c>
      <c r="B1134" s="21">
        <v>711.2</v>
      </c>
      <c r="C1134" s="22" t="s">
        <v>2517</v>
      </c>
      <c r="D1134" s="22" t="s">
        <v>2</v>
      </c>
    </row>
    <row r="1135" spans="1:4">
      <c r="A1135" s="18" t="str">
        <f t="shared" si="17"/>
        <v>711.3 TOWN LINE WITNESS BOUND REMOVED AND RESET</v>
      </c>
      <c r="B1135" s="19">
        <v>711.3</v>
      </c>
      <c r="C1135" s="20" t="s">
        <v>2518</v>
      </c>
      <c r="D1135" s="20" t="s">
        <v>2</v>
      </c>
    </row>
    <row r="1136" spans="1:4" s="26" customFormat="1">
      <c r="A1136" s="18" t="str">
        <f t="shared" si="17"/>
        <v>712 BOUND REMOVED AND STACKED</v>
      </c>
      <c r="B1136" s="21">
        <v>712</v>
      </c>
      <c r="C1136" s="22" t="s">
        <v>44</v>
      </c>
      <c r="D1136" s="22" t="s">
        <v>2</v>
      </c>
    </row>
    <row r="1137" spans="1:4">
      <c r="A1137" s="18" t="str">
        <f t="shared" si="17"/>
        <v>712.1 TOWN LINE BOUND REMOVED AND STACKED</v>
      </c>
      <c r="B1137" s="21">
        <v>712.1</v>
      </c>
      <c r="C1137" s="22" t="s">
        <v>2519</v>
      </c>
      <c r="D1137" s="22" t="s">
        <v>2</v>
      </c>
    </row>
    <row r="1138" spans="1:4" s="26" customFormat="1">
      <c r="A1138" s="18" t="str">
        <f t="shared" si="17"/>
        <v>713.2 TOWN LINE POST REMOVED AND RESET</v>
      </c>
      <c r="B1138" s="21">
        <v>713.2</v>
      </c>
      <c r="C1138" s="22" t="s">
        <v>2520</v>
      </c>
      <c r="D1138" s="22" t="s">
        <v>2</v>
      </c>
    </row>
    <row r="1139" spans="1:4">
      <c r="A1139" s="18" t="str">
        <f t="shared" si="17"/>
        <v>714 MONUMENT REMOVED AND RESET</v>
      </c>
      <c r="B1139" s="19">
        <v>714</v>
      </c>
      <c r="C1139" s="20" t="s">
        <v>420</v>
      </c>
      <c r="D1139" s="20" t="s">
        <v>2</v>
      </c>
    </row>
    <row r="1140" spans="1:4" s="26" customFormat="1">
      <c r="A1140" s="18" t="str">
        <f t="shared" si="17"/>
        <v>714.1 MONUMENTS REMOVED AND RESET</v>
      </c>
      <c r="B1140" s="19">
        <v>714.1</v>
      </c>
      <c r="C1140" s="20" t="s">
        <v>421</v>
      </c>
      <c r="D1140" s="20" t="s">
        <v>22</v>
      </c>
    </row>
    <row r="1141" spans="1:4">
      <c r="A1141" s="18" t="str">
        <f t="shared" si="17"/>
        <v>715 RURAL MAIL BOX REMOVED AND RESET</v>
      </c>
      <c r="B1141" s="19">
        <v>715</v>
      </c>
      <c r="C1141" s="20" t="s">
        <v>422</v>
      </c>
      <c r="D1141" s="20" t="s">
        <v>2</v>
      </c>
    </row>
    <row r="1142" spans="1:4" s="26" customFormat="1">
      <c r="A1142" s="18" t="str">
        <f t="shared" si="17"/>
        <v>715.1 MAIL BOX REMOVED AND RESET</v>
      </c>
      <c r="B1142" s="19">
        <v>715.1</v>
      </c>
      <c r="C1142" s="20" t="s">
        <v>423</v>
      </c>
      <c r="D1142" s="20" t="s">
        <v>2</v>
      </c>
    </row>
    <row r="1143" spans="1:4">
      <c r="A1143" s="18" t="str">
        <f t="shared" si="17"/>
        <v>717 METAL BIN-TYPE RETAINING WALL</v>
      </c>
      <c r="B1143" s="21">
        <v>717</v>
      </c>
      <c r="C1143" s="22" t="s">
        <v>2521</v>
      </c>
      <c r="D1143" s="22" t="s">
        <v>3</v>
      </c>
    </row>
    <row r="1144" spans="1:4" s="26" customFormat="1">
      <c r="A1144" s="18" t="str">
        <f t="shared" si="17"/>
        <v>718 FLAGPOLE</v>
      </c>
      <c r="B1144" s="21">
        <v>718</v>
      </c>
      <c r="C1144" s="22" t="s">
        <v>424</v>
      </c>
      <c r="D1144" s="22" t="s">
        <v>2</v>
      </c>
    </row>
    <row r="1145" spans="1:4">
      <c r="A1145" s="18" t="str">
        <f t="shared" si="17"/>
        <v>718.1 FLAGPOLE REMOVED AND RESET</v>
      </c>
      <c r="B1145" s="19">
        <v>718.1</v>
      </c>
      <c r="C1145" s="20" t="s">
        <v>425</v>
      </c>
      <c r="D1145" s="20" t="s">
        <v>22</v>
      </c>
    </row>
    <row r="1146" spans="1:4" s="26" customFormat="1">
      <c r="A1146" s="18" t="str">
        <f t="shared" si="17"/>
        <v>734 SIGN REMOVED AND RESET</v>
      </c>
      <c r="B1146" s="19">
        <v>734</v>
      </c>
      <c r="C1146" s="20" t="s">
        <v>426</v>
      </c>
      <c r="D1146" s="20" t="s">
        <v>2</v>
      </c>
    </row>
    <row r="1147" spans="1:4">
      <c r="A1147" s="18" t="str">
        <f t="shared" si="17"/>
        <v>734.52 SIGN POST REMOVED AND STACKED</v>
      </c>
      <c r="B1147" s="21">
        <v>734.52</v>
      </c>
      <c r="C1147" s="22" t="s">
        <v>623</v>
      </c>
      <c r="D1147" s="22" t="s">
        <v>2</v>
      </c>
    </row>
    <row r="1148" spans="1:4" s="26" customFormat="1">
      <c r="A1148" s="18" t="str">
        <f t="shared" si="17"/>
        <v>740 ENGINEERS FIELD OFFICE AND EQUIPMENT (TYPE A)</v>
      </c>
      <c r="B1148" s="21">
        <v>740</v>
      </c>
      <c r="C1148" s="22" t="s">
        <v>427</v>
      </c>
      <c r="D1148" s="22" t="s">
        <v>428</v>
      </c>
    </row>
    <row r="1149" spans="1:4">
      <c r="A1149" s="18" t="str">
        <f t="shared" si="17"/>
        <v>740.1 RENOVATING ENGINEERS FIELD OFFICE</v>
      </c>
      <c r="B1149" s="21">
        <v>740.1</v>
      </c>
      <c r="C1149" s="22" t="s">
        <v>2522</v>
      </c>
      <c r="D1149" s="22" t="s">
        <v>2</v>
      </c>
    </row>
    <row r="1150" spans="1:4" s="26" customFormat="1">
      <c r="A1150" s="18" t="str">
        <f t="shared" si="17"/>
        <v>740.2 RELOCATE ENGINEERS FIELD OFFICE AND EQUIPMENT</v>
      </c>
      <c r="B1150" s="19">
        <v>740.2</v>
      </c>
      <c r="C1150" s="20" t="s">
        <v>2523</v>
      </c>
      <c r="D1150" s="20" t="s">
        <v>22</v>
      </c>
    </row>
    <row r="1151" spans="1:4">
      <c r="A1151" s="18" t="str">
        <f t="shared" si="17"/>
        <v>741 ENGINEERS FIELD OFFICE AND EQUIPMENT (TYPE B)</v>
      </c>
      <c r="B1151" s="21">
        <v>741</v>
      </c>
      <c r="C1151" s="22" t="s">
        <v>2524</v>
      </c>
      <c r="D1151" s="22" t="s">
        <v>428</v>
      </c>
    </row>
    <row r="1152" spans="1:4" s="26" customFormat="1">
      <c r="A1152" s="18" t="str">
        <f t="shared" si="17"/>
        <v>744 MATERIALS LABORATORY AND EQUIPMENT</v>
      </c>
      <c r="B1152" s="19">
        <v>744</v>
      </c>
      <c r="C1152" s="20" t="s">
        <v>2525</v>
      </c>
      <c r="D1152" s="20" t="s">
        <v>428</v>
      </c>
    </row>
    <row r="1153" spans="1:4">
      <c r="A1153" s="18" t="str">
        <f t="shared" si="17"/>
        <v>745 PEDESTRIAN BUS SHELTER</v>
      </c>
      <c r="B1153" s="21">
        <v>745</v>
      </c>
      <c r="C1153" s="22" t="s">
        <v>1426</v>
      </c>
      <c r="D1153" s="22" t="s">
        <v>2</v>
      </c>
    </row>
    <row r="1154" spans="1:4" s="26" customFormat="1">
      <c r="A1154" s="18" t="str">
        <f t="shared" ref="A1154:A1217" si="18">B1154&amp;" "&amp;C1154</f>
        <v>745.1 PEDESTRIAN BUS SHELTER REMOVED AND RESET</v>
      </c>
      <c r="B1154" s="19">
        <v>745.1</v>
      </c>
      <c r="C1154" s="20" t="s">
        <v>2526</v>
      </c>
      <c r="D1154" s="20" t="s">
        <v>22</v>
      </c>
    </row>
    <row r="1155" spans="1:4">
      <c r="A1155" s="18" t="str">
        <f t="shared" si="18"/>
        <v>745.2 PEDESTRIAN BUS SHELTER REMOVED AND STACKED</v>
      </c>
      <c r="B1155" s="19">
        <v>745.2</v>
      </c>
      <c r="C1155" s="20" t="s">
        <v>2527</v>
      </c>
      <c r="D1155" s="20" t="s">
        <v>22</v>
      </c>
    </row>
    <row r="1156" spans="1:4" s="26" customFormat="1">
      <c r="A1156" s="18" t="str">
        <f t="shared" si="18"/>
        <v>746 TRANSPORTATION VEHICLE</v>
      </c>
      <c r="B1156" s="19">
        <v>746</v>
      </c>
      <c r="C1156" s="20" t="s">
        <v>2528</v>
      </c>
      <c r="D1156" s="20" t="s">
        <v>428</v>
      </c>
    </row>
    <row r="1157" spans="1:4">
      <c r="A1157" s="18" t="str">
        <f t="shared" si="18"/>
        <v>746.6 TRANSPORTATION OFFICE VAN</v>
      </c>
      <c r="B1157" s="21">
        <v>746.6</v>
      </c>
      <c r="C1157" s="22" t="s">
        <v>2529</v>
      </c>
      <c r="D1157" s="22" t="s">
        <v>428</v>
      </c>
    </row>
    <row r="1158" spans="1:4" s="26" customFormat="1">
      <c r="A1158" s="18" t="str">
        <f t="shared" si="18"/>
        <v>747 EQUIPMENT FOR ENGINEERS FIELD OFFICE</v>
      </c>
      <c r="B1158" s="21">
        <v>747</v>
      </c>
      <c r="C1158" s="22" t="s">
        <v>429</v>
      </c>
      <c r="D1158" s="22" t="s">
        <v>22</v>
      </c>
    </row>
    <row r="1159" spans="1:4">
      <c r="A1159" s="18" t="str">
        <f t="shared" si="18"/>
        <v>748 MOBILIZATION</v>
      </c>
      <c r="B1159" s="19">
        <v>748</v>
      </c>
      <c r="C1159" s="20" t="s">
        <v>430</v>
      </c>
      <c r="D1159" s="20" t="s">
        <v>22</v>
      </c>
    </row>
    <row r="1160" spans="1:4" s="26" customFormat="1">
      <c r="A1160" s="18" t="str">
        <f t="shared" si="18"/>
        <v>748.1 EMERGENCY RESPONSE</v>
      </c>
      <c r="B1160" s="19">
        <v>748.1</v>
      </c>
      <c r="C1160" s="20" t="s">
        <v>431</v>
      </c>
      <c r="D1160" s="20" t="s">
        <v>2</v>
      </c>
    </row>
    <row r="1161" spans="1:4">
      <c r="A1161" s="18" t="str">
        <f t="shared" si="18"/>
        <v>751 LOAM BORROW</v>
      </c>
      <c r="B1161" s="21">
        <v>751</v>
      </c>
      <c r="C1161" s="22" t="s">
        <v>33</v>
      </c>
      <c r="D1161" s="22" t="s">
        <v>4</v>
      </c>
    </row>
    <row r="1162" spans="1:4" s="26" customFormat="1">
      <c r="A1162" s="18" t="str">
        <f t="shared" si="18"/>
        <v>751.1 LOAM REHANDLED AND SPREAD</v>
      </c>
      <c r="B1162" s="21">
        <v>751.1</v>
      </c>
      <c r="C1162" s="22" t="s">
        <v>2530</v>
      </c>
      <c r="D1162" s="22" t="s">
        <v>4</v>
      </c>
    </row>
    <row r="1163" spans="1:4">
      <c r="A1163" s="18" t="str">
        <f t="shared" si="18"/>
        <v>751.7 COMPOST TOPDRESSING</v>
      </c>
      <c r="B1163" s="19">
        <v>751.7</v>
      </c>
      <c r="C1163" s="20" t="s">
        <v>1427</v>
      </c>
      <c r="D1163" s="20" t="s">
        <v>1</v>
      </c>
    </row>
    <row r="1164" spans="1:4" s="26" customFormat="1">
      <c r="A1164" s="18" t="str">
        <f t="shared" si="18"/>
        <v>752 TOPSOIL REHANDLED AND SPREAD</v>
      </c>
      <c r="B1164" s="19">
        <v>752</v>
      </c>
      <c r="C1164" s="20" t="s">
        <v>62</v>
      </c>
      <c r="D1164" s="20" t="s">
        <v>4</v>
      </c>
    </row>
    <row r="1165" spans="1:4">
      <c r="A1165" s="18" t="str">
        <f t="shared" si="18"/>
        <v>755.35 INLAND WETLAND REPLICATION AREA</v>
      </c>
      <c r="B1165" s="21">
        <v>755.35</v>
      </c>
      <c r="C1165" s="22" t="s">
        <v>1428</v>
      </c>
      <c r="D1165" s="22" t="s">
        <v>22</v>
      </c>
    </row>
    <row r="1166" spans="1:4" s="26" customFormat="1">
      <c r="A1166" s="18" t="str">
        <f t="shared" si="18"/>
        <v>755.45 WETLAND RESTORATION</v>
      </c>
      <c r="B1166" s="19">
        <v>755.45</v>
      </c>
      <c r="C1166" s="20" t="s">
        <v>1429</v>
      </c>
      <c r="D1166" s="20" t="s">
        <v>1</v>
      </c>
    </row>
    <row r="1167" spans="1:4">
      <c r="A1167" s="18" t="str">
        <f t="shared" si="18"/>
        <v>755.75 WETLAND SPECIALIST</v>
      </c>
      <c r="B1167" s="19">
        <v>755.75</v>
      </c>
      <c r="C1167" s="20" t="s">
        <v>1430</v>
      </c>
      <c r="D1167" s="20" t="s">
        <v>24</v>
      </c>
    </row>
    <row r="1168" spans="1:4" s="26" customFormat="1">
      <c r="A1168" s="18" t="str">
        <f t="shared" si="18"/>
        <v>755.76 WETLANDS MONITORING REPORTS</v>
      </c>
      <c r="B1168" s="21">
        <v>755.76</v>
      </c>
      <c r="C1168" s="22" t="s">
        <v>1431</v>
      </c>
      <c r="D1168" s="22" t="s">
        <v>22</v>
      </c>
    </row>
    <row r="1169" spans="1:4">
      <c r="A1169" s="18" t="str">
        <f t="shared" si="18"/>
        <v>756 NPDES STORMWATER POLLUTION PREVENTION PLAN</v>
      </c>
      <c r="B1169" s="21">
        <v>756</v>
      </c>
      <c r="C1169" s="22" t="s">
        <v>432</v>
      </c>
      <c r="D1169" s="22" t="s">
        <v>22</v>
      </c>
    </row>
    <row r="1170" spans="1:4" s="26" customFormat="1">
      <c r="A1170" s="18" t="str">
        <f t="shared" si="18"/>
        <v>760 IMPERVIOUS SOIL BORROW</v>
      </c>
      <c r="B1170" s="21">
        <v>760</v>
      </c>
      <c r="C1170" s="22" t="s">
        <v>433</v>
      </c>
      <c r="D1170" s="22" t="s">
        <v>4</v>
      </c>
    </row>
    <row r="1171" spans="1:4">
      <c r="A1171" s="18" t="str">
        <f t="shared" si="18"/>
        <v>765 SEEDING</v>
      </c>
      <c r="B1171" s="19">
        <v>765</v>
      </c>
      <c r="C1171" s="20" t="s">
        <v>34</v>
      </c>
      <c r="D1171" s="20" t="s">
        <v>1</v>
      </c>
    </row>
    <row r="1172" spans="1:4" s="26" customFormat="1">
      <c r="A1172" s="18" t="str">
        <f t="shared" si="18"/>
        <v>765.2 SEED FOR EROSION CONTROL</v>
      </c>
      <c r="B1172" s="21">
        <v>765.2</v>
      </c>
      <c r="C1172" s="22" t="s">
        <v>437</v>
      </c>
      <c r="D1172" s="22" t="s">
        <v>100</v>
      </c>
    </row>
    <row r="1173" spans="1:4">
      <c r="A1173" s="18" t="str">
        <f t="shared" si="18"/>
        <v>765.2 SEEDING FOR SHORT TERM EROSION CONTROL</v>
      </c>
      <c r="B1173" s="21">
        <v>765.2</v>
      </c>
      <c r="C1173" s="22" t="s">
        <v>2531</v>
      </c>
      <c r="D1173" s="22" t="s">
        <v>1</v>
      </c>
    </row>
    <row r="1174" spans="1:4" s="26" customFormat="1">
      <c r="A1174" s="18" t="str">
        <f t="shared" si="18"/>
        <v>767 HAY MULCH</v>
      </c>
      <c r="B1174" s="19">
        <v>767</v>
      </c>
      <c r="C1174" s="20" t="s">
        <v>438</v>
      </c>
      <c r="D1174" s="20" t="s">
        <v>7</v>
      </c>
    </row>
    <row r="1175" spans="1:4">
      <c r="A1175" s="18" t="str">
        <f t="shared" si="18"/>
        <v>767.1 HAY MULCH</v>
      </c>
      <c r="B1175" s="19">
        <v>767.1</v>
      </c>
      <c r="C1175" s="20" t="s">
        <v>438</v>
      </c>
      <c r="D1175" s="20" t="s">
        <v>55</v>
      </c>
    </row>
    <row r="1176" spans="1:4" s="26" customFormat="1">
      <c r="A1176" s="18" t="str">
        <f t="shared" si="18"/>
        <v>767.121 SEDIMENT CONTROL BARRIER</v>
      </c>
      <c r="B1176" s="19">
        <v>767.12099999999998</v>
      </c>
      <c r="C1176" s="20" t="s">
        <v>1436</v>
      </c>
      <c r="D1176" s="20" t="s">
        <v>17</v>
      </c>
    </row>
    <row r="1177" spans="1:4">
      <c r="A1177" s="18" t="str">
        <f t="shared" si="18"/>
        <v>767.2 HAY MULCH</v>
      </c>
      <c r="B1177" s="21">
        <v>767.2</v>
      </c>
      <c r="C1177" s="22" t="s">
        <v>438</v>
      </c>
      <c r="D1177" s="22" t="s">
        <v>1</v>
      </c>
    </row>
    <row r="1178" spans="1:4" s="26" customFormat="1">
      <c r="A1178" s="18" t="str">
        <f t="shared" si="18"/>
        <v>767.3 STRAW MULCH</v>
      </c>
      <c r="B1178" s="19">
        <v>767.3</v>
      </c>
      <c r="C1178" s="20" t="s">
        <v>439</v>
      </c>
      <c r="D1178" s="20" t="s">
        <v>7</v>
      </c>
    </row>
    <row r="1179" spans="1:4">
      <c r="A1179" s="18" t="str">
        <f t="shared" si="18"/>
        <v>767.31 STRAW MULCH</v>
      </c>
      <c r="B1179" s="19">
        <v>767.31</v>
      </c>
      <c r="C1179" s="20" t="s">
        <v>439</v>
      </c>
      <c r="D1179" s="20" t="s">
        <v>1</v>
      </c>
    </row>
    <row r="1180" spans="1:4" s="26" customFormat="1">
      <c r="A1180" s="18" t="str">
        <f t="shared" si="18"/>
        <v>767.32 STRAW MULCH</v>
      </c>
      <c r="B1180" s="21">
        <v>767.32</v>
      </c>
      <c r="C1180" s="22" t="s">
        <v>439</v>
      </c>
      <c r="D1180" s="22" t="s">
        <v>55</v>
      </c>
    </row>
    <row r="1181" spans="1:4">
      <c r="A1181" s="18" t="str">
        <f t="shared" si="18"/>
        <v>767.4 WOOD CHIP MULCH</v>
      </c>
      <c r="B1181" s="21">
        <v>767.4</v>
      </c>
      <c r="C1181" s="22" t="s">
        <v>440</v>
      </c>
      <c r="D1181" s="22" t="s">
        <v>4</v>
      </c>
    </row>
    <row r="1182" spans="1:4" s="26" customFormat="1">
      <c r="A1182" s="18" t="str">
        <f t="shared" si="18"/>
        <v>767.5 WOOD FIBRE MULCH</v>
      </c>
      <c r="B1182" s="21">
        <v>767.5</v>
      </c>
      <c r="C1182" s="22" t="s">
        <v>2532</v>
      </c>
      <c r="D1182" s="22" t="s">
        <v>7</v>
      </c>
    </row>
    <row r="1183" spans="1:4">
      <c r="A1183" s="18" t="str">
        <f t="shared" si="18"/>
        <v>767.6 AGED PINE BARK MULCH</v>
      </c>
      <c r="B1183" s="19">
        <v>767.6</v>
      </c>
      <c r="C1183" s="20" t="s">
        <v>441</v>
      </c>
      <c r="D1183" s="20" t="s">
        <v>4</v>
      </c>
    </row>
    <row r="1184" spans="1:4" s="26" customFormat="1">
      <c r="A1184" s="18" t="str">
        <f t="shared" si="18"/>
        <v>767.8 BALES OF HAY FOR EROSION CONTROL</v>
      </c>
      <c r="B1184" s="19">
        <v>767.8</v>
      </c>
      <c r="C1184" s="20" t="s">
        <v>442</v>
      </c>
      <c r="D1184" s="20" t="s">
        <v>2</v>
      </c>
    </row>
    <row r="1185" spans="1:4">
      <c r="A1185" s="18" t="str">
        <f t="shared" si="18"/>
        <v>767.9 JUTE MESH</v>
      </c>
      <c r="B1185" s="21">
        <v>767.9</v>
      </c>
      <c r="C1185" s="22" t="s">
        <v>1437</v>
      </c>
      <c r="D1185" s="22" t="s">
        <v>1</v>
      </c>
    </row>
    <row r="1186" spans="1:4" s="26" customFormat="1">
      <c r="A1186" s="18" t="str">
        <f t="shared" si="18"/>
        <v>769 PAVEMENT MILLING MULCH UNDER GUARD RAIL</v>
      </c>
      <c r="B1186" s="21">
        <v>769</v>
      </c>
      <c r="C1186" s="22" t="s">
        <v>443</v>
      </c>
      <c r="D1186" s="22" t="s">
        <v>17</v>
      </c>
    </row>
    <row r="1187" spans="1:4">
      <c r="A1187" s="18" t="str">
        <f t="shared" si="18"/>
        <v>770 LAWN SODDING</v>
      </c>
      <c r="B1187" s="21">
        <v>770</v>
      </c>
      <c r="C1187" s="22" t="s">
        <v>2533</v>
      </c>
      <c r="D1187" s="22" t="s">
        <v>1</v>
      </c>
    </row>
    <row r="1188" spans="1:4" s="26" customFormat="1">
      <c r="A1188" s="18" t="str">
        <f t="shared" si="18"/>
        <v>772.033 ARBORVITAE - DARK AMERICAN 2-3 FEET</v>
      </c>
      <c r="B1188" s="19">
        <v>772.03300000000002</v>
      </c>
      <c r="C1188" s="20" t="s">
        <v>2534</v>
      </c>
      <c r="D1188" s="20" t="s">
        <v>2</v>
      </c>
    </row>
    <row r="1189" spans="1:4">
      <c r="A1189" s="18" t="str">
        <f t="shared" si="18"/>
        <v>772.036 ARBORVITAE - DARK AMERICAN 5-6 FEET</v>
      </c>
      <c r="B1189" s="21">
        <v>772.03599999999994</v>
      </c>
      <c r="C1189" s="22" t="s">
        <v>2535</v>
      </c>
      <c r="D1189" s="22" t="s">
        <v>2</v>
      </c>
    </row>
    <row r="1190" spans="1:4" s="26" customFormat="1">
      <c r="A1190" s="18" t="str">
        <f t="shared" si="18"/>
        <v>772.058 ARBORVITAE - EMERALD GREEN 5-6 FEET</v>
      </c>
      <c r="B1190" s="21">
        <v>772.05799999999999</v>
      </c>
      <c r="C1190" s="22" t="s">
        <v>2536</v>
      </c>
      <c r="D1190" s="22" t="s">
        <v>2</v>
      </c>
    </row>
    <row r="1191" spans="1:4">
      <c r="A1191" s="18" t="str">
        <f t="shared" si="18"/>
        <v>772.138 ARBORVITAE - GIANT 5-6 FEET</v>
      </c>
      <c r="B1191" s="19">
        <v>772.13800000000003</v>
      </c>
      <c r="C1191" s="20" t="s">
        <v>2537</v>
      </c>
      <c r="D1191" s="20" t="s">
        <v>2</v>
      </c>
    </row>
    <row r="1192" spans="1:4" s="26" customFormat="1">
      <c r="A1192" s="18" t="str">
        <f t="shared" si="18"/>
        <v>772.146 ARBORVITAE - 'HETZ WINTERGREEN' 5-6 FEET</v>
      </c>
      <c r="B1192" s="19">
        <v>772.14599999999996</v>
      </c>
      <c r="C1192" s="20" t="s">
        <v>2538</v>
      </c>
      <c r="D1192" s="20" t="s">
        <v>2</v>
      </c>
    </row>
    <row r="1193" spans="1:4">
      <c r="A1193" s="18" t="str">
        <f t="shared" si="18"/>
        <v>772.158 ARBORVITAE - PYRAMID 5-6 FEET</v>
      </c>
      <c r="B1193" s="19">
        <v>772.15800000000002</v>
      </c>
      <c r="C1193" s="20" t="s">
        <v>2539</v>
      </c>
      <c r="D1193" s="20" t="s">
        <v>2</v>
      </c>
    </row>
    <row r="1194" spans="1:4" s="26" customFormat="1">
      <c r="A1194" s="18" t="str">
        <f t="shared" si="18"/>
        <v>772.333 CEDAR-RED 2-3 FEET</v>
      </c>
      <c r="B1194" s="21">
        <v>772.33299999999997</v>
      </c>
      <c r="C1194" s="22" t="s">
        <v>1470</v>
      </c>
      <c r="D1194" s="22" t="s">
        <v>2</v>
      </c>
    </row>
    <row r="1195" spans="1:4">
      <c r="A1195" s="18" t="str">
        <f t="shared" si="18"/>
        <v>772.336 CEDAR - RED 5-6 FEET</v>
      </c>
      <c r="B1195" s="19">
        <v>772.33600000000001</v>
      </c>
      <c r="C1195" s="20" t="s">
        <v>444</v>
      </c>
      <c r="D1195" s="20" t="s">
        <v>2</v>
      </c>
    </row>
    <row r="1196" spans="1:4" s="26" customFormat="1">
      <c r="A1196" s="18" t="str">
        <f t="shared" si="18"/>
        <v>772.337 CEDAR - RED 7-8 FEET</v>
      </c>
      <c r="B1196" s="19">
        <v>772.33699999999999</v>
      </c>
      <c r="C1196" s="20" t="s">
        <v>2540</v>
      </c>
      <c r="D1196" s="20" t="s">
        <v>2</v>
      </c>
    </row>
    <row r="1197" spans="1:4">
      <c r="A1197" s="18" t="str">
        <f t="shared" si="18"/>
        <v>772.346 FIR - DOUGLAS 5-6 FEET</v>
      </c>
      <c r="B1197" s="19">
        <v>772.346</v>
      </c>
      <c r="C1197" s="20" t="s">
        <v>2541</v>
      </c>
      <c r="D1197" s="20" t="s">
        <v>2</v>
      </c>
    </row>
    <row r="1198" spans="1:4" s="26" customFormat="1">
      <c r="A1198" s="18" t="str">
        <f t="shared" si="18"/>
        <v>772.356 FIR - FRASER 5-6 FEET</v>
      </c>
      <c r="B1198" s="21">
        <v>772.35599999999999</v>
      </c>
      <c r="C1198" s="22" t="s">
        <v>2542</v>
      </c>
      <c r="D1198" s="22" t="s">
        <v>2</v>
      </c>
    </row>
    <row r="1199" spans="1:4">
      <c r="A1199" s="18" t="str">
        <f t="shared" si="18"/>
        <v>772.376 FIR - WHITE 5-6 FEET</v>
      </c>
      <c r="B1199" s="21">
        <v>772.37599999999998</v>
      </c>
      <c r="C1199" s="22" t="s">
        <v>2543</v>
      </c>
      <c r="D1199" s="22" t="s">
        <v>2</v>
      </c>
    </row>
    <row r="1200" spans="1:4" s="26" customFormat="1">
      <c r="A1200" s="18" t="str">
        <f t="shared" si="18"/>
        <v>772.433 HEMLOCK - CANADA 2-3 FEET</v>
      </c>
      <c r="B1200" s="21">
        <v>772.43299999999999</v>
      </c>
      <c r="C1200" s="22" t="s">
        <v>2544</v>
      </c>
      <c r="D1200" s="22" t="s">
        <v>2</v>
      </c>
    </row>
    <row r="1201" spans="1:4">
      <c r="A1201" s="18" t="str">
        <f t="shared" si="18"/>
        <v>772.436 HEMLOCK - CANADA 5-6 FEET</v>
      </c>
      <c r="B1201" s="21">
        <v>772.43600000000004</v>
      </c>
      <c r="C1201" s="22" t="s">
        <v>2545</v>
      </c>
      <c r="D1201" s="22" t="s">
        <v>2</v>
      </c>
    </row>
    <row r="1202" spans="1:4" s="26" customFormat="1">
      <c r="A1202" s="18" t="str">
        <f t="shared" si="18"/>
        <v>772.439 HEMLOCK - CANADA 8-10 FEET</v>
      </c>
      <c r="B1202" s="19">
        <v>772.43899999999996</v>
      </c>
      <c r="C1202" s="20" t="s">
        <v>2546</v>
      </c>
      <c r="D1202" s="20" t="s">
        <v>2</v>
      </c>
    </row>
    <row r="1203" spans="1:4">
      <c r="A1203" s="18" t="str">
        <f t="shared" si="18"/>
        <v>772.535 HEMLOCK - CAROLINA 4-5 FEET</v>
      </c>
      <c r="B1203" s="19">
        <v>772.53499999999997</v>
      </c>
      <c r="C1203" s="20" t="s">
        <v>2547</v>
      </c>
      <c r="D1203" s="20" t="s">
        <v>2</v>
      </c>
    </row>
    <row r="1204" spans="1:4" s="26" customFormat="1">
      <c r="A1204" s="18" t="str">
        <f t="shared" si="18"/>
        <v>773.036 PINE - AUSTRIAN 5-6 FEET</v>
      </c>
      <c r="B1204" s="21">
        <v>773.03599999999994</v>
      </c>
      <c r="C1204" s="22" t="s">
        <v>2548</v>
      </c>
      <c r="D1204" s="22" t="s">
        <v>2</v>
      </c>
    </row>
    <row r="1205" spans="1:4">
      <c r="A1205" s="18" t="str">
        <f t="shared" si="18"/>
        <v>773.039 PINE - AUSTRIAN 8-10 FEET</v>
      </c>
      <c r="B1205" s="19">
        <v>773.03899999999999</v>
      </c>
      <c r="C1205" s="20" t="s">
        <v>2549</v>
      </c>
      <c r="D1205" s="20" t="s">
        <v>2</v>
      </c>
    </row>
    <row r="1206" spans="1:4" s="26" customFormat="1">
      <c r="A1206" s="18" t="str">
        <f t="shared" si="18"/>
        <v>773.136 PINE - JAPANESE BLACK 5-6 FEET</v>
      </c>
      <c r="B1206" s="19">
        <v>773.13599999999997</v>
      </c>
      <c r="C1206" s="20" t="s">
        <v>2550</v>
      </c>
      <c r="D1206" s="20" t="s">
        <v>2</v>
      </c>
    </row>
    <row r="1207" spans="1:4">
      <c r="A1207" s="18" t="str">
        <f t="shared" si="18"/>
        <v>773.141 PINE - JAPANESE BLACK 8-10 FEET</v>
      </c>
      <c r="B1207" s="21">
        <v>773.14099999999996</v>
      </c>
      <c r="C1207" s="22" t="s">
        <v>2551</v>
      </c>
      <c r="D1207" s="22" t="s">
        <v>2</v>
      </c>
    </row>
    <row r="1208" spans="1:4" s="26" customFormat="1">
      <c r="A1208" s="18" t="str">
        <f t="shared" si="18"/>
        <v>773.148 PINE - JAPANESE UMBRELLA 6-7 FEET</v>
      </c>
      <c r="B1208" s="21">
        <v>773.14800000000002</v>
      </c>
      <c r="C1208" s="22" t="s">
        <v>2552</v>
      </c>
      <c r="D1208" s="22" t="s">
        <v>2</v>
      </c>
    </row>
    <row r="1209" spans="1:4">
      <c r="A1209" s="18" t="str">
        <f t="shared" si="18"/>
        <v>773.224 PINE - PITCH 4-5 FEET</v>
      </c>
      <c r="B1209" s="21">
        <v>773.22400000000005</v>
      </c>
      <c r="C1209" s="22" t="s">
        <v>1471</v>
      </c>
      <c r="D1209" s="22" t="s">
        <v>2</v>
      </c>
    </row>
    <row r="1210" spans="1:4" s="26" customFormat="1">
      <c r="A1210" s="18" t="str">
        <f t="shared" si="18"/>
        <v>773.236 PINE - RED 5-6 FEET</v>
      </c>
      <c r="B1210" s="19">
        <v>773.23599999999999</v>
      </c>
      <c r="C1210" s="20" t="s">
        <v>2553</v>
      </c>
      <c r="D1210" s="20" t="s">
        <v>2</v>
      </c>
    </row>
    <row r="1211" spans="1:4">
      <c r="A1211" s="18" t="str">
        <f t="shared" si="18"/>
        <v>773.238 PINE - RED 8-10 FEET</v>
      </c>
      <c r="B1211" s="19">
        <v>773.23800000000006</v>
      </c>
      <c r="C1211" s="20" t="s">
        <v>2554</v>
      </c>
      <c r="D1211" s="20" t="s">
        <v>2</v>
      </c>
    </row>
    <row r="1212" spans="1:4" s="26" customFormat="1">
      <c r="A1212" s="18" t="str">
        <f t="shared" si="18"/>
        <v>773.337 PINE - SCOTCH 5-6 FEET</v>
      </c>
      <c r="B1212" s="19">
        <v>773.33699999999999</v>
      </c>
      <c r="C1212" s="20" t="s">
        <v>2555</v>
      </c>
      <c r="D1212" s="20" t="s">
        <v>2</v>
      </c>
    </row>
    <row r="1213" spans="1:4">
      <c r="A1213" s="18" t="str">
        <f t="shared" si="18"/>
        <v>773.408 PINE - SWISS STONE 5-6 FEET</v>
      </c>
      <c r="B1213" s="21">
        <v>773.40800000000002</v>
      </c>
      <c r="C1213" s="22" t="s">
        <v>2556</v>
      </c>
      <c r="D1213" s="22" t="s">
        <v>2</v>
      </c>
    </row>
    <row r="1214" spans="1:4" s="26" customFormat="1">
      <c r="A1214" s="18" t="str">
        <f t="shared" si="18"/>
        <v>773.436 PINE - WHITE 5-6 FEET</v>
      </c>
      <c r="B1214" s="21">
        <v>773.43600000000004</v>
      </c>
      <c r="C1214" s="22" t="s">
        <v>445</v>
      </c>
      <c r="D1214" s="22" t="s">
        <v>2</v>
      </c>
    </row>
    <row r="1215" spans="1:4">
      <c r="A1215" s="18" t="str">
        <f t="shared" si="18"/>
        <v>773.439 PINE - WHITE 10-12 FEET</v>
      </c>
      <c r="B1215" s="21">
        <v>773.43899999999996</v>
      </c>
      <c r="C1215" s="22" t="s">
        <v>2557</v>
      </c>
      <c r="D1215" s="22" t="s">
        <v>2</v>
      </c>
    </row>
    <row r="1216" spans="1:4" s="26" customFormat="1">
      <c r="A1216" s="18" t="str">
        <f t="shared" si="18"/>
        <v>774.037 SPRUCE - COLORADO GREEN 5-6 FEET</v>
      </c>
      <c r="B1216" s="19">
        <v>774.03700000000003</v>
      </c>
      <c r="C1216" s="20" t="s">
        <v>2558</v>
      </c>
      <c r="D1216" s="20" t="s">
        <v>2</v>
      </c>
    </row>
    <row r="1217" spans="1:4">
      <c r="A1217" s="18" t="str">
        <f t="shared" si="18"/>
        <v>774.041 SPRUCE - COLORADO GREEN 8-10 FEET</v>
      </c>
      <c r="B1217" s="19">
        <v>774.04100000000005</v>
      </c>
      <c r="C1217" s="20" t="s">
        <v>1472</v>
      </c>
      <c r="D1217" s="20" t="s">
        <v>2</v>
      </c>
    </row>
    <row r="1218" spans="1:4" s="26" customFormat="1">
      <c r="A1218" s="18" t="str">
        <f t="shared" ref="A1218:A1281" si="19">B1218&amp;" "&amp;C1218</f>
        <v>774.136 SPRUCE - NORWAY 5-6 FEET</v>
      </c>
      <c r="B1218" s="19">
        <v>774.13599999999997</v>
      </c>
      <c r="C1218" s="20" t="s">
        <v>446</v>
      </c>
      <c r="D1218" s="20" t="s">
        <v>2</v>
      </c>
    </row>
    <row r="1219" spans="1:4">
      <c r="A1219" s="18" t="str">
        <f t="shared" si="19"/>
        <v>774.138 SPRUCE - NORWAY 8-10 FEET</v>
      </c>
      <c r="B1219" s="21">
        <v>774.13800000000003</v>
      </c>
      <c r="C1219" s="22" t="s">
        <v>2559</v>
      </c>
      <c r="D1219" s="22" t="s">
        <v>2</v>
      </c>
    </row>
    <row r="1220" spans="1:4" s="26" customFormat="1">
      <c r="A1220" s="18" t="str">
        <f t="shared" si="19"/>
        <v>774.235 SPRUCE - SERBIAN 5-6 FEET</v>
      </c>
      <c r="B1220" s="19">
        <v>774.23500000000001</v>
      </c>
      <c r="C1220" s="20" t="s">
        <v>1473</v>
      </c>
      <c r="D1220" s="20" t="s">
        <v>2</v>
      </c>
    </row>
    <row r="1221" spans="1:4">
      <c r="A1221" s="18" t="str">
        <f t="shared" si="19"/>
        <v>774.238 SPRUCE - SERBIAN 8-10 FEET</v>
      </c>
      <c r="B1221" s="21">
        <v>774.23800000000006</v>
      </c>
      <c r="C1221" s="22" t="s">
        <v>2560</v>
      </c>
      <c r="D1221" s="22" t="s">
        <v>2</v>
      </c>
    </row>
    <row r="1222" spans="1:4" s="26" customFormat="1">
      <c r="A1222" s="18" t="str">
        <f t="shared" si="19"/>
        <v>774.638 SPRUCE - WHITE 5-6 FEET</v>
      </c>
      <c r="B1222" s="19">
        <v>774.63800000000003</v>
      </c>
      <c r="C1222" s="20" t="s">
        <v>447</v>
      </c>
      <c r="D1222" s="20" t="s">
        <v>2</v>
      </c>
    </row>
    <row r="1223" spans="1:4">
      <c r="A1223" s="18" t="str">
        <f t="shared" si="19"/>
        <v>774.642 SPRUCE - WHITE 7-8 FEET</v>
      </c>
      <c r="B1223" s="19">
        <v>774.64200000000005</v>
      </c>
      <c r="C1223" s="20" t="s">
        <v>2561</v>
      </c>
      <c r="D1223" s="20" t="s">
        <v>2</v>
      </c>
    </row>
    <row r="1224" spans="1:4" s="26" customFormat="1">
      <c r="A1224" s="18" t="str">
        <f t="shared" si="19"/>
        <v>775.003 ASH - GREEN 8-10 FEET</v>
      </c>
      <c r="B1224" s="21">
        <v>775.00300000000004</v>
      </c>
      <c r="C1224" s="22" t="s">
        <v>2562</v>
      </c>
      <c r="D1224" s="22" t="s">
        <v>2</v>
      </c>
    </row>
    <row r="1225" spans="1:4">
      <c r="A1225" s="18" t="str">
        <f t="shared" si="19"/>
        <v>775.005 ASH - GREEN 2.5-3 INCH CALIPER</v>
      </c>
      <c r="B1225" s="21">
        <v>775.005</v>
      </c>
      <c r="C1225" s="22" t="s">
        <v>2563</v>
      </c>
      <c r="D1225" s="22" t="s">
        <v>2</v>
      </c>
    </row>
    <row r="1226" spans="1:4" s="26" customFormat="1">
      <c r="A1226" s="18" t="str">
        <f t="shared" si="19"/>
        <v>775.006 ASH - GREEN 3-3.5 INCH CALIPER</v>
      </c>
      <c r="B1226" s="21">
        <v>775.00599999999997</v>
      </c>
      <c r="C1226" s="22" t="s">
        <v>2564</v>
      </c>
      <c r="D1226" s="22" t="s">
        <v>2</v>
      </c>
    </row>
    <row r="1227" spans="1:4">
      <c r="A1227" s="18" t="str">
        <f t="shared" si="19"/>
        <v>775.007 ASH - WHITE 8-10 FEET</v>
      </c>
      <c r="B1227" s="19">
        <v>775.00699999999995</v>
      </c>
      <c r="C1227" s="20" t="s">
        <v>2565</v>
      </c>
      <c r="D1227" s="20" t="s">
        <v>2</v>
      </c>
    </row>
    <row r="1228" spans="1:4" s="26" customFormat="1">
      <c r="A1228" s="18" t="str">
        <f t="shared" si="19"/>
        <v>775.008 ASH - WHITE 2-2.5 INCH CALIPER</v>
      </c>
      <c r="B1228" s="21">
        <v>775.00800000000004</v>
      </c>
      <c r="C1228" s="22" t="s">
        <v>2566</v>
      </c>
      <c r="D1228" s="22" t="s">
        <v>2</v>
      </c>
    </row>
    <row r="1229" spans="1:4">
      <c r="A1229" s="18" t="str">
        <f t="shared" si="19"/>
        <v>775.011 ASH - WHITE 3-3.5 INCH CALIPER</v>
      </c>
      <c r="B1229" s="21">
        <v>775.01099999999997</v>
      </c>
      <c r="C1229" s="22" t="s">
        <v>2567</v>
      </c>
      <c r="D1229" s="22" t="s">
        <v>2</v>
      </c>
    </row>
    <row r="1230" spans="1:4" s="26" customFormat="1">
      <c r="A1230" s="18" t="str">
        <f t="shared" si="19"/>
        <v>775.012 BEECH - AMERICAN 2-2.5 INCH CALIPER</v>
      </c>
      <c r="B1230" s="19">
        <v>775.01199999999994</v>
      </c>
      <c r="C1230" s="20" t="s">
        <v>2568</v>
      </c>
      <c r="D1230" s="20" t="s">
        <v>2</v>
      </c>
    </row>
    <row r="1231" spans="1:4">
      <c r="A1231" s="18" t="str">
        <f t="shared" si="19"/>
        <v>775.013 BEECH - AMERICAN 3-3.5 INCH CALIPER</v>
      </c>
      <c r="B1231" s="19">
        <v>775.01300000000003</v>
      </c>
      <c r="C1231" s="20" t="s">
        <v>2569</v>
      </c>
      <c r="D1231" s="20" t="s">
        <v>2</v>
      </c>
    </row>
    <row r="1232" spans="1:4" s="26" customFormat="1">
      <c r="A1232" s="18" t="str">
        <f t="shared" si="19"/>
        <v>775.015 BEECH - COPPER 2-2.5 INCH CALIPER</v>
      </c>
      <c r="B1232" s="19">
        <v>775.01499999999999</v>
      </c>
      <c r="C1232" s="20" t="s">
        <v>2570</v>
      </c>
      <c r="D1232" s="20" t="s">
        <v>2</v>
      </c>
    </row>
    <row r="1233" spans="1:4">
      <c r="A1233" s="18" t="str">
        <f t="shared" si="19"/>
        <v>775.017 BEECH - COPPER 3 - 3.5 INCH CALIPER</v>
      </c>
      <c r="B1233" s="19">
        <v>775.01700000000005</v>
      </c>
      <c r="C1233" s="20" t="s">
        <v>2571</v>
      </c>
      <c r="D1233" s="20" t="s">
        <v>2</v>
      </c>
    </row>
    <row r="1234" spans="1:4" s="26" customFormat="1">
      <c r="A1234" s="18" t="str">
        <f t="shared" si="19"/>
        <v>775.018 BEECH - RIVER'S PURPLE 2-2.5 INCH CALIPER</v>
      </c>
      <c r="B1234" s="21">
        <v>775.01800000000003</v>
      </c>
      <c r="C1234" s="22" t="s">
        <v>2572</v>
      </c>
      <c r="D1234" s="22" t="s">
        <v>2</v>
      </c>
    </row>
    <row r="1235" spans="1:4">
      <c r="A1235" s="18" t="str">
        <f t="shared" si="19"/>
        <v>775.019 BEECH - RIVER'S PURPLE 3-3.5 INCH CALIPER</v>
      </c>
      <c r="B1235" s="21">
        <v>775.01900000000001</v>
      </c>
      <c r="C1235" s="22" t="s">
        <v>2573</v>
      </c>
      <c r="D1235" s="22" t="s">
        <v>2</v>
      </c>
    </row>
    <row r="1236" spans="1:4" s="26" customFormat="1">
      <c r="A1236" s="18" t="str">
        <f t="shared" si="19"/>
        <v>775.022 BUTTERNUT 8-10 FEET</v>
      </c>
      <c r="B1236" s="21">
        <v>775.02200000000005</v>
      </c>
      <c r="C1236" s="22" t="s">
        <v>2574</v>
      </c>
      <c r="D1236" s="22" t="s">
        <v>2</v>
      </c>
    </row>
    <row r="1237" spans="1:4">
      <c r="A1237" s="18" t="str">
        <f t="shared" si="19"/>
        <v>775.026 CHESTNUT - SWEETHEART 8-10 FEET</v>
      </c>
      <c r="B1237" s="19">
        <v>775.02599999999995</v>
      </c>
      <c r="C1237" s="20" t="s">
        <v>2575</v>
      </c>
      <c r="D1237" s="20" t="s">
        <v>2</v>
      </c>
    </row>
    <row r="1238" spans="1:4" s="26" customFormat="1">
      <c r="A1238" s="18" t="str">
        <f t="shared" si="19"/>
        <v>775.029 ELM - CAMPERDOWN 3-3.5 INCH CALIPER</v>
      </c>
      <c r="B1238" s="19">
        <v>775.029</v>
      </c>
      <c r="C1238" s="20" t="s">
        <v>2576</v>
      </c>
      <c r="D1238" s="20" t="s">
        <v>2</v>
      </c>
    </row>
    <row r="1239" spans="1:4">
      <c r="A1239" s="18" t="str">
        <f t="shared" si="19"/>
        <v>775.031 HICKORY - SHAGBARK 8-10 FEET</v>
      </c>
      <c r="B1239" s="21">
        <v>775.03099999999995</v>
      </c>
      <c r="C1239" s="22" t="s">
        <v>2577</v>
      </c>
      <c r="D1239" s="22" t="s">
        <v>2</v>
      </c>
    </row>
    <row r="1240" spans="1:4" s="26" customFormat="1">
      <c r="A1240" s="18" t="str">
        <f t="shared" si="19"/>
        <v>775.034 HOPHORNBEAM - AMERICAN 8-10 FEET</v>
      </c>
      <c r="B1240" s="19">
        <v>775.03399999999999</v>
      </c>
      <c r="C1240" s="20" t="s">
        <v>2578</v>
      </c>
      <c r="D1240" s="20" t="s">
        <v>2</v>
      </c>
    </row>
    <row r="1241" spans="1:4">
      <c r="A1241" s="18" t="str">
        <f t="shared" si="19"/>
        <v>775.035 HOPHORNBEAM - AMERICAN 2-2.5 INCH CALIPER</v>
      </c>
      <c r="B1241" s="19">
        <v>775.03499999999997</v>
      </c>
      <c r="C1241" s="20" t="s">
        <v>1474</v>
      </c>
      <c r="D1241" s="20" t="s">
        <v>2</v>
      </c>
    </row>
    <row r="1242" spans="1:4" s="26" customFormat="1">
      <c r="A1242" s="18" t="str">
        <f t="shared" si="19"/>
        <v>775.038 HORNBEAM - AMERICAN 8-10 FEET</v>
      </c>
      <c r="B1242" s="21">
        <v>775.03800000000001</v>
      </c>
      <c r="C1242" s="22" t="s">
        <v>2579</v>
      </c>
      <c r="D1242" s="22" t="s">
        <v>2</v>
      </c>
    </row>
    <row r="1243" spans="1:4">
      <c r="A1243" s="18" t="str">
        <f t="shared" si="19"/>
        <v>775.043 HORNBEAM - AMERICAN 3-3.5 INCH CALIPER</v>
      </c>
      <c r="B1243" s="21">
        <v>775.04300000000001</v>
      </c>
      <c r="C1243" s="22" t="s">
        <v>2580</v>
      </c>
      <c r="D1243" s="22" t="s">
        <v>2</v>
      </c>
    </row>
    <row r="1244" spans="1:4" s="26" customFormat="1">
      <c r="A1244" s="18" t="str">
        <f t="shared" si="19"/>
        <v>775.047 HORNBEAM - EUROPEAN 8-10 FEET</v>
      </c>
      <c r="B1244" s="19">
        <v>775.04700000000003</v>
      </c>
      <c r="C1244" s="20" t="s">
        <v>2581</v>
      </c>
      <c r="D1244" s="20" t="s">
        <v>2</v>
      </c>
    </row>
    <row r="1245" spans="1:4">
      <c r="A1245" s="18" t="str">
        <f t="shared" si="19"/>
        <v>775.049 HORNBEAM - EUROPEAN 2-2.5 INCH CALIPER</v>
      </c>
      <c r="B1245" s="21">
        <v>775.04899999999998</v>
      </c>
      <c r="C1245" s="22" t="s">
        <v>2582</v>
      </c>
      <c r="D1245" s="22" t="s">
        <v>2</v>
      </c>
    </row>
    <row r="1246" spans="1:4" s="26" customFormat="1">
      <c r="A1246" s="18" t="str">
        <f t="shared" si="19"/>
        <v>775.055 HORNBEAM - FASTIGIATE 2.5-3 INCH CALIPER</v>
      </c>
      <c r="B1246" s="19">
        <v>775.05499999999995</v>
      </c>
      <c r="C1246" s="20" t="s">
        <v>2583</v>
      </c>
      <c r="D1246" s="20" t="s">
        <v>2</v>
      </c>
    </row>
    <row r="1247" spans="1:4">
      <c r="A1247" s="18" t="str">
        <f t="shared" si="19"/>
        <v>775.071 JAPANESE SNOWBELL TREE 5-6 FEET</v>
      </c>
      <c r="B1247" s="21">
        <v>775.07100000000003</v>
      </c>
      <c r="C1247" s="22" t="s">
        <v>2584</v>
      </c>
      <c r="D1247" s="22" t="s">
        <v>2</v>
      </c>
    </row>
    <row r="1248" spans="1:4" s="26" customFormat="1">
      <c r="A1248" s="18" t="str">
        <f t="shared" si="19"/>
        <v>775.075 JAPANESE SNOWBELL TREE 1.5-2 INCH CALIPER</v>
      </c>
      <c r="B1248" s="21">
        <v>775.07500000000005</v>
      </c>
      <c r="C1248" s="22" t="s">
        <v>2585</v>
      </c>
      <c r="D1248" s="22" t="s">
        <v>2</v>
      </c>
    </row>
    <row r="1249" spans="1:4">
      <c r="A1249" s="18" t="str">
        <f t="shared" si="19"/>
        <v>775.128 KATSURA TREE 2-2.5 INCH CALIPER</v>
      </c>
      <c r="B1249" s="19">
        <v>775.12800000000004</v>
      </c>
      <c r="C1249" s="20" t="s">
        <v>2586</v>
      </c>
      <c r="D1249" s="20" t="s">
        <v>2</v>
      </c>
    </row>
    <row r="1250" spans="1:4" s="26" customFormat="1">
      <c r="A1250" s="18" t="str">
        <f t="shared" si="19"/>
        <v>775.131 KATSURA TREE 3-3.5 INCH CALIPER</v>
      </c>
      <c r="B1250" s="21">
        <v>775.13099999999997</v>
      </c>
      <c r="C1250" s="22" t="s">
        <v>2587</v>
      </c>
      <c r="D1250" s="22" t="s">
        <v>2</v>
      </c>
    </row>
    <row r="1251" spans="1:4">
      <c r="A1251" s="18" t="str">
        <f t="shared" si="19"/>
        <v>775.133 LARCH - EUROPEAN 2-2.5 INCH CALIPER</v>
      </c>
      <c r="B1251" s="19">
        <v>775.13300000000004</v>
      </c>
      <c r="C1251" s="20" t="s">
        <v>2588</v>
      </c>
      <c r="D1251" s="20" t="s">
        <v>2</v>
      </c>
    </row>
    <row r="1252" spans="1:4" s="26" customFormat="1">
      <c r="A1252" s="18" t="str">
        <f t="shared" si="19"/>
        <v>775.134 LARCH - EUROPEAN 3-3.5 INCH CALIPER</v>
      </c>
      <c r="B1252" s="19">
        <v>775.13400000000001</v>
      </c>
      <c r="C1252" s="20" t="s">
        <v>2589</v>
      </c>
      <c r="D1252" s="20" t="s">
        <v>2</v>
      </c>
    </row>
    <row r="1253" spans="1:4">
      <c r="A1253" s="18" t="str">
        <f t="shared" si="19"/>
        <v>775.137 LARCH - JAPANESE 1.5-2 INCH CALIPER</v>
      </c>
      <c r="B1253" s="21">
        <v>775.13699999999994</v>
      </c>
      <c r="C1253" s="22" t="s">
        <v>2590</v>
      </c>
      <c r="D1253" s="22" t="s">
        <v>2</v>
      </c>
    </row>
    <row r="1254" spans="1:4" s="26" customFormat="1">
      <c r="A1254" s="18" t="str">
        <f t="shared" si="19"/>
        <v>775.139 LARCH - JAPANESE 3-3.5 INCH CALIPER</v>
      </c>
      <c r="B1254" s="19">
        <v>775.13900000000001</v>
      </c>
      <c r="C1254" s="20" t="s">
        <v>2591</v>
      </c>
      <c r="D1254" s="20" t="s">
        <v>2</v>
      </c>
    </row>
    <row r="1255" spans="1:4">
      <c r="A1255" s="18" t="str">
        <f t="shared" si="19"/>
        <v>775.14 LINDEN - AMERICAN 2-2.5 INCH CALIPER</v>
      </c>
      <c r="B1255" s="21">
        <v>775.14</v>
      </c>
      <c r="C1255" s="22" t="s">
        <v>2592</v>
      </c>
      <c r="D1255" s="22" t="s">
        <v>2</v>
      </c>
    </row>
    <row r="1256" spans="1:4" s="26" customFormat="1">
      <c r="A1256" s="18" t="str">
        <f t="shared" si="19"/>
        <v>775.145 LINDEN - AMERICAN 3-3.5 INCH CALIPER</v>
      </c>
      <c r="B1256" s="21">
        <v>775.14499999999998</v>
      </c>
      <c r="C1256" s="22" t="s">
        <v>2593</v>
      </c>
      <c r="D1256" s="22" t="s">
        <v>2</v>
      </c>
    </row>
    <row r="1257" spans="1:4">
      <c r="A1257" s="18" t="str">
        <f t="shared" si="19"/>
        <v>775.147 LINDEN - LITTLE LEAF 2-2.5 INCH CALIPER</v>
      </c>
      <c r="B1257" s="19">
        <v>775.14700000000005</v>
      </c>
      <c r="C1257" s="20" t="s">
        <v>1438</v>
      </c>
      <c r="D1257" s="20" t="s">
        <v>2</v>
      </c>
    </row>
    <row r="1258" spans="1:4" s="26" customFormat="1">
      <c r="A1258" s="18" t="str">
        <f t="shared" si="19"/>
        <v>775.151 LINDEN - LITTLE LEAF 3-3.5 INCH CALIPER</v>
      </c>
      <c r="B1258" s="19">
        <v>775.15099999999995</v>
      </c>
      <c r="C1258" s="20" t="s">
        <v>2594</v>
      </c>
      <c r="D1258" s="20" t="s">
        <v>2</v>
      </c>
    </row>
    <row r="1259" spans="1:4">
      <c r="A1259" s="18" t="str">
        <f t="shared" si="19"/>
        <v>775.264 LINDEN - SILVER 2-2.5 INCH CALIPER</v>
      </c>
      <c r="B1259" s="21">
        <v>775.26400000000001</v>
      </c>
      <c r="C1259" s="22" t="s">
        <v>2595</v>
      </c>
      <c r="D1259" s="22" t="s">
        <v>2</v>
      </c>
    </row>
    <row r="1260" spans="1:4" s="26" customFormat="1">
      <c r="A1260" s="18" t="str">
        <f t="shared" si="19"/>
        <v>775.266 LINDEN - SILVER 3-3.5 INCH CALIPER</v>
      </c>
      <c r="B1260" s="21">
        <v>775.26599999999996</v>
      </c>
      <c r="C1260" s="22" t="s">
        <v>2596</v>
      </c>
      <c r="D1260" s="22" t="s">
        <v>2</v>
      </c>
    </row>
    <row r="1261" spans="1:4">
      <c r="A1261" s="18" t="str">
        <f t="shared" si="19"/>
        <v>775.431 LOCUST - HONEY - 'SHADEMASTER' 2-2.5 INCH CALIPER</v>
      </c>
      <c r="B1261" s="19">
        <v>775.43100000000004</v>
      </c>
      <c r="C1261" s="20" t="s">
        <v>448</v>
      </c>
      <c r="D1261" s="20" t="s">
        <v>2</v>
      </c>
    </row>
    <row r="1262" spans="1:4" s="26" customFormat="1">
      <c r="A1262" s="18" t="str">
        <f t="shared" si="19"/>
        <v>775.434 LOCUST - HONEY - 'SHADEMASTER' 3-3.5 INCH CALIPER</v>
      </c>
      <c r="B1262" s="21">
        <v>775.43399999999997</v>
      </c>
      <c r="C1262" s="22" t="s">
        <v>1475</v>
      </c>
      <c r="D1262" s="22" t="s">
        <v>2</v>
      </c>
    </row>
    <row r="1263" spans="1:4">
      <c r="A1263" s="18" t="str">
        <f t="shared" si="19"/>
        <v>775.437 LOCUST - HONEY - 'SKYLINE' 2-2.5 INCH CALIPER</v>
      </c>
      <c r="B1263" s="19">
        <v>775.43700000000001</v>
      </c>
      <c r="C1263" s="20" t="s">
        <v>1476</v>
      </c>
      <c r="D1263" s="20" t="s">
        <v>2</v>
      </c>
    </row>
    <row r="1264" spans="1:4" s="26" customFormat="1">
      <c r="A1264" s="18" t="str">
        <f t="shared" si="19"/>
        <v>775.441 LOCUST - HONEY - 'SKYLINE' 3-3.5 INCH CALIPER</v>
      </c>
      <c r="B1264" s="19">
        <v>775.44100000000003</v>
      </c>
      <c r="C1264" s="20" t="s">
        <v>2597</v>
      </c>
      <c r="D1264" s="20" t="s">
        <v>2</v>
      </c>
    </row>
    <row r="1265" spans="1:4">
      <c r="A1265" s="18" t="str">
        <f t="shared" si="19"/>
        <v>776.036 MAPLE - AMUR 5-6 FEET</v>
      </c>
      <c r="B1265" s="21">
        <v>776.03599999999994</v>
      </c>
      <c r="C1265" s="22" t="s">
        <v>2598</v>
      </c>
      <c r="D1265" s="22" t="s">
        <v>2</v>
      </c>
    </row>
    <row r="1266" spans="1:4" s="26" customFormat="1">
      <c r="A1266" s="18" t="str">
        <f t="shared" si="19"/>
        <v>776.039 MAPLE - AMUR 10-12 FEET</v>
      </c>
      <c r="B1266" s="19">
        <v>776.03899999999999</v>
      </c>
      <c r="C1266" s="20" t="s">
        <v>2599</v>
      </c>
      <c r="D1266" s="20" t="s">
        <v>2</v>
      </c>
    </row>
    <row r="1267" spans="1:4">
      <c r="A1267" s="18" t="str">
        <f t="shared" si="19"/>
        <v>776.044 MAPLE - HEDGE 2-2.5 INCH CALIPER</v>
      </c>
      <c r="B1267" s="19">
        <v>776.04399999999998</v>
      </c>
      <c r="C1267" s="20" t="s">
        <v>2600</v>
      </c>
      <c r="D1267" s="20" t="s">
        <v>2</v>
      </c>
    </row>
    <row r="1268" spans="1:4" s="26" customFormat="1">
      <c r="A1268" s="18" t="str">
        <f t="shared" si="19"/>
        <v>776.048 MAPLE - HEDGE 3-3.5 INCH CALIPER</v>
      </c>
      <c r="B1268" s="19">
        <v>776.048</v>
      </c>
      <c r="C1268" s="20" t="s">
        <v>2601</v>
      </c>
      <c r="D1268" s="20" t="s">
        <v>2</v>
      </c>
    </row>
    <row r="1269" spans="1:4">
      <c r="A1269" s="18" t="str">
        <f t="shared" si="19"/>
        <v>776.354 MAPLE - JAPANESE CUTLEAF - 'EVER RED' 3.5-4 FOOT SPREAD</v>
      </c>
      <c r="B1269" s="21">
        <v>776.35400000000004</v>
      </c>
      <c r="C1269" s="22" t="s">
        <v>2602</v>
      </c>
      <c r="D1269" s="22" t="s">
        <v>2</v>
      </c>
    </row>
    <row r="1270" spans="1:4" s="26" customFormat="1">
      <c r="A1270" s="18" t="str">
        <f t="shared" si="19"/>
        <v>776.355 MAPLE - JAPANESE - GREEN CUTLEAF 3.5-4 FOOT SPREAD</v>
      </c>
      <c r="B1270" s="21">
        <v>776.35500000000002</v>
      </c>
      <c r="C1270" s="22" t="s">
        <v>2603</v>
      </c>
      <c r="D1270" s="22" t="s">
        <v>2</v>
      </c>
    </row>
    <row r="1271" spans="1:4">
      <c r="A1271" s="18" t="str">
        <f t="shared" si="19"/>
        <v>776.475 MAPLE - PAPERBARK 2-2.5 INCH CALIPER</v>
      </c>
      <c r="B1271" s="19">
        <v>776.47500000000002</v>
      </c>
      <c r="C1271" s="20" t="s">
        <v>2604</v>
      </c>
      <c r="D1271" s="20" t="s">
        <v>2</v>
      </c>
    </row>
    <row r="1272" spans="1:4" s="26" customFormat="1">
      <c r="A1272" s="18" t="str">
        <f t="shared" si="19"/>
        <v>776.478 MAPLE - PAPERBARK 3-3.5 INCH CALIPER</v>
      </c>
      <c r="B1272" s="21">
        <v>776.47799999999995</v>
      </c>
      <c r="C1272" s="22" t="s">
        <v>2605</v>
      </c>
      <c r="D1272" s="22" t="s">
        <v>2</v>
      </c>
    </row>
    <row r="1273" spans="1:4">
      <c r="A1273" s="18" t="str">
        <f t="shared" si="19"/>
        <v>776.523 MAPLE - RED - 'ARMSTRONG' 2-2.5 INCH CALIPER</v>
      </c>
      <c r="B1273" s="21">
        <v>776.52300000000002</v>
      </c>
      <c r="C1273" s="22" t="s">
        <v>449</v>
      </c>
      <c r="D1273" s="22" t="s">
        <v>2</v>
      </c>
    </row>
    <row r="1274" spans="1:4" s="26" customFormat="1">
      <c r="A1274" s="18" t="str">
        <f t="shared" si="19"/>
        <v>776.525 MAPLE - RED - 'ARMSTRONG' 2.5-3 INCH CALIPER</v>
      </c>
      <c r="B1274" s="21">
        <v>776.52499999999998</v>
      </c>
      <c r="C1274" s="22" t="s">
        <v>2606</v>
      </c>
      <c r="D1274" s="22" t="s">
        <v>2</v>
      </c>
    </row>
    <row r="1275" spans="1:4">
      <c r="A1275" s="18" t="str">
        <f t="shared" si="19"/>
        <v>776.527 MAPLE - RED - 'ARMSTRONG' 3-3.5 INCH CALIPER</v>
      </c>
      <c r="B1275" s="19">
        <v>776.52700000000004</v>
      </c>
      <c r="C1275" s="20" t="s">
        <v>2607</v>
      </c>
      <c r="D1275" s="20" t="s">
        <v>2</v>
      </c>
    </row>
    <row r="1276" spans="1:4" s="26" customFormat="1">
      <c r="A1276" s="18" t="str">
        <f t="shared" si="19"/>
        <v>776.538 MAPLE - RED - 'OCTOBER GLORY' 8-10 FEET</v>
      </c>
      <c r="B1276" s="19">
        <v>776.53800000000001</v>
      </c>
      <c r="C1276" s="20" t="s">
        <v>2608</v>
      </c>
      <c r="D1276" s="20" t="s">
        <v>2</v>
      </c>
    </row>
    <row r="1277" spans="1:4">
      <c r="A1277" s="18" t="str">
        <f t="shared" si="19"/>
        <v>776.543 MAPLE - RED - 'OCTOBER GLORY' 2-2.5 INCH CALIPER</v>
      </c>
      <c r="B1277" s="21">
        <v>776.54300000000001</v>
      </c>
      <c r="C1277" s="22" t="s">
        <v>450</v>
      </c>
      <c r="D1277" s="22" t="s">
        <v>2</v>
      </c>
    </row>
    <row r="1278" spans="1:4" s="26" customFormat="1">
      <c r="A1278" s="18" t="str">
        <f t="shared" si="19"/>
        <v>776.551 MAPLE - RED - 'OCTOBER GLORY' 3-3.5 INCH CALIPER</v>
      </c>
      <c r="B1278" s="21">
        <v>776.55100000000004</v>
      </c>
      <c r="C1278" s="22" t="s">
        <v>2609</v>
      </c>
      <c r="D1278" s="22" t="s">
        <v>2</v>
      </c>
    </row>
    <row r="1279" spans="1:4">
      <c r="A1279" s="18" t="str">
        <f t="shared" si="19"/>
        <v>776.557 MAPLE - RED - 'RED SUNSET' 2-2.5 INCH CALIPER</v>
      </c>
      <c r="B1279" s="19">
        <v>776.55700000000002</v>
      </c>
      <c r="C1279" s="20" t="s">
        <v>451</v>
      </c>
      <c r="D1279" s="20" t="s">
        <v>2</v>
      </c>
    </row>
    <row r="1280" spans="1:4" s="26" customFormat="1">
      <c r="A1280" s="18" t="str">
        <f t="shared" si="19"/>
        <v>776.561 MAPLE - RED - 'RED SUNSET' 3-3.5 INCH CALIPER</v>
      </c>
      <c r="B1280" s="19">
        <v>776.56100000000004</v>
      </c>
      <c r="C1280" s="20" t="s">
        <v>2610</v>
      </c>
      <c r="D1280" s="20" t="s">
        <v>2</v>
      </c>
    </row>
    <row r="1281" spans="1:4">
      <c r="A1281" s="18" t="str">
        <f t="shared" si="19"/>
        <v>776.737 MAPLE - SILVER 2-2.5 INCHES CALIPER</v>
      </c>
      <c r="B1281" s="19">
        <v>776.73699999999997</v>
      </c>
      <c r="C1281" s="20" t="s">
        <v>2611</v>
      </c>
      <c r="D1281" s="20" t="s">
        <v>2</v>
      </c>
    </row>
    <row r="1282" spans="1:4" s="26" customFormat="1">
      <c r="A1282" s="18" t="str">
        <f t="shared" ref="A1282:A1345" si="20">B1282&amp;" "&amp;C1282</f>
        <v>776.836 MAPLE - SUGAR 2-2.5 INCHES CALIPER</v>
      </c>
      <c r="B1282" s="21">
        <v>776.83600000000001</v>
      </c>
      <c r="C1282" s="22" t="s">
        <v>1477</v>
      </c>
      <c r="D1282" s="22" t="s">
        <v>2</v>
      </c>
    </row>
    <row r="1283" spans="1:4">
      <c r="A1283" s="18" t="str">
        <f t="shared" si="20"/>
        <v>776.84 MAPLE - SUGAR 3-3.5 INCHES CALIPER</v>
      </c>
      <c r="B1283" s="21">
        <v>776.84</v>
      </c>
      <c r="C1283" s="22" t="s">
        <v>2612</v>
      </c>
      <c r="D1283" s="22" t="s">
        <v>2</v>
      </c>
    </row>
    <row r="1284" spans="1:4" s="26" customFormat="1">
      <c r="A1284" s="18" t="str">
        <f t="shared" si="20"/>
        <v>776.841 MAPLE - SUGAR - 'GREEN MOUNTAIN' 2-2.5 INCH CALIPER</v>
      </c>
      <c r="B1284" s="19">
        <v>776.84100000000001</v>
      </c>
      <c r="C1284" s="20" t="s">
        <v>2613</v>
      </c>
      <c r="D1284" s="20" t="s">
        <v>2</v>
      </c>
    </row>
    <row r="1285" spans="1:4">
      <c r="A1285" s="18" t="str">
        <f t="shared" si="20"/>
        <v>776.845 MAPLE - SUGAR - 'GREEN MOUNTAIN' 3-3.5 INCH CALIPER</v>
      </c>
      <c r="B1285" s="21">
        <v>776.84500000000003</v>
      </c>
      <c r="C1285" s="22" t="s">
        <v>2614</v>
      </c>
      <c r="D1285" s="22" t="s">
        <v>2</v>
      </c>
    </row>
    <row r="1286" spans="1:4" s="26" customFormat="1">
      <c r="A1286" s="18" t="str">
        <f t="shared" si="20"/>
        <v>776.851 MAPLE - SUGAR - 'LEGACY' 2-2.5 INCH CALIPER</v>
      </c>
      <c r="B1286" s="21">
        <v>776.851</v>
      </c>
      <c r="C1286" s="22" t="s">
        <v>1478</v>
      </c>
      <c r="D1286" s="22" t="s">
        <v>2</v>
      </c>
    </row>
    <row r="1287" spans="1:4">
      <c r="A1287" s="18" t="str">
        <f t="shared" si="20"/>
        <v>776.855 MAPLE - SUGAR - 'LEGACY' 3-3.5 INCH CALIPER</v>
      </c>
      <c r="B1287" s="19">
        <v>776.85500000000002</v>
      </c>
      <c r="C1287" s="20" t="s">
        <v>2615</v>
      </c>
      <c r="D1287" s="20" t="s">
        <v>2</v>
      </c>
    </row>
    <row r="1288" spans="1:4" s="26" customFormat="1">
      <c r="A1288" s="18" t="str">
        <f t="shared" si="20"/>
        <v>776.873 MAPLE - SUGAR - COLUMNAR 2-2.5 INCH CALIPER</v>
      </c>
      <c r="B1288" s="21">
        <v>776.87300000000005</v>
      </c>
      <c r="C1288" s="22" t="s">
        <v>2616</v>
      </c>
      <c r="D1288" s="22" t="s">
        <v>2</v>
      </c>
    </row>
    <row r="1289" spans="1:4">
      <c r="A1289" s="18" t="str">
        <f t="shared" si="20"/>
        <v>776.875 MAPLE - SUGAR - COLUMNAR 2.5-3 INCH CALIPER</v>
      </c>
      <c r="B1289" s="19">
        <v>776.875</v>
      </c>
      <c r="C1289" s="20" t="s">
        <v>2617</v>
      </c>
      <c r="D1289" s="20" t="s">
        <v>2</v>
      </c>
    </row>
    <row r="1290" spans="1:4" s="26" customFormat="1">
      <c r="A1290" s="18" t="str">
        <f t="shared" si="20"/>
        <v>776.935 MAPLE - SYCAMORE 2-2.5 INCH CALIPER</v>
      </c>
      <c r="B1290" s="19">
        <v>776.93499999999995</v>
      </c>
      <c r="C1290" s="20" t="s">
        <v>1479</v>
      </c>
      <c r="D1290" s="20" t="s">
        <v>2</v>
      </c>
    </row>
    <row r="1291" spans="1:4">
      <c r="A1291" s="18" t="str">
        <f t="shared" si="20"/>
        <v>776.939 MAPLE - SYCAMORE 3-3.5 INCH CALIPER</v>
      </c>
      <c r="B1291" s="21">
        <v>776.93899999999996</v>
      </c>
      <c r="C1291" s="22" t="s">
        <v>2618</v>
      </c>
      <c r="D1291" s="22" t="s">
        <v>2</v>
      </c>
    </row>
    <row r="1292" spans="1:4" s="26" customFormat="1">
      <c r="A1292" s="18" t="str">
        <f t="shared" si="20"/>
        <v>777.009 OAK - BLACK 1.5-2 INCH CALIPER</v>
      </c>
      <c r="B1292" s="19">
        <v>777.00900000000001</v>
      </c>
      <c r="C1292" s="20" t="s">
        <v>2619</v>
      </c>
      <c r="D1292" s="20" t="s">
        <v>2</v>
      </c>
    </row>
    <row r="1293" spans="1:4">
      <c r="A1293" s="18" t="str">
        <f t="shared" si="20"/>
        <v>777.011 OAK - BLACK 2-2.5 INCH CALIPER</v>
      </c>
      <c r="B1293" s="21">
        <v>777.01099999999997</v>
      </c>
      <c r="C1293" s="22" t="s">
        <v>2620</v>
      </c>
      <c r="D1293" s="22" t="s">
        <v>2</v>
      </c>
    </row>
    <row r="1294" spans="1:4" s="26" customFormat="1">
      <c r="A1294" s="18" t="str">
        <f t="shared" si="20"/>
        <v>777.016 OAK - BUR 1.5-2 INCH CALIPER</v>
      </c>
      <c r="B1294" s="19">
        <v>777.01599999999996</v>
      </c>
      <c r="C1294" s="20" t="s">
        <v>2621</v>
      </c>
      <c r="D1294" s="20" t="s">
        <v>2</v>
      </c>
    </row>
    <row r="1295" spans="1:4">
      <c r="A1295" s="18" t="str">
        <f t="shared" si="20"/>
        <v>777.018 OAK - BUR 2-2.5 INCH CALIPER</v>
      </c>
      <c r="B1295" s="21">
        <v>777.01800000000003</v>
      </c>
      <c r="C1295" s="22" t="s">
        <v>2622</v>
      </c>
      <c r="D1295" s="22" t="s">
        <v>2</v>
      </c>
    </row>
    <row r="1296" spans="1:4" s="26" customFormat="1">
      <c r="A1296" s="18" t="str">
        <f t="shared" si="20"/>
        <v>777.023 OAK - CHESTNUT 1.5-2 INCH CALIPER</v>
      </c>
      <c r="B1296" s="21">
        <v>777.02300000000002</v>
      </c>
      <c r="C1296" s="22" t="s">
        <v>2623</v>
      </c>
      <c r="D1296" s="22" t="s">
        <v>2</v>
      </c>
    </row>
    <row r="1297" spans="1:4">
      <c r="A1297" s="18" t="str">
        <f t="shared" si="20"/>
        <v>777.025 OAK - CHESTNUT 2-2.5 INCH CALIPER</v>
      </c>
      <c r="B1297" s="21">
        <v>777.02499999999998</v>
      </c>
      <c r="C1297" s="22" t="s">
        <v>2624</v>
      </c>
      <c r="D1297" s="22" t="s">
        <v>2</v>
      </c>
    </row>
    <row r="1298" spans="1:4" s="26" customFormat="1">
      <c r="A1298" s="18" t="str">
        <f t="shared" si="20"/>
        <v>777.033 OAK - ENGLISH 2-2.5 INCH CALIPER</v>
      </c>
      <c r="B1298" s="19">
        <v>777.03300000000002</v>
      </c>
      <c r="C1298" s="20" t="s">
        <v>2625</v>
      </c>
      <c r="D1298" s="20" t="s">
        <v>2</v>
      </c>
    </row>
    <row r="1299" spans="1:4">
      <c r="A1299" s="18" t="str">
        <f t="shared" si="20"/>
        <v>777.036 OAK - NORTHERN RED 2-2.5 INCH CALIPER</v>
      </c>
      <c r="B1299" s="19">
        <v>777.03599999999994</v>
      </c>
      <c r="C1299" s="20" t="s">
        <v>452</v>
      </c>
      <c r="D1299" s="20" t="s">
        <v>2</v>
      </c>
    </row>
    <row r="1300" spans="1:4" s="26" customFormat="1">
      <c r="A1300" s="18" t="str">
        <f t="shared" si="20"/>
        <v>777.042 OAK - NORTHERN RED 2.5-3 INCH CALIPER</v>
      </c>
      <c r="B1300" s="19">
        <v>777.04200000000003</v>
      </c>
      <c r="C1300" s="20" t="s">
        <v>2626</v>
      </c>
      <c r="D1300" s="20" t="s">
        <v>2</v>
      </c>
    </row>
    <row r="1301" spans="1:4">
      <c r="A1301" s="18" t="str">
        <f t="shared" si="20"/>
        <v>777.043 OAK - NORTHERN RED 3-3.5 INCH CALIPER</v>
      </c>
      <c r="B1301" s="19">
        <v>777.04300000000001</v>
      </c>
      <c r="C1301" s="20" t="s">
        <v>2627</v>
      </c>
      <c r="D1301" s="20" t="s">
        <v>2</v>
      </c>
    </row>
    <row r="1302" spans="1:4" s="26" customFormat="1">
      <c r="A1302" s="18" t="str">
        <f t="shared" si="20"/>
        <v>777.138 OAK - PIN 2-2.5 INCH CALIPER</v>
      </c>
      <c r="B1302" s="21">
        <v>777.13800000000003</v>
      </c>
      <c r="C1302" s="22" t="s">
        <v>453</v>
      </c>
      <c r="D1302" s="22" t="s">
        <v>2</v>
      </c>
    </row>
    <row r="1303" spans="1:4">
      <c r="A1303" s="18" t="str">
        <f t="shared" si="20"/>
        <v>777.141 OAK - PIN 3-3.5 INCH CALIPER</v>
      </c>
      <c r="B1303" s="19">
        <v>777.14099999999996</v>
      </c>
      <c r="C1303" s="20" t="s">
        <v>2628</v>
      </c>
      <c r="D1303" s="20" t="s">
        <v>2</v>
      </c>
    </row>
    <row r="1304" spans="1:4" s="26" customFormat="1">
      <c r="A1304" s="18" t="str">
        <f t="shared" si="20"/>
        <v>777.161 OAK - PYRAMIDAL ENGLISH 1.5-2 INCH CALIPER</v>
      </c>
      <c r="B1304" s="19">
        <v>777.16099999999994</v>
      </c>
      <c r="C1304" s="20" t="s">
        <v>2629</v>
      </c>
      <c r="D1304" s="20" t="s">
        <v>2</v>
      </c>
    </row>
    <row r="1305" spans="1:4">
      <c r="A1305" s="18" t="str">
        <f t="shared" si="20"/>
        <v>777.165 OAK - PYRAMIDAL ENGLISH 2.5-3 INCH CALIPER</v>
      </c>
      <c r="B1305" s="21">
        <v>777.16499999999996</v>
      </c>
      <c r="C1305" s="22" t="s">
        <v>2630</v>
      </c>
      <c r="D1305" s="22" t="s">
        <v>2</v>
      </c>
    </row>
    <row r="1306" spans="1:4" s="26" customFormat="1">
      <c r="A1306" s="18" t="str">
        <f t="shared" si="20"/>
        <v>777.239 OAK - SCARLET 10-12 FEET</v>
      </c>
      <c r="B1306" s="21">
        <v>777.23900000000003</v>
      </c>
      <c r="C1306" s="22" t="s">
        <v>2631</v>
      </c>
      <c r="D1306" s="22" t="s">
        <v>2</v>
      </c>
    </row>
    <row r="1307" spans="1:4">
      <c r="A1307" s="18" t="str">
        <f t="shared" si="20"/>
        <v>777.241 OAK - SCARLET 2-2.5 INCH CALIPER</v>
      </c>
      <c r="B1307" s="19">
        <v>777.24099999999999</v>
      </c>
      <c r="C1307" s="20" t="s">
        <v>2632</v>
      </c>
      <c r="D1307" s="20" t="s">
        <v>2</v>
      </c>
    </row>
    <row r="1308" spans="1:4" s="26" customFormat="1">
      <c r="A1308" s="18" t="str">
        <f t="shared" si="20"/>
        <v>777.261 OAK - SWAMP WHITE 1.5-2 INCH CALIPER</v>
      </c>
      <c r="B1308" s="21">
        <v>777.26099999999997</v>
      </c>
      <c r="C1308" s="22" t="s">
        <v>454</v>
      </c>
      <c r="D1308" s="22" t="s">
        <v>2</v>
      </c>
    </row>
    <row r="1309" spans="1:4">
      <c r="A1309" s="18" t="str">
        <f t="shared" si="20"/>
        <v>777.327 OAK - WHITE 1.5-2 INCH CALIPER</v>
      </c>
      <c r="B1309" s="21">
        <v>777.327</v>
      </c>
      <c r="C1309" s="22" t="s">
        <v>2633</v>
      </c>
      <c r="D1309" s="22" t="s">
        <v>2</v>
      </c>
    </row>
    <row r="1310" spans="1:4" s="26" customFormat="1">
      <c r="A1310" s="18" t="str">
        <f t="shared" si="20"/>
        <v>777.332 OAK - WHITE 2.5-3 INCH CALIPER</v>
      </c>
      <c r="B1310" s="19">
        <v>777.33199999999999</v>
      </c>
      <c r="C1310" s="20" t="s">
        <v>2634</v>
      </c>
      <c r="D1310" s="20" t="s">
        <v>2</v>
      </c>
    </row>
    <row r="1311" spans="1:4">
      <c r="A1311" s="18" t="str">
        <f t="shared" si="20"/>
        <v>777.342 OAK - WILLOW 2.5-3 INCH CALIPER</v>
      </c>
      <c r="B1311" s="21">
        <v>777.34199999999998</v>
      </c>
      <c r="C1311" s="22" t="s">
        <v>2635</v>
      </c>
      <c r="D1311" s="22" t="s">
        <v>2</v>
      </c>
    </row>
    <row r="1312" spans="1:4" s="26" customFormat="1">
      <c r="A1312" s="18" t="str">
        <f t="shared" si="20"/>
        <v>777.438 PLANETREE - AMERICAN 8-10 FEET</v>
      </c>
      <c r="B1312" s="21">
        <v>777.43799999999999</v>
      </c>
      <c r="C1312" s="22" t="s">
        <v>2636</v>
      </c>
      <c r="D1312" s="22" t="s">
        <v>2</v>
      </c>
    </row>
    <row r="1313" spans="1:4">
      <c r="A1313" s="18" t="str">
        <f t="shared" si="20"/>
        <v>777.442 PLANETREE - AMERICAN 2-2.5 INCH CALIPER</v>
      </c>
      <c r="B1313" s="21">
        <v>777.44200000000001</v>
      </c>
      <c r="C1313" s="22" t="s">
        <v>1480</v>
      </c>
      <c r="D1313" s="22" t="s">
        <v>2</v>
      </c>
    </row>
    <row r="1314" spans="1:4" s="26" customFormat="1">
      <c r="A1314" s="18" t="str">
        <f t="shared" si="20"/>
        <v>777.446 PLANETREE - AMERICAN 3-3.5 INCH CALIPER</v>
      </c>
      <c r="B1314" s="19">
        <v>777.44600000000003</v>
      </c>
      <c r="C1314" s="20" t="s">
        <v>2637</v>
      </c>
      <c r="D1314" s="20" t="s">
        <v>2</v>
      </c>
    </row>
    <row r="1315" spans="1:4">
      <c r="A1315" s="18" t="str">
        <f t="shared" si="20"/>
        <v>777.538 PLANETREE - LONDON 8-10 FEET</v>
      </c>
      <c r="B1315" s="21">
        <v>777.53800000000001</v>
      </c>
      <c r="C1315" s="22" t="s">
        <v>2638</v>
      </c>
      <c r="D1315" s="22" t="s">
        <v>2</v>
      </c>
    </row>
    <row r="1316" spans="1:4" s="26" customFormat="1">
      <c r="A1316" s="18" t="str">
        <f t="shared" si="20"/>
        <v>777.542 PLANETREE - LONDON 2-2.5 INCH CALIPER</v>
      </c>
      <c r="B1316" s="21">
        <v>777.54200000000003</v>
      </c>
      <c r="C1316" s="22" t="s">
        <v>455</v>
      </c>
      <c r="D1316" s="22" t="s">
        <v>2</v>
      </c>
    </row>
    <row r="1317" spans="1:4">
      <c r="A1317" s="18" t="str">
        <f t="shared" si="20"/>
        <v>777.546 PLANETREE - LONDON 3-3.5 INCH CALIPER</v>
      </c>
      <c r="B1317" s="19">
        <v>777.54600000000005</v>
      </c>
      <c r="C1317" s="20" t="s">
        <v>2639</v>
      </c>
      <c r="D1317" s="20" t="s">
        <v>2</v>
      </c>
    </row>
    <row r="1318" spans="1:4" s="26" customFormat="1">
      <c r="A1318" s="18" t="str">
        <f t="shared" si="20"/>
        <v>777.631 POPLAR - EASTERN 2-2.5 INCH CALIPER</v>
      </c>
      <c r="B1318" s="19">
        <v>777.63099999999997</v>
      </c>
      <c r="C1318" s="20" t="s">
        <v>2640</v>
      </c>
      <c r="D1318" s="20" t="s">
        <v>2</v>
      </c>
    </row>
    <row r="1319" spans="1:4">
      <c r="A1319" s="18" t="str">
        <f t="shared" si="20"/>
        <v>777.641 POPLAR - BOLLEANA 2-2.5 INCH CALIPER</v>
      </c>
      <c r="B1319" s="19">
        <v>777.64099999999996</v>
      </c>
      <c r="C1319" s="20" t="s">
        <v>2641</v>
      </c>
      <c r="D1319" s="20" t="s">
        <v>2</v>
      </c>
    </row>
    <row r="1320" spans="1:4" s="26" customFormat="1">
      <c r="A1320" s="18" t="str">
        <f t="shared" si="20"/>
        <v>777.673 SWEETGUM 2-2.5 INCH CALIPER</v>
      </c>
      <c r="B1320" s="19">
        <v>777.673</v>
      </c>
      <c r="C1320" s="20" t="s">
        <v>456</v>
      </c>
      <c r="D1320" s="20" t="s">
        <v>2</v>
      </c>
    </row>
    <row r="1321" spans="1:4">
      <c r="A1321" s="18" t="str">
        <f t="shared" si="20"/>
        <v>777.677 SWEETGUM 3-3.5 INCH CALIPER</v>
      </c>
      <c r="B1321" s="19">
        <v>777.67700000000002</v>
      </c>
      <c r="C1321" s="20" t="s">
        <v>2642</v>
      </c>
      <c r="D1321" s="20" t="s">
        <v>2</v>
      </c>
    </row>
    <row r="1322" spans="1:4" s="26" customFormat="1">
      <c r="A1322" s="18" t="str">
        <f t="shared" si="20"/>
        <v>777.731 WALNUT - EASTERN BLACK 6-8 FEET</v>
      </c>
      <c r="B1322" s="19">
        <v>777.73099999999999</v>
      </c>
      <c r="C1322" s="20" t="s">
        <v>2643</v>
      </c>
      <c r="D1322" s="20" t="s">
        <v>2</v>
      </c>
    </row>
    <row r="1323" spans="1:4">
      <c r="A1323" s="18" t="str">
        <f t="shared" si="20"/>
        <v>777.738 WILLOW - YELLOW WEEPING 8-10 FEET</v>
      </c>
      <c r="B1323" s="19">
        <v>777.73800000000006</v>
      </c>
      <c r="C1323" s="20" t="s">
        <v>2644</v>
      </c>
      <c r="D1323" s="20" t="s">
        <v>2</v>
      </c>
    </row>
    <row r="1324" spans="1:4" s="26" customFormat="1">
      <c r="A1324" s="18" t="str">
        <f t="shared" si="20"/>
        <v>777.741 WILLOW - YELLOW WEEPING 2-2.5 INCH CALIPER</v>
      </c>
      <c r="B1324" s="21">
        <v>777.74099999999999</v>
      </c>
      <c r="C1324" s="22" t="s">
        <v>2645</v>
      </c>
      <c r="D1324" s="22" t="s">
        <v>2</v>
      </c>
    </row>
    <row r="1325" spans="1:4">
      <c r="A1325" s="18" t="str">
        <f t="shared" si="20"/>
        <v>777.743 WILLOW - YELLOW WEEPING 2.5-3 INCH CALIPER</v>
      </c>
      <c r="B1325" s="21">
        <v>777.74300000000005</v>
      </c>
      <c r="C1325" s="22" t="s">
        <v>2646</v>
      </c>
      <c r="D1325" s="22" t="s">
        <v>2</v>
      </c>
    </row>
    <row r="1326" spans="1:4" s="26" customFormat="1">
      <c r="A1326" s="18" t="str">
        <f t="shared" si="20"/>
        <v>777.745 WILLOW - YELLOW WEEPING 3-3.5 INCH CALIPER</v>
      </c>
      <c r="B1326" s="21">
        <v>777.745</v>
      </c>
      <c r="C1326" s="22" t="s">
        <v>2647</v>
      </c>
      <c r="D1326" s="22" t="s">
        <v>2</v>
      </c>
    </row>
    <row r="1327" spans="1:4">
      <c r="A1327" s="18" t="str">
        <f t="shared" si="20"/>
        <v>778.009 ASPEN - QUAKING 8-10 FEET</v>
      </c>
      <c r="B1327" s="19">
        <v>778.00900000000001</v>
      </c>
      <c r="C1327" s="20" t="s">
        <v>2648</v>
      </c>
      <c r="D1327" s="20" t="s">
        <v>2</v>
      </c>
    </row>
    <row r="1328" spans="1:4" s="26" customFormat="1">
      <c r="A1328" s="18" t="str">
        <f t="shared" si="20"/>
        <v>778.013 ASPEN - QUAKING 2-2.5 INCH CALIPER</v>
      </c>
      <c r="B1328" s="21">
        <v>778.01300000000003</v>
      </c>
      <c r="C1328" s="22" t="s">
        <v>2649</v>
      </c>
      <c r="D1328" s="22" t="s">
        <v>2</v>
      </c>
    </row>
    <row r="1329" spans="1:4">
      <c r="A1329" s="18" t="str">
        <f t="shared" si="20"/>
        <v>778.121 BIRCH - PAPER 1.5-2 INCH CALIPER</v>
      </c>
      <c r="B1329" s="21">
        <v>778.12099999999998</v>
      </c>
      <c r="C1329" s="22" t="s">
        <v>2650</v>
      </c>
      <c r="D1329" s="22" t="s">
        <v>2</v>
      </c>
    </row>
    <row r="1330" spans="1:4" s="26" customFormat="1">
      <c r="A1330" s="18" t="str">
        <f t="shared" si="20"/>
        <v>778.125 BIRCH - PAPER 2.5-3 INCH CALIPER</v>
      </c>
      <c r="B1330" s="21">
        <v>778.125</v>
      </c>
      <c r="C1330" s="22" t="s">
        <v>2651</v>
      </c>
      <c r="D1330" s="22" t="s">
        <v>2</v>
      </c>
    </row>
    <row r="1331" spans="1:4">
      <c r="A1331" s="18" t="str">
        <f t="shared" si="20"/>
        <v>778.137 BIRCH - PAPER 6-8 FOOT CLUMP</v>
      </c>
      <c r="B1331" s="21">
        <v>778.13699999999994</v>
      </c>
      <c r="C1331" s="22" t="s">
        <v>2652</v>
      </c>
      <c r="D1331" s="22" t="s">
        <v>2</v>
      </c>
    </row>
    <row r="1332" spans="1:4" s="26" customFormat="1">
      <c r="A1332" s="18" t="str">
        <f t="shared" si="20"/>
        <v>778.141 BIRCH - PAPER 10-12 FOOT CLUMP</v>
      </c>
      <c r="B1332" s="19">
        <v>778.14099999999996</v>
      </c>
      <c r="C1332" s="20" t="s">
        <v>2653</v>
      </c>
      <c r="D1332" s="20" t="s">
        <v>2</v>
      </c>
    </row>
    <row r="1333" spans="1:4">
      <c r="A1333" s="18" t="str">
        <f t="shared" si="20"/>
        <v>778.161 BIRCH - RIVER 'HERITAGE' 8-10 FOOT CLUMP</v>
      </c>
      <c r="B1333" s="19">
        <v>778.16099999999994</v>
      </c>
      <c r="C1333" s="20" t="s">
        <v>457</v>
      </c>
      <c r="D1333" s="20" t="s">
        <v>2</v>
      </c>
    </row>
    <row r="1334" spans="1:4" s="26" customFormat="1">
      <c r="A1334" s="18" t="str">
        <f t="shared" si="20"/>
        <v>778.165 BIRCH - RIVER 'HERITAGE' 12-14 FOOT CLUMP</v>
      </c>
      <c r="B1334" s="19">
        <v>778.16499999999996</v>
      </c>
      <c r="C1334" s="20" t="s">
        <v>458</v>
      </c>
      <c r="D1334" s="20" t="s">
        <v>2</v>
      </c>
    </row>
    <row r="1335" spans="1:4">
      <c r="A1335" s="18" t="str">
        <f t="shared" si="20"/>
        <v>778.239 BIRCH - WHITE EUROPEAN 10-12 FEET</v>
      </c>
      <c r="B1335" s="21">
        <v>778.23900000000003</v>
      </c>
      <c r="C1335" s="22" t="s">
        <v>2654</v>
      </c>
      <c r="D1335" s="22" t="s">
        <v>2</v>
      </c>
    </row>
    <row r="1336" spans="1:4" s="26" customFormat="1">
      <c r="A1336" s="18" t="str">
        <f t="shared" si="20"/>
        <v>778.241 BIRCH - EUROPEAN - SINGLE STEM 1.5-2 INCH CALIPER</v>
      </c>
      <c r="B1336" s="21">
        <v>778.24099999999999</v>
      </c>
      <c r="C1336" s="22" t="s">
        <v>2655</v>
      </c>
      <c r="D1336" s="22" t="s">
        <v>2</v>
      </c>
    </row>
    <row r="1337" spans="1:4">
      <c r="A1337" s="18" t="str">
        <f t="shared" si="20"/>
        <v>778.245 BIRCH - EUROPEAN - SINGLE STEM 2.5-3 INCH CALIPER</v>
      </c>
      <c r="B1337" s="19">
        <v>778.245</v>
      </c>
      <c r="C1337" s="20" t="s">
        <v>2656</v>
      </c>
      <c r="D1337" s="20" t="s">
        <v>2</v>
      </c>
    </row>
    <row r="1338" spans="1:4" s="26" customFormat="1">
      <c r="A1338" s="18" t="str">
        <f t="shared" si="20"/>
        <v>778.251 BIRCH - WHITESPIRE JAPANESE 2.5-3 INCH CALIPER</v>
      </c>
      <c r="B1338" s="19">
        <v>778.25099999999998</v>
      </c>
      <c r="C1338" s="20" t="s">
        <v>2657</v>
      </c>
      <c r="D1338" s="20" t="s">
        <v>2</v>
      </c>
    </row>
    <row r="1339" spans="1:4">
      <c r="A1339" s="18" t="str">
        <f t="shared" si="20"/>
        <v>778.253 BIRCH - WHITESPIRE JAPANESE 12-14 FOOT CLUMP</v>
      </c>
      <c r="B1339" s="19">
        <v>778.25300000000004</v>
      </c>
      <c r="C1339" s="20" t="s">
        <v>2658</v>
      </c>
      <c r="D1339" s="20" t="s">
        <v>2</v>
      </c>
    </row>
    <row r="1340" spans="1:4" s="26" customFormat="1">
      <c r="A1340" s="18" t="str">
        <f t="shared" si="20"/>
        <v>778.263 CAROLINA SILVERBELL 1.5-2 INCH CALIPER</v>
      </c>
      <c r="B1340" s="19">
        <v>778.26300000000003</v>
      </c>
      <c r="C1340" s="20" t="s">
        <v>2659</v>
      </c>
      <c r="D1340" s="20" t="s">
        <v>2</v>
      </c>
    </row>
    <row r="1341" spans="1:4">
      <c r="A1341" s="18" t="str">
        <f t="shared" si="20"/>
        <v>778.267 CAROLINA SILVERBELL 2.5-3 INCH CALIPER</v>
      </c>
      <c r="B1341" s="19">
        <v>778.26700000000005</v>
      </c>
      <c r="C1341" s="20" t="s">
        <v>2660</v>
      </c>
      <c r="D1341" s="20" t="s">
        <v>2</v>
      </c>
    </row>
    <row r="1342" spans="1:4" s="26" customFormat="1">
      <c r="A1342" s="18" t="str">
        <f t="shared" si="20"/>
        <v>778.313 CHERRY - AUTUMN FLOWERING 1.5-2 INCH CALIPER</v>
      </c>
      <c r="B1342" s="21">
        <v>778.31299999999999</v>
      </c>
      <c r="C1342" s="22" t="s">
        <v>2661</v>
      </c>
      <c r="D1342" s="22" t="s">
        <v>2</v>
      </c>
    </row>
    <row r="1343" spans="1:4">
      <c r="A1343" s="18" t="str">
        <f t="shared" si="20"/>
        <v>778.317 CHERRY - AUTUMN FLOWERING 2.5-3 INCH CALIPER</v>
      </c>
      <c r="B1343" s="19">
        <v>778.31700000000001</v>
      </c>
      <c r="C1343" s="20" t="s">
        <v>2662</v>
      </c>
      <c r="D1343" s="20" t="s">
        <v>2</v>
      </c>
    </row>
    <row r="1344" spans="1:4" s="26" customFormat="1">
      <c r="A1344" s="18" t="str">
        <f t="shared" si="20"/>
        <v>778.321 CHERRY - BLACK 8-10 FEET</v>
      </c>
      <c r="B1344" s="21">
        <v>778.32100000000003</v>
      </c>
      <c r="C1344" s="22" t="s">
        <v>2663</v>
      </c>
      <c r="D1344" s="22" t="s">
        <v>2</v>
      </c>
    </row>
    <row r="1345" spans="1:4">
      <c r="A1345" s="18" t="str">
        <f t="shared" si="20"/>
        <v>778.323 CHERRY - BLACK 1.5-2 INCH CALIPER</v>
      </c>
      <c r="B1345" s="21">
        <v>778.32299999999998</v>
      </c>
      <c r="C1345" s="22" t="s">
        <v>2664</v>
      </c>
      <c r="D1345" s="22" t="s">
        <v>2</v>
      </c>
    </row>
    <row r="1346" spans="1:4" s="26" customFormat="1">
      <c r="A1346" s="18" t="str">
        <f t="shared" ref="A1346:A1409" si="21">B1346&amp;" "&amp;C1346</f>
        <v>778.335 CHERRY - CHOKE 'SHUBERT' 1.5-2 INCH CALIPER</v>
      </c>
      <c r="B1346" s="21">
        <v>778.33500000000004</v>
      </c>
      <c r="C1346" s="22" t="s">
        <v>2665</v>
      </c>
      <c r="D1346" s="22" t="s">
        <v>2</v>
      </c>
    </row>
    <row r="1347" spans="1:4">
      <c r="A1347" s="18" t="str">
        <f t="shared" si="21"/>
        <v>778.339 CHERRY - CHOKE 'SHUBERT' 2.5-3 INCH CALIPER</v>
      </c>
      <c r="B1347" s="21">
        <v>778.33900000000006</v>
      </c>
      <c r="C1347" s="22" t="s">
        <v>2666</v>
      </c>
      <c r="D1347" s="22" t="s">
        <v>2</v>
      </c>
    </row>
    <row r="1348" spans="1:4" s="26" customFormat="1">
      <c r="A1348" s="18" t="str">
        <f t="shared" si="21"/>
        <v>778.343 CHERRY - HIGAN - WEEPING 1.5-2 INCH CALIPER</v>
      </c>
      <c r="B1348" s="21">
        <v>778.34299999999996</v>
      </c>
      <c r="C1348" s="22" t="s">
        <v>2667</v>
      </c>
      <c r="D1348" s="22" t="s">
        <v>2</v>
      </c>
    </row>
    <row r="1349" spans="1:4">
      <c r="A1349" s="18" t="str">
        <f t="shared" si="21"/>
        <v>778.347 CHERRY - HIGAN - WEEPING 2.5-3 INCH CALIPER</v>
      </c>
      <c r="B1349" s="19">
        <v>778.34699999999998</v>
      </c>
      <c r="C1349" s="20" t="s">
        <v>2668</v>
      </c>
      <c r="D1349" s="20" t="s">
        <v>2</v>
      </c>
    </row>
    <row r="1350" spans="1:4" s="26" customFormat="1">
      <c r="A1350" s="18" t="str">
        <f t="shared" si="21"/>
        <v>778.353 CHERRY - KWANZAN 1.5-2 INCH CALIPER</v>
      </c>
      <c r="B1350" s="21">
        <v>778.35299999999995</v>
      </c>
      <c r="C1350" s="22" t="s">
        <v>2669</v>
      </c>
      <c r="D1350" s="22" t="s">
        <v>2</v>
      </c>
    </row>
    <row r="1351" spans="1:4">
      <c r="A1351" s="18" t="str">
        <f t="shared" si="21"/>
        <v>778.357 CHERRY - KWANZAN 2.5-3 INCH CALIPER</v>
      </c>
      <c r="B1351" s="19">
        <v>778.35699999999997</v>
      </c>
      <c r="C1351" s="20" t="s">
        <v>2670</v>
      </c>
      <c r="D1351" s="20" t="s">
        <v>2</v>
      </c>
    </row>
    <row r="1352" spans="1:4" s="26" customFormat="1">
      <c r="A1352" s="18" t="str">
        <f t="shared" si="21"/>
        <v>778.363 CHERRY - MT. FUJI 1.5-2 INCH CALIPER</v>
      </c>
      <c r="B1352" s="19">
        <v>778.36300000000006</v>
      </c>
      <c r="C1352" s="20" t="s">
        <v>2671</v>
      </c>
      <c r="D1352" s="20" t="s">
        <v>2</v>
      </c>
    </row>
    <row r="1353" spans="1:4">
      <c r="A1353" s="18" t="str">
        <f t="shared" si="21"/>
        <v>778.367 CHERRY - MT. FUJI 2.5-3 INCH CALIPER</v>
      </c>
      <c r="B1353" s="19">
        <v>778.36699999999996</v>
      </c>
      <c r="C1353" s="20" t="s">
        <v>2672</v>
      </c>
      <c r="D1353" s="20" t="s">
        <v>2</v>
      </c>
    </row>
    <row r="1354" spans="1:4" s="26" customFormat="1">
      <c r="A1354" s="18" t="str">
        <f t="shared" si="21"/>
        <v>778.373 CHERRY - SARGENT 1.5-2 INCH CALIPER</v>
      </c>
      <c r="B1354" s="19">
        <v>778.37300000000005</v>
      </c>
      <c r="C1354" s="20" t="s">
        <v>1481</v>
      </c>
      <c r="D1354" s="20" t="s">
        <v>2</v>
      </c>
    </row>
    <row r="1355" spans="1:4">
      <c r="A1355" s="18" t="str">
        <f t="shared" si="21"/>
        <v>778.377 CHERRY - SARGENT 2.5-3 INCH CALIPER</v>
      </c>
      <c r="B1355" s="19">
        <v>778.37699999999995</v>
      </c>
      <c r="C1355" s="20" t="s">
        <v>2673</v>
      </c>
      <c r="D1355" s="20" t="s">
        <v>2</v>
      </c>
    </row>
    <row r="1356" spans="1:4" s="26" customFormat="1">
      <c r="A1356" s="18" t="str">
        <f t="shared" si="21"/>
        <v>778.383 CHERRY - SARGENT COLUMNAR 1.5-2 INCH CALIPER</v>
      </c>
      <c r="B1356" s="21">
        <v>778.38300000000004</v>
      </c>
      <c r="C1356" s="22" t="s">
        <v>2674</v>
      </c>
      <c r="D1356" s="22" t="s">
        <v>2</v>
      </c>
    </row>
    <row r="1357" spans="1:4">
      <c r="A1357" s="18" t="str">
        <f t="shared" si="21"/>
        <v>778.387 CHERRY - SARGENT COLUMNAR 2.5-3 INCH CALIPER</v>
      </c>
      <c r="B1357" s="19">
        <v>778.38699999999994</v>
      </c>
      <c r="C1357" s="20" t="s">
        <v>2675</v>
      </c>
      <c r="D1357" s="20" t="s">
        <v>2</v>
      </c>
    </row>
    <row r="1358" spans="1:4" s="26" customFormat="1">
      <c r="A1358" s="18" t="str">
        <f t="shared" si="21"/>
        <v>778.393 CHERRY - YOSHINO 1.5-2 INCH CALIPER</v>
      </c>
      <c r="B1358" s="21">
        <v>778.39300000000003</v>
      </c>
      <c r="C1358" s="22" t="s">
        <v>2676</v>
      </c>
      <c r="D1358" s="22" t="s">
        <v>2</v>
      </c>
    </row>
    <row r="1359" spans="1:4">
      <c r="A1359" s="18" t="str">
        <f t="shared" si="21"/>
        <v>778.397 CHERRY - YOSHINO 2.5-3 INCH CALIPER</v>
      </c>
      <c r="B1359" s="21">
        <v>778.39700000000005</v>
      </c>
      <c r="C1359" s="22" t="s">
        <v>2677</v>
      </c>
      <c r="D1359" s="22" t="s">
        <v>2</v>
      </c>
    </row>
    <row r="1360" spans="1:4" s="26" customFormat="1">
      <c r="A1360" s="18" t="str">
        <f t="shared" si="21"/>
        <v>778.399 CORK - AMUR 8-10 FEET</v>
      </c>
      <c r="B1360" s="21">
        <v>778.399</v>
      </c>
      <c r="C1360" s="22" t="s">
        <v>2678</v>
      </c>
      <c r="D1360" s="22" t="s">
        <v>2</v>
      </c>
    </row>
    <row r="1361" spans="1:4">
      <c r="A1361" s="18" t="str">
        <f t="shared" si="21"/>
        <v>778.401 CORNELIANCHERRY 6-8 FEET</v>
      </c>
      <c r="B1361" s="21">
        <v>778.40099999999995</v>
      </c>
      <c r="C1361" s="22" t="s">
        <v>2679</v>
      </c>
      <c r="D1361" s="22" t="s">
        <v>2</v>
      </c>
    </row>
    <row r="1362" spans="1:4" s="26" customFormat="1">
      <c r="A1362" s="18" t="str">
        <f t="shared" si="21"/>
        <v>778.405 CORNELIANCHERRY 1.5-2 INCH CALIPER</v>
      </c>
      <c r="B1362" s="19">
        <v>778.40499999999997</v>
      </c>
      <c r="C1362" s="20" t="s">
        <v>2680</v>
      </c>
      <c r="D1362" s="20" t="s">
        <v>2</v>
      </c>
    </row>
    <row r="1363" spans="1:4">
      <c r="A1363" s="18" t="str">
        <f t="shared" si="21"/>
        <v>778.413 CRABAPPLE - 'CENTURION' 1.5-2 INCH CALIPER</v>
      </c>
      <c r="B1363" s="21">
        <v>778.41300000000001</v>
      </c>
      <c r="C1363" s="22" t="s">
        <v>2681</v>
      </c>
      <c r="D1363" s="22" t="s">
        <v>2</v>
      </c>
    </row>
    <row r="1364" spans="1:4" s="26" customFormat="1">
      <c r="A1364" s="18" t="str">
        <f t="shared" si="21"/>
        <v>778.417 CRABAPPLE - 'CENTURION' 2.5-3 INCH CALIPER</v>
      </c>
      <c r="B1364" s="21">
        <v>778.41700000000003</v>
      </c>
      <c r="C1364" s="22" t="s">
        <v>1482</v>
      </c>
      <c r="D1364" s="22" t="s">
        <v>2</v>
      </c>
    </row>
    <row r="1365" spans="1:4">
      <c r="A1365" s="18" t="str">
        <f t="shared" si="21"/>
        <v>778.423 CRABAPPLE - 'DONALD WYMAN' 1.5-2 INCH CALIPER</v>
      </c>
      <c r="B1365" s="19">
        <v>778.423</v>
      </c>
      <c r="C1365" s="20" t="s">
        <v>2682</v>
      </c>
      <c r="D1365" s="20" t="s">
        <v>2</v>
      </c>
    </row>
    <row r="1366" spans="1:4" s="26" customFormat="1">
      <c r="A1366" s="18" t="str">
        <f t="shared" si="21"/>
        <v>778.427 CRABAPPLE - 'DONALD WYMAN' 2.5-3 INCH CALIPER</v>
      </c>
      <c r="B1366" s="21">
        <v>778.42700000000002</v>
      </c>
      <c r="C1366" s="22" t="s">
        <v>2683</v>
      </c>
      <c r="D1366" s="22" t="s">
        <v>2</v>
      </c>
    </row>
    <row r="1367" spans="1:4">
      <c r="A1367" s="18" t="str">
        <f t="shared" si="21"/>
        <v>778.433 CRABAPPLE - 'PINK PERFECTION' 1.5-2 INCH CALIPER</v>
      </c>
      <c r="B1367" s="19">
        <v>778.43299999999999</v>
      </c>
      <c r="C1367" s="20" t="s">
        <v>2684</v>
      </c>
      <c r="D1367" s="20" t="s">
        <v>2</v>
      </c>
    </row>
    <row r="1368" spans="1:4" s="26" customFormat="1">
      <c r="A1368" s="18" t="str">
        <f t="shared" si="21"/>
        <v>778.437 CRABAPPLE - 'PINK PERFECTION' 2.5-3 INCH CALIPER</v>
      </c>
      <c r="B1368" s="19">
        <v>778.43700000000001</v>
      </c>
      <c r="C1368" s="20" t="s">
        <v>2685</v>
      </c>
      <c r="D1368" s="20" t="s">
        <v>2</v>
      </c>
    </row>
    <row r="1369" spans="1:4">
      <c r="A1369" s="18" t="str">
        <f t="shared" si="21"/>
        <v>778.443 CRABAPPLE - 'RADIANT' 1.5-2 INCH CALIPER</v>
      </c>
      <c r="B1369" s="19">
        <v>778.44299999999998</v>
      </c>
      <c r="C1369" s="20" t="s">
        <v>2686</v>
      </c>
      <c r="D1369" s="20" t="s">
        <v>2</v>
      </c>
    </row>
    <row r="1370" spans="1:4" s="26" customFormat="1">
      <c r="A1370" s="18" t="str">
        <f t="shared" si="21"/>
        <v>778.447 CRABAPPLE - 'RADIANT' 2.5-3 INCH CALIPER</v>
      </c>
      <c r="B1370" s="21">
        <v>778.447</v>
      </c>
      <c r="C1370" s="22" t="s">
        <v>2687</v>
      </c>
      <c r="D1370" s="22" t="s">
        <v>2</v>
      </c>
    </row>
    <row r="1371" spans="1:4">
      <c r="A1371" s="18" t="str">
        <f t="shared" si="21"/>
        <v>778.453 CRABAPPLE - 'RED JADE' - WEEPING 1.5-2 INCH CALIPER</v>
      </c>
      <c r="B1371" s="19">
        <v>778.45299999999997</v>
      </c>
      <c r="C1371" s="20" t="s">
        <v>1483</v>
      </c>
      <c r="D1371" s="20" t="s">
        <v>2</v>
      </c>
    </row>
    <row r="1372" spans="1:4" s="26" customFormat="1">
      <c r="A1372" s="18" t="str">
        <f t="shared" si="21"/>
        <v>778.457 CRABAPPLE - 'RED JADE' - WEEPING 2.5-3 INCH CALIPER</v>
      </c>
      <c r="B1372" s="21">
        <v>778.45699999999999</v>
      </c>
      <c r="C1372" s="22" t="s">
        <v>2688</v>
      </c>
      <c r="D1372" s="22" t="s">
        <v>2</v>
      </c>
    </row>
    <row r="1373" spans="1:4">
      <c r="A1373" s="18" t="str">
        <f t="shared" si="21"/>
        <v>778.463 CRABAPPLE - 'SNOWDRIFT' 1.5-2 INCH CALIPER</v>
      </c>
      <c r="B1373" s="21">
        <v>778.46299999999997</v>
      </c>
      <c r="C1373" s="22" t="s">
        <v>2689</v>
      </c>
      <c r="D1373" s="22" t="s">
        <v>2</v>
      </c>
    </row>
    <row r="1374" spans="1:4" s="26" customFormat="1">
      <c r="A1374" s="18" t="str">
        <f t="shared" si="21"/>
        <v>778.467 CRABAPPLE - 'SNOWDRIFT' 2.5-3 INCH CALIPER</v>
      </c>
      <c r="B1374" s="19">
        <v>778.46699999999998</v>
      </c>
      <c r="C1374" s="20" t="s">
        <v>2690</v>
      </c>
      <c r="D1374" s="20" t="s">
        <v>2</v>
      </c>
    </row>
    <row r="1375" spans="1:4">
      <c r="A1375" s="18" t="str">
        <f t="shared" si="21"/>
        <v>778.473 CRABAPPLE - 'ZUMI' 1.5-2 INCH CALIPER</v>
      </c>
      <c r="B1375" s="21">
        <v>778.47299999999996</v>
      </c>
      <c r="C1375" s="22" t="s">
        <v>1484</v>
      </c>
      <c r="D1375" s="22" t="s">
        <v>2</v>
      </c>
    </row>
    <row r="1376" spans="1:4" s="26" customFormat="1">
      <c r="A1376" s="18" t="str">
        <f t="shared" si="21"/>
        <v>778.477 CRABAPPLE - 'ZUMI' 2.5-3 INCH CALIPER</v>
      </c>
      <c r="B1376" s="21">
        <v>778.47699999999998</v>
      </c>
      <c r="C1376" s="22" t="s">
        <v>2691</v>
      </c>
      <c r="D1376" s="22" t="s">
        <v>2</v>
      </c>
    </row>
    <row r="1377" spans="1:4">
      <c r="A1377" s="18" t="str">
        <f t="shared" si="21"/>
        <v>780.137 DOGWOOD - JAPANESE CLUMP 6-8 FEET</v>
      </c>
      <c r="B1377" s="19">
        <v>780.13699999999994</v>
      </c>
      <c r="C1377" s="20" t="s">
        <v>2692</v>
      </c>
      <c r="D1377" s="20" t="s">
        <v>2</v>
      </c>
    </row>
    <row r="1378" spans="1:4" s="26" customFormat="1">
      <c r="A1378" s="18" t="str">
        <f t="shared" si="21"/>
        <v>780.141 DOGWOOD - JAPANESE CLUMP 10-12 FEET</v>
      </c>
      <c r="B1378" s="19">
        <v>780.14099999999996</v>
      </c>
      <c r="C1378" s="20" t="s">
        <v>2693</v>
      </c>
      <c r="D1378" s="20" t="s">
        <v>2</v>
      </c>
    </row>
    <row r="1379" spans="1:4">
      <c r="A1379" s="18" t="str">
        <f t="shared" si="21"/>
        <v>780.142 DOGWOOD - JAPANESE SINGLE STEM 2-2.5 INCH CALIPER</v>
      </c>
      <c r="B1379" s="19">
        <v>780.14200000000005</v>
      </c>
      <c r="C1379" s="20" t="s">
        <v>2694</v>
      </c>
      <c r="D1379" s="20" t="s">
        <v>2</v>
      </c>
    </row>
    <row r="1380" spans="1:4" s="26" customFormat="1">
      <c r="A1380" s="18" t="str">
        <f t="shared" si="21"/>
        <v>780.143 DOGWOOD - JAPANESE SINGLE STEM 2.5-3 INCH CALIPER</v>
      </c>
      <c r="B1380" s="19">
        <v>780.14300000000003</v>
      </c>
      <c r="C1380" s="20" t="s">
        <v>2695</v>
      </c>
      <c r="D1380" s="20" t="s">
        <v>2</v>
      </c>
    </row>
    <row r="1381" spans="1:4">
      <c r="A1381" s="18" t="str">
        <f t="shared" si="21"/>
        <v>780.155 DOGWOOD - PINK 'RUBRA' 2-2.5 INCH CALIPER</v>
      </c>
      <c r="B1381" s="21">
        <v>780.15499999999997</v>
      </c>
      <c r="C1381" s="22" t="s">
        <v>2696</v>
      </c>
      <c r="D1381" s="22" t="s">
        <v>2</v>
      </c>
    </row>
    <row r="1382" spans="1:4" s="26" customFormat="1">
      <c r="A1382" s="18" t="str">
        <f t="shared" si="21"/>
        <v>780.159 DOGWOOD - PINK 'RUBRA' 3-3.5 INCH CALIPER</v>
      </c>
      <c r="B1382" s="19">
        <v>780.15899999999999</v>
      </c>
      <c r="C1382" s="20" t="s">
        <v>2697</v>
      </c>
      <c r="D1382" s="20" t="s">
        <v>2</v>
      </c>
    </row>
    <row r="1383" spans="1:4">
      <c r="A1383" s="18" t="str">
        <f t="shared" si="21"/>
        <v>780.165 DOGWOOD - 'CHEROKEE CHIEF' 2-2.5 INCH CALIPER</v>
      </c>
      <c r="B1383" s="19">
        <v>780.16499999999996</v>
      </c>
      <c r="C1383" s="20" t="s">
        <v>2698</v>
      </c>
      <c r="D1383" s="20" t="s">
        <v>2</v>
      </c>
    </row>
    <row r="1384" spans="1:4" s="26" customFormat="1">
      <c r="A1384" s="18" t="str">
        <f t="shared" si="21"/>
        <v>780.169 DOGWOOD - 'CHEROKEE CHIEF' 3-3.5 INCH CALIPER</v>
      </c>
      <c r="B1384" s="21">
        <v>780.16899999999998</v>
      </c>
      <c r="C1384" s="22" t="s">
        <v>2699</v>
      </c>
      <c r="D1384" s="22" t="s">
        <v>2</v>
      </c>
    </row>
    <row r="1385" spans="1:4">
      <c r="A1385" s="18" t="str">
        <f t="shared" si="21"/>
        <v>780.175 DOGWOOD - 'CHEROKEE PRINCESS' 2-2.5 INCH CALIPER</v>
      </c>
      <c r="B1385" s="21">
        <v>780.17499999999995</v>
      </c>
      <c r="C1385" s="22" t="s">
        <v>2700</v>
      </c>
      <c r="D1385" s="22" t="s">
        <v>2</v>
      </c>
    </row>
    <row r="1386" spans="1:4" s="26" customFormat="1">
      <c r="A1386" s="18" t="str">
        <f t="shared" si="21"/>
        <v>780.179 DOGWOOD - 'CHEROKEE PRINCESS' 3-3.5 INCH CALIPER</v>
      </c>
      <c r="B1386" s="21">
        <v>780.17899999999997</v>
      </c>
      <c r="C1386" s="22" t="s">
        <v>2701</v>
      </c>
      <c r="D1386" s="22" t="s">
        <v>2</v>
      </c>
    </row>
    <row r="1387" spans="1:4">
      <c r="A1387" s="18" t="str">
        <f t="shared" si="21"/>
        <v>780.237 DOGWOOD - KOUSA 6-8 FEET</v>
      </c>
      <c r="B1387" s="21">
        <v>780.23699999999997</v>
      </c>
      <c r="C1387" s="22" t="s">
        <v>2702</v>
      </c>
      <c r="D1387" s="22" t="s">
        <v>2</v>
      </c>
    </row>
    <row r="1388" spans="1:4" s="26" customFormat="1">
      <c r="A1388" s="18" t="str">
        <f t="shared" si="21"/>
        <v>781.023 FRINGE TREE 6-8 FEET</v>
      </c>
      <c r="B1388" s="19">
        <v>781.02300000000002</v>
      </c>
      <c r="C1388" s="20" t="s">
        <v>2703</v>
      </c>
      <c r="D1388" s="20" t="s">
        <v>2</v>
      </c>
    </row>
    <row r="1389" spans="1:4">
      <c r="A1389" s="18" t="str">
        <f t="shared" si="21"/>
        <v>781.037 GOLDENCHAIN - FLOWERING 6-8 FEET</v>
      </c>
      <c r="B1389" s="21">
        <v>781.03700000000003</v>
      </c>
      <c r="C1389" s="22" t="s">
        <v>2704</v>
      </c>
      <c r="D1389" s="22" t="s">
        <v>2</v>
      </c>
    </row>
    <row r="1390" spans="1:4" s="26" customFormat="1">
      <c r="A1390" s="18" t="str">
        <f t="shared" si="21"/>
        <v>781.137 GOLDENRAIN TREE 6-8 FEET</v>
      </c>
      <c r="B1390" s="21">
        <v>781.13699999999994</v>
      </c>
      <c r="C1390" s="22" t="s">
        <v>2705</v>
      </c>
      <c r="D1390" s="22" t="s">
        <v>2</v>
      </c>
    </row>
    <row r="1391" spans="1:4">
      <c r="A1391" s="18" t="str">
        <f t="shared" si="21"/>
        <v>781.141 GOLDENRAIN TREE 2.5-3 INCH CALIPER</v>
      </c>
      <c r="B1391" s="19">
        <v>781.14099999999996</v>
      </c>
      <c r="C1391" s="20" t="s">
        <v>2706</v>
      </c>
      <c r="D1391" s="20" t="s">
        <v>2</v>
      </c>
    </row>
    <row r="1392" spans="1:4" s="26" customFormat="1">
      <c r="A1392" s="18" t="str">
        <f t="shared" si="21"/>
        <v>781.171 HACKBERRY TREE 1.5-2 INCH CALIPER</v>
      </c>
      <c r="B1392" s="19">
        <v>781.17100000000005</v>
      </c>
      <c r="C1392" s="20" t="s">
        <v>1485</v>
      </c>
      <c r="D1392" s="20" t="s">
        <v>2</v>
      </c>
    </row>
    <row r="1393" spans="1:4">
      <c r="A1393" s="18" t="str">
        <f t="shared" si="21"/>
        <v>781.173 HACKBERRY TREE 2-2.5 INCH CALIPER</v>
      </c>
      <c r="B1393" s="19">
        <v>781.173</v>
      </c>
      <c r="C1393" s="20" t="s">
        <v>2707</v>
      </c>
      <c r="D1393" s="20" t="s">
        <v>2</v>
      </c>
    </row>
    <row r="1394" spans="1:4" s="26" customFormat="1">
      <c r="A1394" s="18" t="str">
        <f t="shared" si="21"/>
        <v>781.253 HAWTHORN - 'CRIMSON CLOUD' 1.5-2 INCH CALIPER</v>
      </c>
      <c r="B1394" s="19">
        <v>781.25300000000004</v>
      </c>
      <c r="C1394" s="20" t="s">
        <v>2708</v>
      </c>
      <c r="D1394" s="20" t="s">
        <v>2</v>
      </c>
    </row>
    <row r="1395" spans="1:4">
      <c r="A1395" s="18" t="str">
        <f t="shared" si="21"/>
        <v>781.257 HAWTHORN - 'CRIMSON CLOUD' 2.5-3 INCH CALIPER</v>
      </c>
      <c r="B1395" s="21">
        <v>781.25699999999995</v>
      </c>
      <c r="C1395" s="22" t="s">
        <v>2709</v>
      </c>
      <c r="D1395" s="22" t="s">
        <v>2</v>
      </c>
    </row>
    <row r="1396" spans="1:4" s="26" customFormat="1">
      <c r="A1396" s="18" t="str">
        <f t="shared" si="21"/>
        <v>781.263 HAWTHORN - 'WINTER KING' 1.5-2 INCH CALIPER</v>
      </c>
      <c r="B1396" s="19">
        <v>781.26300000000003</v>
      </c>
      <c r="C1396" s="20" t="s">
        <v>2710</v>
      </c>
      <c r="D1396" s="20" t="s">
        <v>2</v>
      </c>
    </row>
    <row r="1397" spans="1:4">
      <c r="A1397" s="18" t="str">
        <f t="shared" si="21"/>
        <v>781.267 HAWTHORN - 'WINTER KING' 2.5-3 INCH CALIPER</v>
      </c>
      <c r="B1397" s="19">
        <v>781.26700000000005</v>
      </c>
      <c r="C1397" s="20" t="s">
        <v>459</v>
      </c>
      <c r="D1397" s="20" t="s">
        <v>2</v>
      </c>
    </row>
    <row r="1398" spans="1:4" s="26" customFormat="1">
      <c r="A1398" s="18" t="str">
        <f t="shared" si="21"/>
        <v>781.273 HAWTHORN - LAVALLE 1.5-2 INCH CALIPER</v>
      </c>
      <c r="B1398" s="21">
        <v>781.27300000000002</v>
      </c>
      <c r="C1398" s="22" t="s">
        <v>2711</v>
      </c>
      <c r="D1398" s="22" t="s">
        <v>2</v>
      </c>
    </row>
    <row r="1399" spans="1:4">
      <c r="A1399" s="18" t="str">
        <f t="shared" si="21"/>
        <v>781.277 HAWTHORN - LAVALLE 2.5-3 INCH CALIPER</v>
      </c>
      <c r="B1399" s="21">
        <v>781.27700000000004</v>
      </c>
      <c r="C1399" s="22" t="s">
        <v>2712</v>
      </c>
      <c r="D1399" s="22" t="s">
        <v>2</v>
      </c>
    </row>
    <row r="1400" spans="1:4" s="26" customFormat="1">
      <c r="A1400" s="18" t="str">
        <f t="shared" si="21"/>
        <v>781.285 HAWTHORN - WASHINGTON CLUMP 8-10 FOOT CLUMP</v>
      </c>
      <c r="B1400" s="19">
        <v>781.28499999999997</v>
      </c>
      <c r="C1400" s="20" t="s">
        <v>2713</v>
      </c>
      <c r="D1400" s="20" t="s">
        <v>2</v>
      </c>
    </row>
    <row r="1401" spans="1:4">
      <c r="A1401" s="18" t="str">
        <f t="shared" si="21"/>
        <v>781.287 HAWTHORN - WASHINGTON CLUMP 10-12 FOOT CLUMP</v>
      </c>
      <c r="B1401" s="19">
        <v>781.28700000000003</v>
      </c>
      <c r="C1401" s="20" t="s">
        <v>2714</v>
      </c>
      <c r="D1401" s="20" t="s">
        <v>2</v>
      </c>
    </row>
    <row r="1402" spans="1:4" s="26" customFormat="1">
      <c r="A1402" s="18" t="str">
        <f t="shared" si="21"/>
        <v>781.473 HORSECHESTNUT - BAUMAN'S 2-2.5 INCH CALIPER</v>
      </c>
      <c r="B1402" s="21">
        <v>781.47299999999996</v>
      </c>
      <c r="C1402" s="22" t="s">
        <v>2715</v>
      </c>
      <c r="D1402" s="22" t="s">
        <v>2</v>
      </c>
    </row>
    <row r="1403" spans="1:4">
      <c r="A1403" s="18" t="str">
        <f t="shared" si="21"/>
        <v>781.477 HORSECHESTNUT - BAUMAN'S 3-3.5 INCH CALIPER</v>
      </c>
      <c r="B1403" s="21">
        <v>781.47699999999998</v>
      </c>
      <c r="C1403" s="22" t="s">
        <v>2716</v>
      </c>
      <c r="D1403" s="22" t="s">
        <v>2</v>
      </c>
    </row>
    <row r="1404" spans="1:4" s="26" customFormat="1">
      <c r="A1404" s="18" t="str">
        <f t="shared" si="21"/>
        <v>781.483 HORSECHESTNUT - RED 1.5-2 INCH CALIPER</v>
      </c>
      <c r="B1404" s="21">
        <v>781.48299999999995</v>
      </c>
      <c r="C1404" s="22" t="s">
        <v>2717</v>
      </c>
      <c r="D1404" s="22" t="s">
        <v>2</v>
      </c>
    </row>
    <row r="1405" spans="1:4">
      <c r="A1405" s="18" t="str">
        <f t="shared" si="21"/>
        <v>781.487 HORSECHESTNUT - RED 2.5-3 INCH CALIPER</v>
      </c>
      <c r="B1405" s="19">
        <v>781.48699999999997</v>
      </c>
      <c r="C1405" s="20" t="s">
        <v>2718</v>
      </c>
      <c r="D1405" s="20" t="s">
        <v>2</v>
      </c>
    </row>
    <row r="1406" spans="1:4" s="26" customFormat="1">
      <c r="A1406" s="18" t="str">
        <f t="shared" si="21"/>
        <v>781.571 LILAC TREE - JAPANESE CLUMP 6-8 FOOT CLUMP</v>
      </c>
      <c r="B1406" s="21">
        <v>781.57100000000003</v>
      </c>
      <c r="C1406" s="22" t="s">
        <v>2719</v>
      </c>
      <c r="D1406" s="22" t="s">
        <v>2</v>
      </c>
    </row>
    <row r="1407" spans="1:4">
      <c r="A1407" s="18" t="str">
        <f t="shared" si="21"/>
        <v>781.573 LILAC TREE - JAPANESE CLUMP 8-10 FOOT CLUMP</v>
      </c>
      <c r="B1407" s="21">
        <v>781.57299999999998</v>
      </c>
      <c r="C1407" s="22" t="s">
        <v>2720</v>
      </c>
      <c r="D1407" s="22" t="s">
        <v>2</v>
      </c>
    </row>
    <row r="1408" spans="1:4" s="26" customFormat="1">
      <c r="A1408" s="18" t="str">
        <f t="shared" si="21"/>
        <v>781.575 LILAC TREE - JAPANESE CLUMP 10-12 FOOT CLUMP</v>
      </c>
      <c r="B1408" s="21">
        <v>781.57500000000005</v>
      </c>
      <c r="C1408" s="22" t="s">
        <v>1486</v>
      </c>
      <c r="D1408" s="22" t="s">
        <v>2</v>
      </c>
    </row>
    <row r="1409" spans="1:4">
      <c r="A1409" s="18" t="str">
        <f t="shared" si="21"/>
        <v>781.579 LILAC TREE - JAPANESE 2-2.5 INCH CALIPER</v>
      </c>
      <c r="B1409" s="19">
        <v>781.57899999999995</v>
      </c>
      <c r="C1409" s="20" t="s">
        <v>460</v>
      </c>
      <c r="D1409" s="20" t="s">
        <v>2</v>
      </c>
    </row>
    <row r="1410" spans="1:4" s="26" customFormat="1">
      <c r="A1410" s="18" t="str">
        <f t="shared" ref="A1410:A1473" si="22">B1410&amp;" "&amp;C1410</f>
        <v>782.025 MAGNOLIA TREE - 'MERRILL' 8-10 FEET</v>
      </c>
      <c r="B1410" s="19">
        <v>782.02499999999998</v>
      </c>
      <c r="C1410" s="20" t="s">
        <v>2721</v>
      </c>
      <c r="D1410" s="20" t="s">
        <v>2</v>
      </c>
    </row>
    <row r="1411" spans="1:4">
      <c r="A1411" s="18" t="str">
        <f t="shared" si="22"/>
        <v>782.036 MAGNOLIA TREE - SAUCER 5-6 FEET</v>
      </c>
      <c r="B1411" s="21">
        <v>782.03599999999994</v>
      </c>
      <c r="C1411" s="22" t="s">
        <v>2722</v>
      </c>
      <c r="D1411" s="22" t="s">
        <v>2</v>
      </c>
    </row>
    <row r="1412" spans="1:4" s="26" customFormat="1">
      <c r="A1412" s="18" t="str">
        <f t="shared" si="22"/>
        <v>782.039 MAGNOLIA TREE - SAUCER 8-10 FEET</v>
      </c>
      <c r="B1412" s="21">
        <v>782.03899999999999</v>
      </c>
      <c r="C1412" s="22" t="s">
        <v>2723</v>
      </c>
      <c r="D1412" s="22" t="s">
        <v>2</v>
      </c>
    </row>
    <row r="1413" spans="1:4">
      <c r="A1413" s="18" t="str">
        <f t="shared" si="22"/>
        <v>782.044 MAGNOLIA TREE - STAR 6-7 FEET</v>
      </c>
      <c r="B1413" s="19">
        <v>782.04399999999998</v>
      </c>
      <c r="C1413" s="20" t="s">
        <v>2724</v>
      </c>
      <c r="D1413" s="20" t="s">
        <v>2</v>
      </c>
    </row>
    <row r="1414" spans="1:4" s="26" customFormat="1">
      <c r="A1414" s="18" t="str">
        <f t="shared" si="22"/>
        <v>782.048 MAGNOLIA TREE - STAR 8-10 FEET</v>
      </c>
      <c r="B1414" s="19">
        <v>782.048</v>
      </c>
      <c r="C1414" s="20" t="s">
        <v>2725</v>
      </c>
      <c r="D1414" s="20" t="s">
        <v>2</v>
      </c>
    </row>
    <row r="1415" spans="1:4">
      <c r="A1415" s="18" t="str">
        <f t="shared" si="22"/>
        <v>782.053 MAGNOLIA TREE - SWEETBAY 5-6 FEET</v>
      </c>
      <c r="B1415" s="19">
        <v>782.053</v>
      </c>
      <c r="C1415" s="20" t="s">
        <v>2726</v>
      </c>
      <c r="D1415" s="20" t="s">
        <v>2</v>
      </c>
    </row>
    <row r="1416" spans="1:4" s="26" customFormat="1">
      <c r="A1416" s="18" t="str">
        <f t="shared" si="22"/>
        <v>782.057 MAGNOLIA TREE - SWEETBAY 7-8 FEET</v>
      </c>
      <c r="B1416" s="19">
        <v>782.05700000000002</v>
      </c>
      <c r="C1416" s="20" t="s">
        <v>2727</v>
      </c>
      <c r="D1416" s="20" t="s">
        <v>2</v>
      </c>
    </row>
    <row r="1417" spans="1:4">
      <c r="A1417" s="18" t="str">
        <f t="shared" si="22"/>
        <v>782.145 MAIDENHAIR TREE 2-2.5 INCH CALIPER</v>
      </c>
      <c r="B1417" s="21">
        <v>782.14499999999998</v>
      </c>
      <c r="C1417" s="22" t="s">
        <v>1487</v>
      </c>
      <c r="D1417" s="22" t="s">
        <v>2</v>
      </c>
    </row>
    <row r="1418" spans="1:4" s="26" customFormat="1">
      <c r="A1418" s="18" t="str">
        <f t="shared" si="22"/>
        <v>782.149 MAIDENHAIR TREE 3-3.5 INCH CALIPER</v>
      </c>
      <c r="B1418" s="21">
        <v>782.149</v>
      </c>
      <c r="C1418" s="22" t="s">
        <v>2728</v>
      </c>
      <c r="D1418" s="22" t="s">
        <v>2</v>
      </c>
    </row>
    <row r="1419" spans="1:4">
      <c r="A1419" s="18" t="str">
        <f t="shared" si="22"/>
        <v>782.237 MOUNTAIN ASH - EUROPEAN 6-8 FEET</v>
      </c>
      <c r="B1419" s="19">
        <v>782.23699999999997</v>
      </c>
      <c r="C1419" s="20" t="s">
        <v>2729</v>
      </c>
      <c r="D1419" s="20" t="s">
        <v>2</v>
      </c>
    </row>
    <row r="1420" spans="1:4" s="26" customFormat="1">
      <c r="A1420" s="18" t="str">
        <f t="shared" si="22"/>
        <v>782.239 MOUNTAIN ASH - EUROPEAN 2-2.5 INCH CALIPER</v>
      </c>
      <c r="B1420" s="19">
        <v>782.23900000000003</v>
      </c>
      <c r="C1420" s="20" t="s">
        <v>2730</v>
      </c>
      <c r="D1420" s="20" t="s">
        <v>2</v>
      </c>
    </row>
    <row r="1421" spans="1:4">
      <c r="A1421" s="18" t="str">
        <f t="shared" si="22"/>
        <v>782.243 MOUNTAIN ASH - EUROPEAN 3-3.5 INCH CALIPER</v>
      </c>
      <c r="B1421" s="21">
        <v>782.24300000000005</v>
      </c>
      <c r="C1421" s="22" t="s">
        <v>2731</v>
      </c>
      <c r="D1421" s="22" t="s">
        <v>2</v>
      </c>
    </row>
    <row r="1422" spans="1:4" s="26" customFormat="1">
      <c r="A1422" s="18" t="str">
        <f t="shared" si="22"/>
        <v>782.245 MOUNTAIN ASH - KOREAN 1.5-2 INCH CALIPER</v>
      </c>
      <c r="B1422" s="21">
        <v>782.245</v>
      </c>
      <c r="C1422" s="22" t="s">
        <v>2732</v>
      </c>
      <c r="D1422" s="22" t="s">
        <v>2</v>
      </c>
    </row>
    <row r="1423" spans="1:4">
      <c r="A1423" s="18" t="str">
        <f t="shared" si="22"/>
        <v>782.251 MOUNTAIN ASH - KOREAN 2.5-3 INCH CALIPER</v>
      </c>
      <c r="B1423" s="21">
        <v>782.25099999999998</v>
      </c>
      <c r="C1423" s="22" t="s">
        <v>2733</v>
      </c>
      <c r="D1423" s="22" t="s">
        <v>2</v>
      </c>
    </row>
    <row r="1424" spans="1:4" s="26" customFormat="1">
      <c r="A1424" s="18" t="str">
        <f t="shared" si="22"/>
        <v>782.353 OHIO BUCKEYE 2-2.5 INCH CALIPER</v>
      </c>
      <c r="B1424" s="21">
        <v>782.35299999999995</v>
      </c>
      <c r="C1424" s="22" t="s">
        <v>2734</v>
      </c>
      <c r="D1424" s="22" t="s">
        <v>2</v>
      </c>
    </row>
    <row r="1425" spans="1:4">
      <c r="A1425" s="18" t="str">
        <f t="shared" si="22"/>
        <v>782.357 OHIO BUCKEYE 3-3.5 INCH CALIPER</v>
      </c>
      <c r="B1425" s="19">
        <v>782.35699999999997</v>
      </c>
      <c r="C1425" s="20" t="s">
        <v>2735</v>
      </c>
      <c r="D1425" s="20" t="s">
        <v>2</v>
      </c>
    </row>
    <row r="1426" spans="1:4" s="26" customFormat="1">
      <c r="A1426" s="18" t="str">
        <f t="shared" si="22"/>
        <v>782.373 PAGODA TREE - 'REGENT' 2-2.5 INCH CALIPER</v>
      </c>
      <c r="B1426" s="21">
        <v>782.37300000000005</v>
      </c>
      <c r="C1426" s="22" t="s">
        <v>2736</v>
      </c>
      <c r="D1426" s="22" t="s">
        <v>2</v>
      </c>
    </row>
    <row r="1427" spans="1:4">
      <c r="A1427" s="18" t="str">
        <f t="shared" si="22"/>
        <v>782.377 PAGODA TREE - 'REGENT' 3-3.5 INCH CALIPER</v>
      </c>
      <c r="B1427" s="19">
        <v>782.37699999999995</v>
      </c>
      <c r="C1427" s="20" t="s">
        <v>2737</v>
      </c>
      <c r="D1427" s="20" t="s">
        <v>2</v>
      </c>
    </row>
    <row r="1428" spans="1:4" s="26" customFormat="1">
      <c r="A1428" s="18" t="str">
        <f t="shared" si="22"/>
        <v>782.403 PEAR - CALLERY - 'ARISTOCRAT' 2-2.5 INCH CALIPER</v>
      </c>
      <c r="B1428" s="19">
        <v>782.40300000000002</v>
      </c>
      <c r="C1428" s="20" t="s">
        <v>2738</v>
      </c>
      <c r="D1428" s="20" t="s">
        <v>2</v>
      </c>
    </row>
    <row r="1429" spans="1:4">
      <c r="A1429" s="18" t="str">
        <f t="shared" si="22"/>
        <v>782.407 PEAR - CALLERY - 'ARISTOCRAT' 3-3.5 INCH CALIPER</v>
      </c>
      <c r="B1429" s="21">
        <v>782.40700000000004</v>
      </c>
      <c r="C1429" s="22" t="s">
        <v>2739</v>
      </c>
      <c r="D1429" s="22" t="s">
        <v>2</v>
      </c>
    </row>
    <row r="1430" spans="1:4" s="26" customFormat="1">
      <c r="A1430" s="18" t="str">
        <f t="shared" si="22"/>
        <v>782.413 PEAR - CALLERY - 'BRADFORD' 2-2.5 INCH CALIPER</v>
      </c>
      <c r="B1430" s="21">
        <v>782.41300000000001</v>
      </c>
      <c r="C1430" s="22" t="s">
        <v>2740</v>
      </c>
      <c r="D1430" s="22" t="s">
        <v>2</v>
      </c>
    </row>
    <row r="1431" spans="1:4">
      <c r="A1431" s="18" t="str">
        <f t="shared" si="22"/>
        <v>782.417 PEAR - CALLERY - 'BRADFORD' 3-3.5 INCH CALIPER</v>
      </c>
      <c r="B1431" s="19">
        <v>782.41700000000003</v>
      </c>
      <c r="C1431" s="20" t="s">
        <v>2741</v>
      </c>
      <c r="D1431" s="20" t="s">
        <v>2</v>
      </c>
    </row>
    <row r="1432" spans="1:4" s="26" customFormat="1">
      <c r="A1432" s="18" t="str">
        <f t="shared" si="22"/>
        <v>782.423 PEAR - CALLERY - 'CHANTICLEER' 2-2.5 INCH CALIPER</v>
      </c>
      <c r="B1432" s="21">
        <v>782.423</v>
      </c>
      <c r="C1432" s="22" t="s">
        <v>1488</v>
      </c>
      <c r="D1432" s="22" t="s">
        <v>2</v>
      </c>
    </row>
    <row r="1433" spans="1:4">
      <c r="A1433" s="18" t="str">
        <f t="shared" si="22"/>
        <v>782.427 PEAR - CALLERY - 'CHANTICLEER' 3-3.5 INCH CALIPER</v>
      </c>
      <c r="B1433" s="19">
        <v>782.42700000000002</v>
      </c>
      <c r="C1433" s="20" t="s">
        <v>2742</v>
      </c>
      <c r="D1433" s="20" t="s">
        <v>2</v>
      </c>
    </row>
    <row r="1434" spans="1:4" s="26" customFormat="1">
      <c r="A1434" s="18" t="str">
        <f t="shared" si="22"/>
        <v>782.453 PLUM TREE - 'NEWPORT' 1.5-2 INCH CALIPER</v>
      </c>
      <c r="B1434" s="19">
        <v>782.45299999999997</v>
      </c>
      <c r="C1434" s="20" t="s">
        <v>2743</v>
      </c>
      <c r="D1434" s="20" t="s">
        <v>2</v>
      </c>
    </row>
    <row r="1435" spans="1:4">
      <c r="A1435" s="18" t="str">
        <f t="shared" si="22"/>
        <v>782.457 PLUM TREE - 'NEWPORT' 2.5-3 INCH CALIPER</v>
      </c>
      <c r="B1435" s="21">
        <v>782.45699999999999</v>
      </c>
      <c r="C1435" s="22" t="s">
        <v>2744</v>
      </c>
      <c r="D1435" s="22" t="s">
        <v>2</v>
      </c>
    </row>
    <row r="1436" spans="1:4" s="26" customFormat="1">
      <c r="A1436" s="18" t="str">
        <f t="shared" si="22"/>
        <v>782.473 PLUM TREE - 'THUNDERCLOUD' 1.5-2 INCH CALIPER</v>
      </c>
      <c r="B1436" s="21">
        <v>782.47299999999996</v>
      </c>
      <c r="C1436" s="22" t="s">
        <v>2745</v>
      </c>
      <c r="D1436" s="22" t="s">
        <v>2</v>
      </c>
    </row>
    <row r="1437" spans="1:4">
      <c r="A1437" s="18" t="str">
        <f t="shared" si="22"/>
        <v>782.477 PLUM TREE - 'THUNDERCLOUD' 2.5-3 INCH CALIPER</v>
      </c>
      <c r="B1437" s="19">
        <v>782.47699999999998</v>
      </c>
      <c r="C1437" s="20" t="s">
        <v>2746</v>
      </c>
      <c r="D1437" s="20" t="s">
        <v>2</v>
      </c>
    </row>
    <row r="1438" spans="1:4" s="26" customFormat="1">
      <c r="A1438" s="18" t="str">
        <f t="shared" si="22"/>
        <v>782.536 REDBUD - EASTERN 5-6 FEET</v>
      </c>
      <c r="B1438" s="19">
        <v>782.53599999999994</v>
      </c>
      <c r="C1438" s="20" t="s">
        <v>1489</v>
      </c>
      <c r="D1438" s="20" t="s">
        <v>2</v>
      </c>
    </row>
    <row r="1439" spans="1:4">
      <c r="A1439" s="18" t="str">
        <f t="shared" si="22"/>
        <v>782.537 REDBUD - EASTERN 1.5-2 INCH CALIPER</v>
      </c>
      <c r="B1439" s="19">
        <v>782.53700000000003</v>
      </c>
      <c r="C1439" s="20" t="s">
        <v>461</v>
      </c>
      <c r="D1439" s="20" t="s">
        <v>2</v>
      </c>
    </row>
    <row r="1440" spans="1:4" s="26" customFormat="1">
      <c r="A1440" s="18" t="str">
        <f t="shared" si="22"/>
        <v>782.539 REDBUD - EASTERN 2.5-3 INCH CALIPER</v>
      </c>
      <c r="B1440" s="21">
        <v>782.53899999999999</v>
      </c>
      <c r="C1440" s="22" t="s">
        <v>2747</v>
      </c>
      <c r="D1440" s="22" t="s">
        <v>2</v>
      </c>
    </row>
    <row r="1441" spans="1:4">
      <c r="A1441" s="18" t="str">
        <f t="shared" si="22"/>
        <v>782.634 REDWOOD - DAWN  2-2.5 INCH CALIPER</v>
      </c>
      <c r="B1441" s="19">
        <v>782.63400000000001</v>
      </c>
      <c r="C1441" s="20" t="s">
        <v>2748</v>
      </c>
      <c r="D1441" s="20" t="s">
        <v>2</v>
      </c>
    </row>
    <row r="1442" spans="1:4" s="26" customFormat="1">
      <c r="A1442" s="18" t="str">
        <f t="shared" si="22"/>
        <v>783.037 SHAD TREE - ALLEGHENY CLUMP 4-5 FEET</v>
      </c>
      <c r="B1442" s="19">
        <v>783.03700000000003</v>
      </c>
      <c r="C1442" s="20" t="s">
        <v>2749</v>
      </c>
      <c r="D1442" s="20" t="s">
        <v>2</v>
      </c>
    </row>
    <row r="1443" spans="1:4">
      <c r="A1443" s="18" t="str">
        <f t="shared" si="22"/>
        <v>783.041 SHAD TREE - ALLEGHENY CLUMP 8-10 FEET</v>
      </c>
      <c r="B1443" s="19">
        <v>783.04100000000005</v>
      </c>
      <c r="C1443" s="20" t="s">
        <v>2750</v>
      </c>
      <c r="D1443" s="20" t="s">
        <v>2</v>
      </c>
    </row>
    <row r="1444" spans="1:4" s="26" customFormat="1">
      <c r="A1444" s="18" t="str">
        <f t="shared" si="22"/>
        <v>783.045 SHAD TREE - DOWNY 6-8 FEET</v>
      </c>
      <c r="B1444" s="21">
        <v>783.04499999999996</v>
      </c>
      <c r="C1444" s="22" t="s">
        <v>2751</v>
      </c>
      <c r="D1444" s="22" t="s">
        <v>2</v>
      </c>
    </row>
    <row r="1445" spans="1:4">
      <c r="A1445" s="18" t="str">
        <f t="shared" si="22"/>
        <v>783.049 SHAD TREE - DOWNY 2-2.5 INCH CALIPER</v>
      </c>
      <c r="B1445" s="21">
        <v>783.04899999999998</v>
      </c>
      <c r="C1445" s="22" t="s">
        <v>1490</v>
      </c>
      <c r="D1445" s="22" t="s">
        <v>2</v>
      </c>
    </row>
    <row r="1446" spans="1:4" s="26" customFormat="1">
      <c r="A1446" s="18" t="str">
        <f t="shared" si="22"/>
        <v>783.339 SOURWOOD 1.5-2 INCH CALIPER</v>
      </c>
      <c r="B1446" s="21">
        <v>783.33900000000006</v>
      </c>
      <c r="C1446" s="22" t="s">
        <v>2752</v>
      </c>
      <c r="D1446" s="22" t="s">
        <v>2</v>
      </c>
    </row>
    <row r="1447" spans="1:4">
      <c r="A1447" s="18" t="str">
        <f t="shared" si="22"/>
        <v>783.343 SOURWOOD 2.5-3 INCH CALIPER</v>
      </c>
      <c r="B1447" s="19">
        <v>783.34299999999996</v>
      </c>
      <c r="C1447" s="20" t="s">
        <v>2753</v>
      </c>
      <c r="D1447" s="20" t="s">
        <v>2</v>
      </c>
    </row>
    <row r="1448" spans="1:4" s="26" customFormat="1">
      <c r="A1448" s="18" t="str">
        <f t="shared" si="22"/>
        <v>783.366 STEWARTIA 7-8 FEET</v>
      </c>
      <c r="B1448" s="21">
        <v>783.36599999999999</v>
      </c>
      <c r="C1448" s="22" t="s">
        <v>2754</v>
      </c>
      <c r="D1448" s="22" t="s">
        <v>2</v>
      </c>
    </row>
    <row r="1449" spans="1:4">
      <c r="A1449" s="18" t="str">
        <f t="shared" si="22"/>
        <v>783.442 TULIP TREE 2.5-3 INCH CALIPER</v>
      </c>
      <c r="B1449" s="21">
        <v>783.44200000000001</v>
      </c>
      <c r="C1449" s="22" t="s">
        <v>462</v>
      </c>
      <c r="D1449" s="22" t="s">
        <v>2</v>
      </c>
    </row>
    <row r="1450" spans="1:4" s="26" customFormat="1">
      <c r="A1450" s="18" t="str">
        <f t="shared" si="22"/>
        <v>783.443 TULIP TREE 3-3.5 INCH CALIPER</v>
      </c>
      <c r="B1450" s="19">
        <v>783.44299999999998</v>
      </c>
      <c r="C1450" s="20" t="s">
        <v>2755</v>
      </c>
      <c r="D1450" s="20" t="s">
        <v>2</v>
      </c>
    </row>
    <row r="1451" spans="1:4">
      <c r="A1451" s="18" t="str">
        <f t="shared" si="22"/>
        <v>783.465 TUPELO 1.5-2 INCH CALIPER</v>
      </c>
      <c r="B1451" s="19">
        <v>783.46500000000003</v>
      </c>
      <c r="C1451" s="20" t="s">
        <v>1491</v>
      </c>
      <c r="D1451" s="20" t="s">
        <v>2</v>
      </c>
    </row>
    <row r="1452" spans="1:4" s="26" customFormat="1">
      <c r="A1452" s="18" t="str">
        <f t="shared" si="22"/>
        <v>783.467 TUPELO 2-2.5 INCH CALIPER</v>
      </c>
      <c r="B1452" s="21">
        <v>783.46699999999998</v>
      </c>
      <c r="C1452" s="22" t="s">
        <v>463</v>
      </c>
      <c r="D1452" s="22" t="s">
        <v>2</v>
      </c>
    </row>
    <row r="1453" spans="1:4">
      <c r="A1453" s="18" t="str">
        <f t="shared" si="22"/>
        <v>783.537 YELLOWWOOD 1.5-2 INCH CALIPER</v>
      </c>
      <c r="B1453" s="19">
        <v>783.53700000000003</v>
      </c>
      <c r="C1453" s="20" t="s">
        <v>2756</v>
      </c>
      <c r="D1453" s="20" t="s">
        <v>2</v>
      </c>
    </row>
    <row r="1454" spans="1:4" s="26" customFormat="1">
      <c r="A1454" s="18" t="str">
        <f t="shared" si="22"/>
        <v>783.539 YELLOWWOOD 2-2.5 INCH CALIPER</v>
      </c>
      <c r="B1454" s="19">
        <v>783.53899999999999</v>
      </c>
      <c r="C1454" s="20" t="s">
        <v>2757</v>
      </c>
      <c r="D1454" s="20" t="s">
        <v>2</v>
      </c>
    </row>
    <row r="1455" spans="1:4">
      <c r="A1455" s="18" t="str">
        <f t="shared" si="22"/>
        <v>783.639 ZELKOVA - 'GREEN VASE' 2-2.5 INCH CALIPER</v>
      </c>
      <c r="B1455" s="21">
        <v>783.63900000000001</v>
      </c>
      <c r="C1455" s="22" t="s">
        <v>464</v>
      </c>
      <c r="D1455" s="22" t="s">
        <v>2</v>
      </c>
    </row>
    <row r="1456" spans="1:4" s="26" customFormat="1">
      <c r="A1456" s="18" t="str">
        <f t="shared" si="22"/>
        <v>783.641 ZELKOVA - 'GREEN VASE' 2.5-3 INCH CALIPER</v>
      </c>
      <c r="B1456" s="21">
        <v>783.64099999999996</v>
      </c>
      <c r="C1456" s="22" t="s">
        <v>2758</v>
      </c>
      <c r="D1456" s="22" t="s">
        <v>2</v>
      </c>
    </row>
    <row r="1457" spans="1:4">
      <c r="A1457" s="18" t="str">
        <f t="shared" si="22"/>
        <v>783.645 ZELKOVA - 'VILLAGE GREEN' 2-2.5 INCH CALIPER</v>
      </c>
      <c r="B1457" s="19">
        <v>783.64499999999998</v>
      </c>
      <c r="C1457" s="20" t="s">
        <v>2759</v>
      </c>
      <c r="D1457" s="20" t="s">
        <v>2</v>
      </c>
    </row>
    <row r="1458" spans="1:4" s="26" customFormat="1">
      <c r="A1458" s="18" t="str">
        <f t="shared" si="22"/>
        <v>783.647 ZELKOVA - 'VILLAGE GREEN' 2.5-3 INCH CALIPER</v>
      </c>
      <c r="B1458" s="21">
        <v>783.64700000000005</v>
      </c>
      <c r="C1458" s="22" t="s">
        <v>1492</v>
      </c>
      <c r="D1458" s="22" t="s">
        <v>2</v>
      </c>
    </row>
    <row r="1459" spans="1:4">
      <c r="A1459" s="18" t="str">
        <f t="shared" si="22"/>
        <v>785.013 ABELIA SHRUB - GLOSSY 15-18 INCH</v>
      </c>
      <c r="B1459" s="21">
        <v>785.01300000000003</v>
      </c>
      <c r="C1459" s="22" t="s">
        <v>2760</v>
      </c>
      <c r="D1459" s="22" t="s">
        <v>2</v>
      </c>
    </row>
    <row r="1460" spans="1:4" s="26" customFormat="1">
      <c r="A1460" s="18" t="str">
        <f t="shared" si="22"/>
        <v>785.023 ABELIA SHRUB - GLOSSY 2-3 FEET</v>
      </c>
      <c r="B1460" s="19">
        <v>785.02300000000002</v>
      </c>
      <c r="C1460" s="20" t="s">
        <v>2761</v>
      </c>
      <c r="D1460" s="20" t="s">
        <v>2</v>
      </c>
    </row>
    <row r="1461" spans="1:4">
      <c r="A1461" s="18" t="str">
        <f t="shared" si="22"/>
        <v>785.175 ANDROMEDA - MOUNTAIN 24-36 INCH</v>
      </c>
      <c r="B1461" s="19">
        <v>785.17499999999995</v>
      </c>
      <c r="C1461" s="20" t="s">
        <v>1493</v>
      </c>
      <c r="D1461" s="20" t="s">
        <v>2</v>
      </c>
    </row>
    <row r="1462" spans="1:4" s="26" customFormat="1">
      <c r="A1462" s="18" t="str">
        <f t="shared" si="22"/>
        <v>785.179 BOG ROSEMARY 1 GALLON</v>
      </c>
      <c r="B1462" s="21">
        <v>785.17899999999997</v>
      </c>
      <c r="C1462" s="22" t="s">
        <v>2762</v>
      </c>
      <c r="D1462" s="22" t="s">
        <v>2</v>
      </c>
    </row>
    <row r="1463" spans="1:4">
      <c r="A1463" s="18" t="str">
        <f t="shared" si="22"/>
        <v>785.181 BOXWOOD - COMMON 18-24 INCH</v>
      </c>
      <c r="B1463" s="19">
        <v>785.18100000000004</v>
      </c>
      <c r="C1463" s="20" t="s">
        <v>2763</v>
      </c>
      <c r="D1463" s="20" t="s">
        <v>2</v>
      </c>
    </row>
    <row r="1464" spans="1:4" s="26" customFormat="1">
      <c r="A1464" s="18" t="str">
        <f t="shared" si="22"/>
        <v>785.183 BOXWOOD - COMMON 3-4 FEET</v>
      </c>
      <c r="B1464" s="21">
        <v>785.18299999999999</v>
      </c>
      <c r="C1464" s="22" t="s">
        <v>2764</v>
      </c>
      <c r="D1464" s="22" t="s">
        <v>2</v>
      </c>
    </row>
    <row r="1465" spans="1:4">
      <c r="A1465" s="18" t="str">
        <f t="shared" si="22"/>
        <v>785.189 BOXWOOD - 'GREEN MOUNTAIN' 18-24 INCH</v>
      </c>
      <c r="B1465" s="19">
        <v>785.18899999999996</v>
      </c>
      <c r="C1465" s="20" t="s">
        <v>2765</v>
      </c>
      <c r="D1465" s="20" t="s">
        <v>2</v>
      </c>
    </row>
    <row r="1466" spans="1:4" s="26" customFormat="1">
      <c r="A1466" s="18" t="str">
        <f t="shared" si="22"/>
        <v>785.193 EUONYMOUS - 'EMERALD GAIETY' 1 GALLON</v>
      </c>
      <c r="B1466" s="21">
        <v>785.19299999999998</v>
      </c>
      <c r="C1466" s="22" t="s">
        <v>2766</v>
      </c>
      <c r="D1466" s="22" t="s">
        <v>2</v>
      </c>
    </row>
    <row r="1467" spans="1:4">
      <c r="A1467" s="18" t="str">
        <f t="shared" si="22"/>
        <v>785.201 EUONYMOUS - 'KEWENSIS' 1 GALLON</v>
      </c>
      <c r="B1467" s="21">
        <v>785.20100000000002</v>
      </c>
      <c r="C1467" s="22" t="s">
        <v>2767</v>
      </c>
      <c r="D1467" s="22" t="s">
        <v>2</v>
      </c>
    </row>
    <row r="1468" spans="1:4" s="26" customFormat="1">
      <c r="A1468" s="18" t="str">
        <f t="shared" si="22"/>
        <v>785.205 EUONYMOUS - UPRIGHT WINTERCREEPER 2-3 FEET</v>
      </c>
      <c r="B1468" s="19">
        <v>785.20500000000004</v>
      </c>
      <c r="C1468" s="20" t="s">
        <v>2768</v>
      </c>
      <c r="D1468" s="20" t="s">
        <v>2</v>
      </c>
    </row>
    <row r="1469" spans="1:4">
      <c r="A1469" s="18" t="str">
        <f t="shared" si="22"/>
        <v>785.213 HEATHER - COMMON 2 GALLON</v>
      </c>
      <c r="B1469" s="21">
        <v>785.21299999999997</v>
      </c>
      <c r="C1469" s="22" t="s">
        <v>2769</v>
      </c>
      <c r="D1469" s="22" t="s">
        <v>2</v>
      </c>
    </row>
    <row r="1470" spans="1:4" s="26" customFormat="1">
      <c r="A1470" s="18" t="str">
        <f t="shared" si="22"/>
        <v>785.217 HEATHER - 'MAIRES' 2 GALLON</v>
      </c>
      <c r="B1470" s="19">
        <v>785.21699999999998</v>
      </c>
      <c r="C1470" s="20" t="s">
        <v>2770</v>
      </c>
      <c r="D1470" s="20" t="s">
        <v>2</v>
      </c>
    </row>
    <row r="1471" spans="1:4">
      <c r="A1471" s="18" t="str">
        <f t="shared" si="22"/>
        <v>785.223 HEATHER - 'SPRING CREAM' 2 GALLON</v>
      </c>
      <c r="B1471" s="19">
        <v>785.22299999999996</v>
      </c>
      <c r="C1471" s="20" t="s">
        <v>2771</v>
      </c>
      <c r="D1471" s="20" t="s">
        <v>2</v>
      </c>
    </row>
    <row r="1472" spans="1:4" s="26" customFormat="1">
      <c r="A1472" s="18" t="str">
        <f t="shared" si="22"/>
        <v>785.525 HEMLOCK - WEEPING 2-3 FOOT SPREAD</v>
      </c>
      <c r="B1472" s="19">
        <v>785.52499999999998</v>
      </c>
      <c r="C1472" s="20" t="s">
        <v>2772</v>
      </c>
      <c r="D1472" s="20" t="s">
        <v>2</v>
      </c>
    </row>
    <row r="1473" spans="1:4">
      <c r="A1473" s="18" t="str">
        <f t="shared" si="22"/>
        <v>785.533 HOLLY - AMERICAN MALE 6-7 FEET</v>
      </c>
      <c r="B1473" s="19">
        <v>785.53300000000002</v>
      </c>
      <c r="C1473" s="20" t="s">
        <v>2773</v>
      </c>
      <c r="D1473" s="20" t="s">
        <v>2</v>
      </c>
    </row>
    <row r="1474" spans="1:4" s="26" customFormat="1">
      <c r="A1474" s="18" t="str">
        <f t="shared" ref="A1474:A1537" si="23">B1474&amp;" "&amp;C1474</f>
        <v>785.537 HOLLY - AMERICAN FEMALE 6-7 FEET</v>
      </c>
      <c r="B1474" s="21">
        <v>785.53700000000003</v>
      </c>
      <c r="C1474" s="22" t="s">
        <v>2774</v>
      </c>
      <c r="D1474" s="22" t="s">
        <v>2</v>
      </c>
    </row>
    <row r="1475" spans="1:4">
      <c r="A1475" s="18" t="str">
        <f t="shared" si="23"/>
        <v>785.541 HOLLY - 'BLUE PRINCE' 18-24 INCH</v>
      </c>
      <c r="B1475" s="21">
        <v>785.54100000000005</v>
      </c>
      <c r="C1475" s="22" t="s">
        <v>2775</v>
      </c>
      <c r="D1475" s="22" t="s">
        <v>2</v>
      </c>
    </row>
    <row r="1476" spans="1:4" s="26" customFormat="1">
      <c r="A1476" s="18" t="str">
        <f t="shared" si="23"/>
        <v>785.543 HOLLY - 'BLUE PRINCE' 2-3 FEET</v>
      </c>
      <c r="B1476" s="21">
        <v>785.54300000000001</v>
      </c>
      <c r="C1476" s="22" t="s">
        <v>2776</v>
      </c>
      <c r="D1476" s="22" t="s">
        <v>2</v>
      </c>
    </row>
    <row r="1477" spans="1:4">
      <c r="A1477" s="18" t="str">
        <f t="shared" si="23"/>
        <v>785.545 HOLLY - 'BLUE PRINCESS' 18-24 INCH</v>
      </c>
      <c r="B1477" s="21">
        <v>785.54499999999996</v>
      </c>
      <c r="C1477" s="22" t="s">
        <v>2777</v>
      </c>
      <c r="D1477" s="22" t="s">
        <v>2</v>
      </c>
    </row>
    <row r="1478" spans="1:4" s="26" customFormat="1">
      <c r="A1478" s="18" t="str">
        <f t="shared" si="23"/>
        <v>785.547 HOLLY - 'BLUE PRINCESS' 2-3 FEET</v>
      </c>
      <c r="B1478" s="21">
        <v>785.54700000000003</v>
      </c>
      <c r="C1478" s="22" t="s">
        <v>2778</v>
      </c>
      <c r="D1478" s="22" t="s">
        <v>2</v>
      </c>
    </row>
    <row r="1479" spans="1:4">
      <c r="A1479" s="18" t="str">
        <f t="shared" si="23"/>
        <v>785.551 HOLLY - 'CHINA BOY' 18-24 INCH</v>
      </c>
      <c r="B1479" s="19">
        <v>785.55100000000004</v>
      </c>
      <c r="C1479" s="20" t="s">
        <v>2779</v>
      </c>
      <c r="D1479" s="20" t="s">
        <v>2</v>
      </c>
    </row>
    <row r="1480" spans="1:4" s="26" customFormat="1">
      <c r="A1480" s="18" t="str">
        <f t="shared" si="23"/>
        <v>785.553 HOLLY - 'CHINA BOY' 2-3 FEET</v>
      </c>
      <c r="B1480" s="19">
        <v>785.553</v>
      </c>
      <c r="C1480" s="20" t="s">
        <v>2780</v>
      </c>
      <c r="D1480" s="20" t="s">
        <v>2</v>
      </c>
    </row>
    <row r="1481" spans="1:4">
      <c r="A1481" s="18" t="str">
        <f t="shared" si="23"/>
        <v>785.555 HOLLY - 'CHINA GIRL' 18-24 INCH</v>
      </c>
      <c r="B1481" s="19">
        <v>785.55499999999995</v>
      </c>
      <c r="C1481" s="20" t="s">
        <v>2781</v>
      </c>
      <c r="D1481" s="20" t="s">
        <v>2</v>
      </c>
    </row>
    <row r="1482" spans="1:4" s="26" customFormat="1">
      <c r="A1482" s="18" t="str">
        <f t="shared" si="23"/>
        <v>785.557 HOLLY - 'CHINA GIRL' 2-3 FEET</v>
      </c>
      <c r="B1482" s="21">
        <v>785.55700000000002</v>
      </c>
      <c r="C1482" s="22" t="s">
        <v>2782</v>
      </c>
      <c r="D1482" s="22" t="s">
        <v>2</v>
      </c>
    </row>
    <row r="1483" spans="1:4">
      <c r="A1483" s="18" t="str">
        <f t="shared" si="23"/>
        <v>785.571 HOLLY - JAPANESE COMPACT 18-24 INCH</v>
      </c>
      <c r="B1483" s="21">
        <v>785.57100000000003</v>
      </c>
      <c r="C1483" s="22" t="s">
        <v>2783</v>
      </c>
      <c r="D1483" s="22" t="s">
        <v>2</v>
      </c>
    </row>
    <row r="1484" spans="1:4" s="26" customFormat="1">
      <c r="A1484" s="18" t="str">
        <f t="shared" si="23"/>
        <v>785.573 HOLLY - JAPANESE COMPACT 24-30 INCH</v>
      </c>
      <c r="B1484" s="21">
        <v>785.57299999999998</v>
      </c>
      <c r="C1484" s="22" t="s">
        <v>2784</v>
      </c>
      <c r="D1484" s="22" t="s">
        <v>2</v>
      </c>
    </row>
    <row r="1485" spans="1:4">
      <c r="A1485" s="18" t="str">
        <f t="shared" si="23"/>
        <v>785.577 HOLLY - JAPANESE CONVEXA 18-24 INCH</v>
      </c>
      <c r="B1485" s="19">
        <v>785.577</v>
      </c>
      <c r="C1485" s="20" t="s">
        <v>2785</v>
      </c>
      <c r="D1485" s="20" t="s">
        <v>2</v>
      </c>
    </row>
    <row r="1486" spans="1:4" s="26" customFormat="1">
      <c r="A1486" s="18" t="str">
        <f t="shared" si="23"/>
        <v>785.579 HOLLY - JAPANESE CONVEXA 24-30 INCH</v>
      </c>
      <c r="B1486" s="19">
        <v>785.57899999999995</v>
      </c>
      <c r="C1486" s="20" t="s">
        <v>2786</v>
      </c>
      <c r="D1486" s="20" t="s">
        <v>2</v>
      </c>
    </row>
    <row r="1487" spans="1:4">
      <c r="A1487" s="18" t="str">
        <f t="shared" si="23"/>
        <v>785.581 HOLLY - JAPANESE-'HELLER' 18-24 INCH</v>
      </c>
      <c r="B1487" s="21">
        <v>785.58100000000002</v>
      </c>
      <c r="C1487" s="22" t="s">
        <v>2787</v>
      </c>
      <c r="D1487" s="22" t="s">
        <v>2</v>
      </c>
    </row>
    <row r="1488" spans="1:4" s="26" customFormat="1">
      <c r="A1488" s="18" t="str">
        <f t="shared" si="23"/>
        <v>785.583 HOLLY - JAPANESE - 'HELLER' 24-30 INCH</v>
      </c>
      <c r="B1488" s="19">
        <v>785.58299999999997</v>
      </c>
      <c r="C1488" s="20" t="s">
        <v>2788</v>
      </c>
      <c r="D1488" s="20" t="s">
        <v>2</v>
      </c>
    </row>
    <row r="1489" spans="1:4">
      <c r="A1489" s="18" t="str">
        <f t="shared" si="23"/>
        <v>785.585 HOLLY - JAPANESE - 'HETZ' 18-24 INCH</v>
      </c>
      <c r="B1489" s="21">
        <v>785.58500000000004</v>
      </c>
      <c r="C1489" s="22" t="s">
        <v>2789</v>
      </c>
      <c r="D1489" s="22" t="s">
        <v>2</v>
      </c>
    </row>
    <row r="1490" spans="1:4" s="26" customFormat="1">
      <c r="A1490" s="18" t="str">
        <f t="shared" si="23"/>
        <v>785.587 HOLLY - JAPANESE - 'HETZ' 24-30 INCH</v>
      </c>
      <c r="B1490" s="19">
        <v>785.58699999999999</v>
      </c>
      <c r="C1490" s="20" t="s">
        <v>1494</v>
      </c>
      <c r="D1490" s="20" t="s">
        <v>2</v>
      </c>
    </row>
    <row r="1491" spans="1:4">
      <c r="A1491" s="18" t="str">
        <f t="shared" si="23"/>
        <v>785.593 HOLLY - LONGSTALK MALE 2-3 FEET</v>
      </c>
      <c r="B1491" s="21">
        <v>785.59299999999996</v>
      </c>
      <c r="C1491" s="22" t="s">
        <v>2790</v>
      </c>
      <c r="D1491" s="22" t="s">
        <v>2</v>
      </c>
    </row>
    <row r="1492" spans="1:4" s="26" customFormat="1">
      <c r="A1492" s="18" t="str">
        <f t="shared" si="23"/>
        <v>785.597 HOLLY - LONGSTALK FEMALE 2-3 FEET</v>
      </c>
      <c r="B1492" s="19">
        <v>785.59699999999998</v>
      </c>
      <c r="C1492" s="20" t="s">
        <v>2791</v>
      </c>
      <c r="D1492" s="20" t="s">
        <v>2</v>
      </c>
    </row>
    <row r="1493" spans="1:4">
      <c r="A1493" s="18" t="str">
        <f t="shared" si="23"/>
        <v>785.609 HOLLY - OREGON GRAPE COMPACT 15-18 INCH</v>
      </c>
      <c r="B1493" s="19">
        <v>785.60900000000004</v>
      </c>
      <c r="C1493" s="20" t="s">
        <v>2792</v>
      </c>
      <c r="D1493" s="20" t="s">
        <v>2</v>
      </c>
    </row>
    <row r="1494" spans="1:4" s="26" customFormat="1">
      <c r="A1494" s="18" t="str">
        <f t="shared" si="23"/>
        <v>785.611 HOLLY - OREGON GRAPE COMPACT 18-24 INCH</v>
      </c>
      <c r="B1494" s="19">
        <v>785.61099999999999</v>
      </c>
      <c r="C1494" s="20" t="s">
        <v>2793</v>
      </c>
      <c r="D1494" s="20" t="s">
        <v>2</v>
      </c>
    </row>
    <row r="1495" spans="1:4">
      <c r="A1495" s="18" t="str">
        <f t="shared" si="23"/>
        <v>785.631 INKBERRY 18-24 INCH</v>
      </c>
      <c r="B1495" s="19">
        <v>785.63099999999997</v>
      </c>
      <c r="C1495" s="20" t="s">
        <v>2794</v>
      </c>
      <c r="D1495" s="20" t="s">
        <v>2</v>
      </c>
    </row>
    <row r="1496" spans="1:4" s="26" customFormat="1">
      <c r="A1496" s="18" t="str">
        <f t="shared" si="23"/>
        <v>785.633 INKBERRY 2-3 FEET</v>
      </c>
      <c r="B1496" s="21">
        <v>785.63300000000004</v>
      </c>
      <c r="C1496" s="22" t="s">
        <v>465</v>
      </c>
      <c r="D1496" s="22" t="s">
        <v>2</v>
      </c>
    </row>
    <row r="1497" spans="1:4">
      <c r="A1497" s="18" t="str">
        <f t="shared" si="23"/>
        <v>785.731 INKBERRY - COMPACT 18-24 INCH</v>
      </c>
      <c r="B1497" s="21">
        <v>785.73099999999999</v>
      </c>
      <c r="C1497" s="22" t="s">
        <v>1495</v>
      </c>
      <c r="D1497" s="22" t="s">
        <v>2</v>
      </c>
    </row>
    <row r="1498" spans="1:4" s="26" customFormat="1">
      <c r="A1498" s="18" t="str">
        <f t="shared" si="23"/>
        <v>785.733 INKBERRY - COMPACT 24-30 INCH</v>
      </c>
      <c r="B1498" s="19">
        <v>785.73299999999995</v>
      </c>
      <c r="C1498" s="20" t="s">
        <v>466</v>
      </c>
      <c r="D1498" s="20" t="s">
        <v>2</v>
      </c>
    </row>
    <row r="1499" spans="1:4">
      <c r="A1499" s="18" t="str">
        <f t="shared" si="23"/>
        <v>786.011 JUNIPER - ANDORRA 12-15 INCH</v>
      </c>
      <c r="B1499" s="21">
        <v>786.01099999999997</v>
      </c>
      <c r="C1499" s="22" t="s">
        <v>2795</v>
      </c>
      <c r="D1499" s="22" t="s">
        <v>2</v>
      </c>
    </row>
    <row r="1500" spans="1:4" s="26" customFormat="1">
      <c r="A1500" s="18" t="str">
        <f t="shared" si="23"/>
        <v>786.031 JUNIPER - ANDORRA 18-24 INCH</v>
      </c>
      <c r="B1500" s="21">
        <v>786.03099999999995</v>
      </c>
      <c r="C1500" s="22" t="s">
        <v>1496</v>
      </c>
      <c r="D1500" s="22" t="s">
        <v>2</v>
      </c>
    </row>
    <row r="1501" spans="1:4">
      <c r="A1501" s="18" t="str">
        <f t="shared" si="23"/>
        <v>786.079 JUNIPER - BAR HARBOR 12-15 INCH</v>
      </c>
      <c r="B1501" s="19">
        <v>786.07899999999995</v>
      </c>
      <c r="C1501" s="20" t="s">
        <v>2796</v>
      </c>
      <c r="D1501" s="20" t="s">
        <v>2</v>
      </c>
    </row>
    <row r="1502" spans="1:4" s="26" customFormat="1">
      <c r="A1502" s="18" t="str">
        <f t="shared" si="23"/>
        <v>786.081 JUNIPER - BAR HARBOR 15-18 INCH</v>
      </c>
      <c r="B1502" s="19">
        <v>786.08100000000002</v>
      </c>
      <c r="C1502" s="20" t="s">
        <v>467</v>
      </c>
      <c r="D1502" s="20" t="s">
        <v>2</v>
      </c>
    </row>
    <row r="1503" spans="1:4">
      <c r="A1503" s="18" t="str">
        <f t="shared" si="23"/>
        <v>786.101 JUNIPER - 'BLUE HAVEN' 18-24 INCH</v>
      </c>
      <c r="B1503" s="19">
        <v>786.101</v>
      </c>
      <c r="C1503" s="20" t="s">
        <v>2797</v>
      </c>
      <c r="D1503" s="20" t="s">
        <v>2</v>
      </c>
    </row>
    <row r="1504" spans="1:4" s="26" customFormat="1">
      <c r="A1504" s="18" t="str">
        <f t="shared" si="23"/>
        <v>786.105 JUNIPER - 'BLUE HAVEN' 2.5-3 FEET</v>
      </c>
      <c r="B1504" s="21">
        <v>786.10500000000002</v>
      </c>
      <c r="C1504" s="22" t="s">
        <v>2798</v>
      </c>
      <c r="D1504" s="22" t="s">
        <v>2</v>
      </c>
    </row>
    <row r="1505" spans="1:4">
      <c r="A1505" s="18" t="str">
        <f t="shared" si="23"/>
        <v>786.109 JUNIPER - 'BLUE RUG' 12-15 INCH</v>
      </c>
      <c r="B1505" s="21">
        <v>786.10900000000004</v>
      </c>
      <c r="C1505" s="22" t="s">
        <v>1497</v>
      </c>
      <c r="D1505" s="22" t="s">
        <v>2</v>
      </c>
    </row>
    <row r="1506" spans="1:4" s="26" customFormat="1">
      <c r="A1506" s="18" t="str">
        <f t="shared" si="23"/>
        <v>786.111 JUNIPER - 'GREY OWL' 2 GALLON</v>
      </c>
      <c r="B1506" s="19">
        <v>786.11099999999999</v>
      </c>
      <c r="C1506" s="20" t="s">
        <v>2799</v>
      </c>
      <c r="D1506" s="20" t="s">
        <v>2</v>
      </c>
    </row>
    <row r="1507" spans="1:4">
      <c r="A1507" s="18" t="str">
        <f t="shared" si="23"/>
        <v>786.113 JUNIPER - 'GREY OWL' 3 GALLON</v>
      </c>
      <c r="B1507" s="19">
        <v>786.11300000000006</v>
      </c>
      <c r="C1507" s="20" t="s">
        <v>2800</v>
      </c>
      <c r="D1507" s="20" t="s">
        <v>2</v>
      </c>
    </row>
    <row r="1508" spans="1:4" s="26" customFormat="1">
      <c r="A1508" s="18" t="str">
        <f t="shared" si="23"/>
        <v>786.321 JUNIPER - HETZ 15-18 INCH</v>
      </c>
      <c r="B1508" s="21">
        <v>786.32100000000003</v>
      </c>
      <c r="C1508" s="22" t="s">
        <v>2801</v>
      </c>
      <c r="D1508" s="22" t="s">
        <v>2</v>
      </c>
    </row>
    <row r="1509" spans="1:4">
      <c r="A1509" s="18" t="str">
        <f t="shared" si="23"/>
        <v>786.331 JUNIPER - HETZ 18-24 INCH</v>
      </c>
      <c r="B1509" s="21">
        <v>786.33100000000002</v>
      </c>
      <c r="C1509" s="22" t="s">
        <v>2802</v>
      </c>
      <c r="D1509" s="22" t="s">
        <v>2</v>
      </c>
    </row>
    <row r="1510" spans="1:4" s="26" customFormat="1">
      <c r="A1510" s="18" t="str">
        <f t="shared" si="23"/>
        <v>786.371 JUNIPER - 'MINT JULEP' 15-18 INCH</v>
      </c>
      <c r="B1510" s="19">
        <v>786.37099999999998</v>
      </c>
      <c r="C1510" s="20" t="s">
        <v>2803</v>
      </c>
      <c r="D1510" s="20" t="s">
        <v>2</v>
      </c>
    </row>
    <row r="1511" spans="1:4">
      <c r="A1511" s="18" t="str">
        <f t="shared" si="23"/>
        <v>786.375 JUNIPER - 'MINT JULEP' 24-30 INCH</v>
      </c>
      <c r="B1511" s="21">
        <v>786.375</v>
      </c>
      <c r="C1511" s="22" t="s">
        <v>2804</v>
      </c>
      <c r="D1511" s="22" t="s">
        <v>2</v>
      </c>
    </row>
    <row r="1512" spans="1:4" s="26" customFormat="1">
      <c r="A1512" s="18" t="str">
        <f t="shared" si="23"/>
        <v>786.421 JUNIPER - PFITZER 15-18 INCH</v>
      </c>
      <c r="B1512" s="19">
        <v>786.42100000000005</v>
      </c>
      <c r="C1512" s="20" t="s">
        <v>2805</v>
      </c>
      <c r="D1512" s="20" t="s">
        <v>2</v>
      </c>
    </row>
    <row r="1513" spans="1:4">
      <c r="A1513" s="18" t="str">
        <f t="shared" si="23"/>
        <v>786.431 JUNIPER - PFITZER 24-30 INCH</v>
      </c>
      <c r="B1513" s="21">
        <v>786.43100000000004</v>
      </c>
      <c r="C1513" s="22" t="s">
        <v>2806</v>
      </c>
      <c r="D1513" s="22" t="s">
        <v>2</v>
      </c>
    </row>
    <row r="1514" spans="1:4" s="26" customFormat="1">
      <c r="A1514" s="18" t="str">
        <f t="shared" si="23"/>
        <v>786.433 JUNIPER - PFITZER COMPACT 15-18 INCH</v>
      </c>
      <c r="B1514" s="21">
        <v>786.43299999999999</v>
      </c>
      <c r="C1514" s="22" t="s">
        <v>2807</v>
      </c>
      <c r="D1514" s="22" t="s">
        <v>2</v>
      </c>
    </row>
    <row r="1515" spans="1:4">
      <c r="A1515" s="18" t="str">
        <f t="shared" si="23"/>
        <v>786.437 JUNIPER - PFITZER COMPACT 24-30 INCH</v>
      </c>
      <c r="B1515" s="19">
        <v>786.43700000000001</v>
      </c>
      <c r="C1515" s="20" t="s">
        <v>2808</v>
      </c>
      <c r="D1515" s="20" t="s">
        <v>2</v>
      </c>
    </row>
    <row r="1516" spans="1:4" s="26" customFormat="1">
      <c r="A1516" s="18" t="str">
        <f t="shared" si="23"/>
        <v>786.461 JUNIPER - SARGENT'S GREEN 15-18 INCH</v>
      </c>
      <c r="B1516" s="19">
        <v>786.46100000000001</v>
      </c>
      <c r="C1516" s="20" t="s">
        <v>2809</v>
      </c>
      <c r="D1516" s="20" t="s">
        <v>2</v>
      </c>
    </row>
    <row r="1517" spans="1:4">
      <c r="A1517" s="18" t="str">
        <f t="shared" si="23"/>
        <v>786.467 JUNIPER - SARGENT'S GREEN 24-30 INCH</v>
      </c>
      <c r="B1517" s="21">
        <v>786.46699999999998</v>
      </c>
      <c r="C1517" s="22" t="s">
        <v>1498</v>
      </c>
      <c r="D1517" s="22" t="s">
        <v>2</v>
      </c>
    </row>
    <row r="1518" spans="1:4" s="26" customFormat="1">
      <c r="A1518" s="18" t="str">
        <f t="shared" si="23"/>
        <v>786.471 JUNIPER - 'SEA GREEN' 18-24 INCH</v>
      </c>
      <c r="B1518" s="19">
        <v>786.471</v>
      </c>
      <c r="C1518" s="20" t="s">
        <v>1499</v>
      </c>
      <c r="D1518" s="20" t="s">
        <v>2</v>
      </c>
    </row>
    <row r="1519" spans="1:4">
      <c r="A1519" s="18" t="str">
        <f t="shared" si="23"/>
        <v>786.475 JUNIPER - 'SEA GREEN' 2.5-3 FEET</v>
      </c>
      <c r="B1519" s="21">
        <v>786.47500000000002</v>
      </c>
      <c r="C1519" s="22" t="s">
        <v>2810</v>
      </c>
      <c r="D1519" s="22" t="s">
        <v>2</v>
      </c>
    </row>
    <row r="1520" spans="1:4" s="26" customFormat="1">
      <c r="A1520" s="18" t="str">
        <f t="shared" si="23"/>
        <v>786.633 LEUCOTHOE  - COAST 18-24 INCH</v>
      </c>
      <c r="B1520" s="19">
        <v>786.63300000000004</v>
      </c>
      <c r="C1520" s="20" t="s">
        <v>2811</v>
      </c>
      <c r="D1520" s="20" t="s">
        <v>2</v>
      </c>
    </row>
    <row r="1521" spans="1:4">
      <c r="A1521" s="18" t="str">
        <f t="shared" si="23"/>
        <v>786.637 LEUCOTHOE - COMPACT DROOPING 18-24 INCH</v>
      </c>
      <c r="B1521" s="19">
        <v>786.63699999999994</v>
      </c>
      <c r="C1521" s="20" t="s">
        <v>2812</v>
      </c>
      <c r="D1521" s="20" t="s">
        <v>2</v>
      </c>
    </row>
    <row r="1522" spans="1:4" s="26" customFormat="1">
      <c r="A1522" s="18" t="str">
        <f t="shared" si="23"/>
        <v>786.671 MOUNTAIN LAUREL 24-30 INCH</v>
      </c>
      <c r="B1522" s="21">
        <v>786.67100000000005</v>
      </c>
      <c r="C1522" s="22" t="s">
        <v>2813</v>
      </c>
      <c r="D1522" s="22" t="s">
        <v>2</v>
      </c>
    </row>
    <row r="1523" spans="1:4">
      <c r="A1523" s="18" t="str">
        <f t="shared" si="23"/>
        <v>786.673 MOUNTAIN LAUREL 3-4 FEET</v>
      </c>
      <c r="B1523" s="21">
        <v>786.673</v>
      </c>
      <c r="C1523" s="22" t="s">
        <v>2814</v>
      </c>
      <c r="D1523" s="22" t="s">
        <v>2</v>
      </c>
    </row>
    <row r="1524" spans="1:4" s="26" customFormat="1">
      <c r="A1524" s="18" t="str">
        <f t="shared" si="23"/>
        <v>787.031 PINE SHRUB - MUGO 18-24 INCH</v>
      </c>
      <c r="B1524" s="19">
        <v>787.03099999999995</v>
      </c>
      <c r="C1524" s="20" t="s">
        <v>2815</v>
      </c>
      <c r="D1524" s="20" t="s">
        <v>2</v>
      </c>
    </row>
    <row r="1525" spans="1:4">
      <c r="A1525" s="18" t="str">
        <f t="shared" si="23"/>
        <v>787.037 PINE - MUGO DWARF 12-15 INCHES</v>
      </c>
      <c r="B1525" s="21">
        <v>787.03700000000003</v>
      </c>
      <c r="C1525" s="22" t="s">
        <v>2816</v>
      </c>
      <c r="D1525" s="22" t="s">
        <v>2</v>
      </c>
    </row>
    <row r="1526" spans="1:4" s="26" customFormat="1">
      <c r="A1526" s="18" t="str">
        <f t="shared" si="23"/>
        <v>787.043 RHODO - 'BOULE DE NEIGE' 18-24 INCH</v>
      </c>
      <c r="B1526" s="19">
        <v>787.04300000000001</v>
      </c>
      <c r="C1526" s="20" t="s">
        <v>2817</v>
      </c>
      <c r="D1526" s="20" t="s">
        <v>2</v>
      </c>
    </row>
    <row r="1527" spans="1:4">
      <c r="A1527" s="18" t="str">
        <f t="shared" si="23"/>
        <v>787.045 RHODO - 'BOULE DE NEIGE' 24-30 INCH</v>
      </c>
      <c r="B1527" s="21">
        <v>787.04499999999996</v>
      </c>
      <c r="C1527" s="22" t="s">
        <v>2818</v>
      </c>
      <c r="D1527" s="22" t="s">
        <v>2</v>
      </c>
    </row>
    <row r="1528" spans="1:4" s="26" customFormat="1">
      <c r="A1528" s="18" t="str">
        <f t="shared" si="23"/>
        <v>787.047 RHODO - CAROLINA 18-24 INCH</v>
      </c>
      <c r="B1528" s="21">
        <v>787.04700000000003</v>
      </c>
      <c r="C1528" s="22" t="s">
        <v>2819</v>
      </c>
      <c r="D1528" s="22" t="s">
        <v>2</v>
      </c>
    </row>
    <row r="1529" spans="1:4">
      <c r="A1529" s="18" t="str">
        <f t="shared" si="23"/>
        <v>787.049 RHODO - CAROLINA 24-30 INCH</v>
      </c>
      <c r="B1529" s="19">
        <v>787.04899999999998</v>
      </c>
      <c r="C1529" s="20" t="s">
        <v>2820</v>
      </c>
      <c r="D1529" s="20" t="s">
        <v>2</v>
      </c>
    </row>
    <row r="1530" spans="1:4" s="26" customFormat="1">
      <c r="A1530" s="18" t="str">
        <f t="shared" si="23"/>
        <v>787.051 RHODO - 'CHIONOIDES' 18-24 INCH</v>
      </c>
      <c r="B1530" s="19">
        <v>787.05100000000004</v>
      </c>
      <c r="C1530" s="20" t="s">
        <v>2821</v>
      </c>
      <c r="D1530" s="20" t="s">
        <v>2</v>
      </c>
    </row>
    <row r="1531" spans="1:4">
      <c r="A1531" s="18" t="str">
        <f t="shared" si="23"/>
        <v>787.053 RHODO - 'CHIONOIDES' 24-30 INCH</v>
      </c>
      <c r="B1531" s="21">
        <v>787.053</v>
      </c>
      <c r="C1531" s="22" t="s">
        <v>2822</v>
      </c>
      <c r="D1531" s="22" t="s">
        <v>2</v>
      </c>
    </row>
    <row r="1532" spans="1:4" s="26" customFormat="1">
      <c r="A1532" s="18" t="str">
        <f t="shared" si="23"/>
        <v>787.055 RHODO - CUNNINGHAM WHITE 18-24 INCH</v>
      </c>
      <c r="B1532" s="19">
        <v>787.05499999999995</v>
      </c>
      <c r="C1532" s="20" t="s">
        <v>2823</v>
      </c>
      <c r="D1532" s="20" t="s">
        <v>2</v>
      </c>
    </row>
    <row r="1533" spans="1:4">
      <c r="A1533" s="18" t="str">
        <f t="shared" si="23"/>
        <v>787.057 RHODO - CUNNINGHAM WHITE 24-30 INCH</v>
      </c>
      <c r="B1533" s="21">
        <v>787.05700000000002</v>
      </c>
      <c r="C1533" s="22" t="s">
        <v>2824</v>
      </c>
      <c r="D1533" s="22" t="s">
        <v>2</v>
      </c>
    </row>
    <row r="1534" spans="1:4" s="26" customFormat="1">
      <c r="A1534" s="18" t="str">
        <f t="shared" si="23"/>
        <v>787.059 RHODO - ENGLISH ROSEUM 18-24 INCH</v>
      </c>
      <c r="B1534" s="19">
        <v>787.05899999999997</v>
      </c>
      <c r="C1534" s="20" t="s">
        <v>2825</v>
      </c>
      <c r="D1534" s="20" t="s">
        <v>2</v>
      </c>
    </row>
    <row r="1535" spans="1:4">
      <c r="A1535" s="18" t="str">
        <f t="shared" si="23"/>
        <v>787.061 RHODO - ENGLISH ROSEUM 24-30 INCH</v>
      </c>
      <c r="B1535" s="19">
        <v>787.06100000000004</v>
      </c>
      <c r="C1535" s="20" t="s">
        <v>2826</v>
      </c>
      <c r="D1535" s="20" t="s">
        <v>2</v>
      </c>
    </row>
    <row r="1536" spans="1:4" s="26" customFormat="1">
      <c r="A1536" s="18" t="str">
        <f t="shared" si="23"/>
        <v>787.063 RHODO - NOVA ZEMBLA 18-24 INCH</v>
      </c>
      <c r="B1536" s="21">
        <v>787.06299999999999</v>
      </c>
      <c r="C1536" s="22" t="s">
        <v>2827</v>
      </c>
      <c r="D1536" s="22" t="s">
        <v>2</v>
      </c>
    </row>
    <row r="1537" spans="1:4">
      <c r="A1537" s="18" t="str">
        <f t="shared" si="23"/>
        <v>787.065 RHODO - NOVA ZEMBLA 24-30 INCH</v>
      </c>
      <c r="B1537" s="21">
        <v>787.06500000000005</v>
      </c>
      <c r="C1537" s="22" t="s">
        <v>2828</v>
      </c>
      <c r="D1537" s="22" t="s">
        <v>2</v>
      </c>
    </row>
    <row r="1538" spans="1:4" s="26" customFormat="1">
      <c r="A1538" s="18" t="str">
        <f t="shared" ref="A1538:A1601" si="24">B1538&amp;" "&amp;C1538</f>
        <v>787.067 RHODO - PJM 18-24 INCH</v>
      </c>
      <c r="B1538" s="19">
        <v>787.06700000000001</v>
      </c>
      <c r="C1538" s="20" t="s">
        <v>2829</v>
      </c>
      <c r="D1538" s="20" t="s">
        <v>2</v>
      </c>
    </row>
    <row r="1539" spans="1:4">
      <c r="A1539" s="18" t="str">
        <f t="shared" si="24"/>
        <v>787.069 RHODO - PJM 24-30 INCH</v>
      </c>
      <c r="B1539" s="21">
        <v>787.06899999999996</v>
      </c>
      <c r="C1539" s="22" t="s">
        <v>2830</v>
      </c>
      <c r="D1539" s="22" t="s">
        <v>2</v>
      </c>
    </row>
    <row r="1540" spans="1:4" s="26" customFormat="1">
      <c r="A1540" s="18" t="str">
        <f t="shared" si="24"/>
        <v>787.071 RHODO - 'PJM AGLO' 18-24 INCH</v>
      </c>
      <c r="B1540" s="19">
        <v>787.07100000000003</v>
      </c>
      <c r="C1540" s="20" t="s">
        <v>2831</v>
      </c>
      <c r="D1540" s="20" t="s">
        <v>2</v>
      </c>
    </row>
    <row r="1541" spans="1:4">
      <c r="A1541" s="18" t="str">
        <f t="shared" si="24"/>
        <v>787.073 RHODO - 'PJM AGLO' 24-30 INCH</v>
      </c>
      <c r="B1541" s="21">
        <v>787.07299999999998</v>
      </c>
      <c r="C1541" s="22" t="s">
        <v>2832</v>
      </c>
      <c r="D1541" s="22" t="s">
        <v>2</v>
      </c>
    </row>
    <row r="1542" spans="1:4" s="26" customFormat="1">
      <c r="A1542" s="18" t="str">
        <f t="shared" si="24"/>
        <v>787.075 RHODO - 'PJM OLGA' 18-24 INCH</v>
      </c>
      <c r="B1542" s="21">
        <v>787.07500000000005</v>
      </c>
      <c r="C1542" s="22" t="s">
        <v>2833</v>
      </c>
      <c r="D1542" s="22" t="s">
        <v>2</v>
      </c>
    </row>
    <row r="1543" spans="1:4">
      <c r="A1543" s="18" t="str">
        <f t="shared" si="24"/>
        <v>787.077 RHODO - 'PJM OLGA' 24-30 INCH</v>
      </c>
      <c r="B1543" s="19">
        <v>787.077</v>
      </c>
      <c r="C1543" s="20" t="s">
        <v>2834</v>
      </c>
      <c r="D1543" s="20" t="s">
        <v>2</v>
      </c>
    </row>
    <row r="1544" spans="1:4" s="26" customFormat="1">
      <c r="A1544" s="18" t="str">
        <f t="shared" si="24"/>
        <v>787.079 RHODO - ROSEBAY 18-24 INCH</v>
      </c>
      <c r="B1544" s="21">
        <v>787.07899999999995</v>
      </c>
      <c r="C1544" s="22" t="s">
        <v>2835</v>
      </c>
      <c r="D1544" s="22" t="s">
        <v>2</v>
      </c>
    </row>
    <row r="1545" spans="1:4">
      <c r="A1545" s="18" t="str">
        <f t="shared" si="24"/>
        <v>787.081 RHODO - ROSEBAY 24-30 INCH</v>
      </c>
      <c r="B1545" s="19">
        <v>787.08100000000002</v>
      </c>
      <c r="C1545" s="20" t="s">
        <v>2836</v>
      </c>
      <c r="D1545" s="20" t="s">
        <v>2</v>
      </c>
    </row>
    <row r="1546" spans="1:4" s="26" customFormat="1">
      <c r="A1546" s="18" t="str">
        <f t="shared" si="24"/>
        <v>787.083 RHODO - 'ROSEUM ELEGANS' 18-24 INCH</v>
      </c>
      <c r="B1546" s="21">
        <v>787.08299999999997</v>
      </c>
      <c r="C1546" s="22" t="s">
        <v>2837</v>
      </c>
      <c r="D1546" s="22" t="s">
        <v>2</v>
      </c>
    </row>
    <row r="1547" spans="1:4">
      <c r="A1547" s="18" t="str">
        <f t="shared" si="24"/>
        <v>787.085 RHODO - 'ROSEUM ELEGANS' 24-30 INCH</v>
      </c>
      <c r="B1547" s="19">
        <v>787.08500000000004</v>
      </c>
      <c r="C1547" s="20" t="s">
        <v>2838</v>
      </c>
      <c r="D1547" s="20" t="s">
        <v>2</v>
      </c>
    </row>
    <row r="1548" spans="1:4" s="26" customFormat="1">
      <c r="A1548" s="18" t="str">
        <f t="shared" si="24"/>
        <v>787.087 RHODO - WILSON 15-18 INCH</v>
      </c>
      <c r="B1548" s="19">
        <v>787.08699999999999</v>
      </c>
      <c r="C1548" s="20" t="s">
        <v>2839</v>
      </c>
      <c r="D1548" s="20" t="s">
        <v>2</v>
      </c>
    </row>
    <row r="1549" spans="1:4">
      <c r="A1549" s="18" t="str">
        <f t="shared" si="24"/>
        <v>787.089 RHODO - WILSON 18-21 INCH</v>
      </c>
      <c r="B1549" s="19">
        <v>787.08900000000006</v>
      </c>
      <c r="C1549" s="20" t="s">
        <v>2840</v>
      </c>
      <c r="D1549" s="20" t="s">
        <v>2</v>
      </c>
    </row>
    <row r="1550" spans="1:4" s="26" customFormat="1">
      <c r="A1550" s="18" t="str">
        <f t="shared" si="24"/>
        <v>787.091 RHODO - YAKU 'PRINCE' 12-15 INCHES</v>
      </c>
      <c r="B1550" s="19">
        <v>787.09100000000001</v>
      </c>
      <c r="C1550" s="20" t="s">
        <v>2841</v>
      </c>
      <c r="D1550" s="20" t="s">
        <v>2</v>
      </c>
    </row>
    <row r="1551" spans="1:4">
      <c r="A1551" s="18" t="str">
        <f t="shared" si="24"/>
        <v>787.093 RHODO - YAKU 'PRINCESS' 12-15 INCHES</v>
      </c>
      <c r="B1551" s="21">
        <v>787.09299999999996</v>
      </c>
      <c r="C1551" s="22" t="s">
        <v>2842</v>
      </c>
      <c r="D1551" s="22" t="s">
        <v>2</v>
      </c>
    </row>
    <row r="1552" spans="1:4" s="26" customFormat="1">
      <c r="A1552" s="18" t="str">
        <f t="shared" si="24"/>
        <v>787.097 SPRUCE - BIRD'S NEST 18-24 INCH SPREAD</v>
      </c>
      <c r="B1552" s="21">
        <v>787.09699999999998</v>
      </c>
      <c r="C1552" s="22" t="s">
        <v>2843</v>
      </c>
      <c r="D1552" s="22" t="s">
        <v>2</v>
      </c>
    </row>
    <row r="1553" spans="1:4">
      <c r="A1553" s="18" t="str">
        <f t="shared" si="24"/>
        <v>787.183 YEW - COLUMNAR ENGLISH 3-4 FEET</v>
      </c>
      <c r="B1553" s="19">
        <v>787.18299999999999</v>
      </c>
      <c r="C1553" s="20" t="s">
        <v>2844</v>
      </c>
      <c r="D1553" s="20" t="s">
        <v>2</v>
      </c>
    </row>
    <row r="1554" spans="1:4" s="26" customFormat="1">
      <c r="A1554" s="18" t="str">
        <f t="shared" si="24"/>
        <v>787.231 YEW - HATFIELD 18-24 INCH</v>
      </c>
      <c r="B1554" s="21">
        <v>787.23099999999999</v>
      </c>
      <c r="C1554" s="22" t="s">
        <v>2845</v>
      </c>
      <c r="D1554" s="22" t="s">
        <v>2</v>
      </c>
    </row>
    <row r="1555" spans="1:4">
      <c r="A1555" s="18" t="str">
        <f t="shared" si="24"/>
        <v>787.233 YEW - HATFIELD 2-3 FEET</v>
      </c>
      <c r="B1555" s="21">
        <v>787.23299999999995</v>
      </c>
      <c r="C1555" s="22" t="s">
        <v>2846</v>
      </c>
      <c r="D1555" s="22" t="s">
        <v>2</v>
      </c>
    </row>
    <row r="1556" spans="1:4" s="26" customFormat="1">
      <c r="A1556" s="18" t="str">
        <f t="shared" si="24"/>
        <v>787.241 YEW - HICK'S 18-24 INCH HEAVY</v>
      </c>
      <c r="B1556" s="19">
        <v>787.24099999999999</v>
      </c>
      <c r="C1556" s="20" t="s">
        <v>2847</v>
      </c>
      <c r="D1556" s="20" t="s">
        <v>2</v>
      </c>
    </row>
    <row r="1557" spans="1:4">
      <c r="A1557" s="18" t="str">
        <f t="shared" si="24"/>
        <v>787.245 YEW - HICK'S 30-36 INCH</v>
      </c>
      <c r="B1557" s="19">
        <v>787.245</v>
      </c>
      <c r="C1557" s="20" t="s">
        <v>2848</v>
      </c>
      <c r="D1557" s="20" t="s">
        <v>2</v>
      </c>
    </row>
    <row r="1558" spans="1:4" s="26" customFormat="1">
      <c r="A1558" s="18" t="str">
        <f t="shared" si="24"/>
        <v>787.253 YEW - SPREADING DENSE 18-24 INCH HEAVY</v>
      </c>
      <c r="B1558" s="21">
        <v>787.25300000000004</v>
      </c>
      <c r="C1558" s="22" t="s">
        <v>2849</v>
      </c>
      <c r="D1558" s="22" t="s">
        <v>2</v>
      </c>
    </row>
    <row r="1559" spans="1:4">
      <c r="A1559" s="18" t="str">
        <f t="shared" si="24"/>
        <v>787.255 YEW - SPREADING DENSE 24-30 INCH</v>
      </c>
      <c r="B1559" s="21">
        <v>787.255</v>
      </c>
      <c r="C1559" s="22" t="s">
        <v>1500</v>
      </c>
      <c r="D1559" s="22" t="s">
        <v>2</v>
      </c>
    </row>
    <row r="1560" spans="1:4" s="26" customFormat="1">
      <c r="A1560" s="18" t="str">
        <f t="shared" si="24"/>
        <v>787.263 YEW - SPREADING ENGLISH 24-30 INCH SPREAD</v>
      </c>
      <c r="B1560" s="21">
        <v>787.26300000000003</v>
      </c>
      <c r="C1560" s="22" t="s">
        <v>1439</v>
      </c>
      <c r="D1560" s="22" t="s">
        <v>2</v>
      </c>
    </row>
    <row r="1561" spans="1:4">
      <c r="A1561" s="18" t="str">
        <f t="shared" si="24"/>
        <v>787.321 YEW - SPREADING JAPANESE 15-18 INCH</v>
      </c>
      <c r="B1561" s="21">
        <v>787.32100000000003</v>
      </c>
      <c r="C1561" s="22" t="s">
        <v>2850</v>
      </c>
      <c r="D1561" s="22" t="s">
        <v>2</v>
      </c>
    </row>
    <row r="1562" spans="1:4" s="26" customFormat="1">
      <c r="A1562" s="18" t="str">
        <f t="shared" si="24"/>
        <v>787.331 YEW - SPREADING JAPANESE 18-24 INCH</v>
      </c>
      <c r="B1562" s="19">
        <v>787.33100000000002</v>
      </c>
      <c r="C1562" s="20" t="s">
        <v>2851</v>
      </c>
      <c r="D1562" s="20" t="s">
        <v>2</v>
      </c>
    </row>
    <row r="1563" spans="1:4">
      <c r="A1563" s="18" t="str">
        <f t="shared" si="24"/>
        <v>787.421 YEW - UPRIGHT JAPANESE 15-18 INCH</v>
      </c>
      <c r="B1563" s="19">
        <v>787.42100000000005</v>
      </c>
      <c r="C1563" s="20" t="s">
        <v>2852</v>
      </c>
      <c r="D1563" s="20" t="s">
        <v>2</v>
      </c>
    </row>
    <row r="1564" spans="1:4" s="26" customFormat="1">
      <c r="A1564" s="18" t="str">
        <f t="shared" si="24"/>
        <v>787.431 YEW - UPRIGHT JAPANESE 18-24 INCH</v>
      </c>
      <c r="B1564" s="21">
        <v>787.43100000000004</v>
      </c>
      <c r="C1564" s="22" t="s">
        <v>2853</v>
      </c>
      <c r="D1564" s="22" t="s">
        <v>2</v>
      </c>
    </row>
    <row r="1565" spans="1:4">
      <c r="A1565" s="18" t="str">
        <f t="shared" si="24"/>
        <v>788.013 ALDER SHRUB - SPECKLED 2 GALLON</v>
      </c>
      <c r="B1565" s="19">
        <v>788.01300000000003</v>
      </c>
      <c r="C1565" s="20" t="s">
        <v>468</v>
      </c>
      <c r="D1565" s="20" t="s">
        <v>2</v>
      </c>
    </row>
    <row r="1566" spans="1:4" s="26" customFormat="1">
      <c r="A1566" s="18" t="str">
        <f t="shared" si="24"/>
        <v>788.131 ARALIA - FIVELEAF 18-24 INCH</v>
      </c>
      <c r="B1566" s="19">
        <v>788.13099999999997</v>
      </c>
      <c r="C1566" s="20" t="s">
        <v>2854</v>
      </c>
      <c r="D1566" s="20" t="s">
        <v>2</v>
      </c>
    </row>
    <row r="1567" spans="1:4">
      <c r="A1567" s="18" t="str">
        <f t="shared" si="24"/>
        <v>788.133 ARALIA - FIVELEAF 2-3 FEET</v>
      </c>
      <c r="B1567" s="19">
        <v>788.13300000000004</v>
      </c>
      <c r="C1567" s="20" t="s">
        <v>2855</v>
      </c>
      <c r="D1567" s="20" t="s">
        <v>2</v>
      </c>
    </row>
    <row r="1568" spans="1:4" s="26" customFormat="1">
      <c r="A1568" s="18" t="str">
        <f t="shared" si="24"/>
        <v>788.205 AZALEA - 'BLAAUW'S PINK' 18-24 INCHES</v>
      </c>
      <c r="B1568" s="21">
        <v>788.20500000000004</v>
      </c>
      <c r="C1568" s="22" t="s">
        <v>2856</v>
      </c>
      <c r="D1568" s="22" t="s">
        <v>2</v>
      </c>
    </row>
    <row r="1569" spans="1:4">
      <c r="A1569" s="18" t="str">
        <f t="shared" si="24"/>
        <v>788.209 AZALEA - 'CORAL BELLS' 18-24 INCHES</v>
      </c>
      <c r="B1569" s="21">
        <v>788.20899999999995</v>
      </c>
      <c r="C1569" s="22" t="s">
        <v>2857</v>
      </c>
      <c r="D1569" s="22" t="s">
        <v>2</v>
      </c>
    </row>
    <row r="1570" spans="1:4" s="26" customFormat="1">
      <c r="A1570" s="18" t="str">
        <f t="shared" si="24"/>
        <v>788.213 AZALEA - CORNELL PINK 18-24 INCH</v>
      </c>
      <c r="B1570" s="19">
        <v>788.21299999999997</v>
      </c>
      <c r="C1570" s="20" t="s">
        <v>2858</v>
      </c>
      <c r="D1570" s="20" t="s">
        <v>2</v>
      </c>
    </row>
    <row r="1571" spans="1:4">
      <c r="A1571" s="18" t="str">
        <f t="shared" si="24"/>
        <v>788.217 AZALEA - 'DEL VALLEY WHITE' 18-24 INCH</v>
      </c>
      <c r="B1571" s="21">
        <v>788.21699999999998</v>
      </c>
      <c r="C1571" s="22" t="s">
        <v>2859</v>
      </c>
      <c r="D1571" s="22" t="s">
        <v>2</v>
      </c>
    </row>
    <row r="1572" spans="1:4" s="26" customFormat="1">
      <c r="A1572" s="18" t="str">
        <f t="shared" si="24"/>
        <v>788.221 AZALEA - 'ELIZABETH GABLE' 18-24 INCH</v>
      </c>
      <c r="B1572" s="21">
        <v>788.221</v>
      </c>
      <c r="C1572" s="22" t="s">
        <v>2860</v>
      </c>
      <c r="D1572" s="22" t="s">
        <v>2</v>
      </c>
    </row>
    <row r="1573" spans="1:4">
      <c r="A1573" s="18" t="str">
        <f t="shared" si="24"/>
        <v>788.225 AZALEA - 'GIRARD'S ROSE' 18-24 INCH</v>
      </c>
      <c r="B1573" s="19">
        <v>788.22500000000002</v>
      </c>
      <c r="C1573" s="20" t="s">
        <v>2861</v>
      </c>
      <c r="D1573" s="20" t="s">
        <v>2</v>
      </c>
    </row>
    <row r="1574" spans="1:4" s="26" customFormat="1">
      <c r="A1574" s="18" t="str">
        <f t="shared" si="24"/>
        <v>788.229 AZALEA - 'HINO CRIMSON' 18-24 INCH</v>
      </c>
      <c r="B1574" s="19">
        <v>788.22900000000004</v>
      </c>
      <c r="C1574" s="20" t="s">
        <v>2862</v>
      </c>
      <c r="D1574" s="20" t="s">
        <v>2</v>
      </c>
    </row>
    <row r="1575" spans="1:4">
      <c r="A1575" s="18" t="str">
        <f t="shared" si="24"/>
        <v>788.233 AZALEA - KOREAN COMPACT 18-24 INCH</v>
      </c>
      <c r="B1575" s="19">
        <v>788.23299999999995</v>
      </c>
      <c r="C1575" s="20" t="s">
        <v>2863</v>
      </c>
      <c r="D1575" s="20" t="s">
        <v>2</v>
      </c>
    </row>
    <row r="1576" spans="1:4" s="26" customFormat="1">
      <c r="A1576" s="18" t="str">
        <f t="shared" si="24"/>
        <v>788.237 AZALEA - 'MOTHER'S DAY' 18-24 INCH</v>
      </c>
      <c r="B1576" s="21">
        <v>788.23699999999997</v>
      </c>
      <c r="C1576" s="22" t="s">
        <v>2864</v>
      </c>
      <c r="D1576" s="22" t="s">
        <v>2</v>
      </c>
    </row>
    <row r="1577" spans="1:4">
      <c r="A1577" s="18" t="str">
        <f t="shared" si="24"/>
        <v>788.239 AZALEA - PINKSHELL 18-24 INCH</v>
      </c>
      <c r="B1577" s="21">
        <v>788.23900000000003</v>
      </c>
      <c r="C1577" s="22" t="s">
        <v>2865</v>
      </c>
      <c r="D1577" s="22" t="s">
        <v>2</v>
      </c>
    </row>
    <row r="1578" spans="1:4" s="26" customFormat="1">
      <c r="A1578" s="18" t="str">
        <f t="shared" si="24"/>
        <v>788.245 AZALEA - 'ROEHR'S TRADITION' 18-24 INCH</v>
      </c>
      <c r="B1578" s="19">
        <v>788.245</v>
      </c>
      <c r="C1578" s="20" t="s">
        <v>2866</v>
      </c>
      <c r="D1578" s="20" t="s">
        <v>2</v>
      </c>
    </row>
    <row r="1579" spans="1:4">
      <c r="A1579" s="18" t="str">
        <f t="shared" si="24"/>
        <v>788.249 AZALEA - 'ROSEBUD' 18-24 INCH</v>
      </c>
      <c r="B1579" s="21">
        <v>788.24900000000002</v>
      </c>
      <c r="C1579" s="22" t="s">
        <v>2867</v>
      </c>
      <c r="D1579" s="22" t="s">
        <v>2</v>
      </c>
    </row>
    <row r="1580" spans="1:4" s="26" customFormat="1">
      <c r="A1580" s="18" t="str">
        <f t="shared" si="24"/>
        <v>788.253 AZALEA - ROYAL 18-24 INCH</v>
      </c>
      <c r="B1580" s="19">
        <v>788.25300000000004</v>
      </c>
      <c r="C1580" s="20" t="s">
        <v>2868</v>
      </c>
      <c r="D1580" s="20" t="s">
        <v>2</v>
      </c>
    </row>
    <row r="1581" spans="1:4">
      <c r="A1581" s="18" t="str">
        <f t="shared" si="24"/>
        <v>788.257 AZALEA - 'SALMON SPRAY' 18-24 INCH</v>
      </c>
      <c r="B1581" s="21">
        <v>788.25699999999995</v>
      </c>
      <c r="C1581" s="22" t="s">
        <v>2869</v>
      </c>
      <c r="D1581" s="22" t="s">
        <v>2</v>
      </c>
    </row>
    <row r="1582" spans="1:4" s="26" customFormat="1">
      <c r="A1582" s="18" t="str">
        <f t="shared" si="24"/>
        <v>788.261 AZALEA - 'STEWARTSONIAN' 18-24 INCH</v>
      </c>
      <c r="B1582" s="21">
        <v>788.26099999999997</v>
      </c>
      <c r="C1582" s="22" t="s">
        <v>2870</v>
      </c>
      <c r="D1582" s="22" t="s">
        <v>2</v>
      </c>
    </row>
    <row r="1583" spans="1:4">
      <c r="A1583" s="18" t="str">
        <f t="shared" si="24"/>
        <v>788.263 AZALEA - SWAMP 18-24 INCH</v>
      </c>
      <c r="B1583" s="19">
        <v>788.26300000000003</v>
      </c>
      <c r="C1583" s="20" t="s">
        <v>2871</v>
      </c>
      <c r="D1583" s="20" t="s">
        <v>2</v>
      </c>
    </row>
    <row r="1584" spans="1:4" s="26" customFormat="1">
      <c r="A1584" s="18" t="str">
        <f t="shared" si="24"/>
        <v>788.265 AZALEA - SWAMP 2-3 FEET</v>
      </c>
      <c r="B1584" s="21">
        <v>788.26499999999999</v>
      </c>
      <c r="C1584" s="22" t="s">
        <v>2872</v>
      </c>
      <c r="D1584" s="22" t="s">
        <v>2</v>
      </c>
    </row>
    <row r="1585" spans="1:4">
      <c r="A1585" s="18" t="str">
        <f t="shared" si="24"/>
        <v>789.321 BAYBERRY SHRUB - NORTHERN 15-18 INCH</v>
      </c>
      <c r="B1585" s="19">
        <v>789.32100000000003</v>
      </c>
      <c r="C1585" s="20" t="s">
        <v>2873</v>
      </c>
      <c r="D1585" s="20" t="s">
        <v>2</v>
      </c>
    </row>
    <row r="1586" spans="1:4" s="26" customFormat="1">
      <c r="A1586" s="18" t="str">
        <f t="shared" si="24"/>
        <v>789.331 BAYBERRY SHRUB - NORTHERN 18-24 INCH</v>
      </c>
      <c r="B1586" s="21">
        <v>789.33100000000002</v>
      </c>
      <c r="C1586" s="22" t="s">
        <v>2874</v>
      </c>
      <c r="D1586" s="22" t="s">
        <v>2</v>
      </c>
    </row>
    <row r="1587" spans="1:4">
      <c r="A1587" s="18" t="str">
        <f t="shared" si="24"/>
        <v>789.333 BAYBERRY SHRUB - NORTHERN 2-3 FEET</v>
      </c>
      <c r="B1587" s="19">
        <v>789.33299999999997</v>
      </c>
      <c r="C1587" s="20" t="s">
        <v>469</v>
      </c>
      <c r="D1587" s="20" t="s">
        <v>2</v>
      </c>
    </row>
    <row r="1588" spans="1:4" s="26" customFormat="1">
      <c r="A1588" s="18" t="str">
        <f t="shared" si="24"/>
        <v>789.431 BEACH PLUM SHRUB 18-24 INCH</v>
      </c>
      <c r="B1588" s="19">
        <v>789.43100000000004</v>
      </c>
      <c r="C1588" s="20" t="s">
        <v>2875</v>
      </c>
      <c r="D1588" s="20" t="s">
        <v>2</v>
      </c>
    </row>
    <row r="1589" spans="1:4">
      <c r="A1589" s="18" t="str">
        <f t="shared" si="24"/>
        <v>789.433 BEACH PLUM SHRUB 2-3 FEET</v>
      </c>
      <c r="B1589" s="19">
        <v>789.43299999999999</v>
      </c>
      <c r="C1589" s="20" t="s">
        <v>2876</v>
      </c>
      <c r="D1589" s="20" t="s">
        <v>2</v>
      </c>
    </row>
    <row r="1590" spans="1:4" s="26" customFormat="1">
      <c r="A1590" s="18" t="str">
        <f t="shared" si="24"/>
        <v>789.631 BLUEBERRY - HIGHBUSH 18-24 INCH</v>
      </c>
      <c r="B1590" s="19">
        <v>789.63099999999997</v>
      </c>
      <c r="C1590" s="20" t="s">
        <v>2877</v>
      </c>
      <c r="D1590" s="20" t="s">
        <v>2</v>
      </c>
    </row>
    <row r="1591" spans="1:4">
      <c r="A1591" s="18" t="str">
        <f t="shared" si="24"/>
        <v>789.633 BLUEBERRY - HIGHBUSH 2-3 FEET</v>
      </c>
      <c r="B1591" s="21">
        <v>789.63300000000004</v>
      </c>
      <c r="C1591" s="22" t="s">
        <v>470</v>
      </c>
      <c r="D1591" s="22" t="s">
        <v>2</v>
      </c>
    </row>
    <row r="1592" spans="1:4" s="26" customFormat="1">
      <c r="A1592" s="18" t="str">
        <f t="shared" si="24"/>
        <v>789.669 BLUEBERRY - LOWBUSH 6-9 INCH HEIGHT</v>
      </c>
      <c r="B1592" s="19">
        <v>789.66899999999998</v>
      </c>
      <c r="C1592" s="20" t="s">
        <v>2878</v>
      </c>
      <c r="D1592" s="20" t="s">
        <v>2</v>
      </c>
    </row>
    <row r="1593" spans="1:4">
      <c r="A1593" s="18" t="str">
        <f t="shared" si="24"/>
        <v>789.713 BUCKEYE - BOTTLEBRUSH 2-3 FEET</v>
      </c>
      <c r="B1593" s="21">
        <v>789.71299999999997</v>
      </c>
      <c r="C1593" s="22" t="s">
        <v>2879</v>
      </c>
      <c r="D1593" s="22" t="s">
        <v>2</v>
      </c>
    </row>
    <row r="1594" spans="1:4" s="26" customFormat="1">
      <c r="A1594" s="18" t="str">
        <f t="shared" si="24"/>
        <v>789.725 BUTTERFLY BUSH 24-36 INCHES</v>
      </c>
      <c r="B1594" s="21">
        <v>789.72500000000002</v>
      </c>
      <c r="C1594" s="22" t="s">
        <v>2880</v>
      </c>
      <c r="D1594" s="22" t="s">
        <v>2</v>
      </c>
    </row>
    <row r="1595" spans="1:4">
      <c r="A1595" s="18" t="str">
        <f t="shared" si="24"/>
        <v>789.817 CINQUEFOIL - ABBOTSWOOD 2-3 FEET</v>
      </c>
      <c r="B1595" s="21">
        <v>789.81700000000001</v>
      </c>
      <c r="C1595" s="22" t="s">
        <v>2881</v>
      </c>
      <c r="D1595" s="22" t="s">
        <v>2</v>
      </c>
    </row>
    <row r="1596" spans="1:4" s="26" customFormat="1">
      <c r="A1596" s="18" t="str">
        <f t="shared" si="24"/>
        <v>789.823 CINQUEFOIL - JACKMAN'S 12-15 INCHES</v>
      </c>
      <c r="B1596" s="21">
        <v>789.82299999999998</v>
      </c>
      <c r="C1596" s="22" t="s">
        <v>2882</v>
      </c>
      <c r="D1596" s="22" t="s">
        <v>2</v>
      </c>
    </row>
    <row r="1597" spans="1:4">
      <c r="A1597" s="18" t="str">
        <f t="shared" si="24"/>
        <v>789.827 CINQUEFOIL - JACKMAN'S 2-3 FEET</v>
      </c>
      <c r="B1597" s="19">
        <v>789.827</v>
      </c>
      <c r="C1597" s="20" t="s">
        <v>2883</v>
      </c>
      <c r="D1597" s="20" t="s">
        <v>2</v>
      </c>
    </row>
    <row r="1598" spans="1:4" s="26" customFormat="1">
      <c r="A1598" s="18" t="str">
        <f t="shared" si="24"/>
        <v>789.835 CINQUEFOIL - KATHERINE DYKES 2-3 FEET</v>
      </c>
      <c r="B1598" s="21">
        <v>789.83500000000004</v>
      </c>
      <c r="C1598" s="22" t="s">
        <v>2884</v>
      </c>
      <c r="D1598" s="22" t="s">
        <v>2</v>
      </c>
    </row>
    <row r="1599" spans="1:4">
      <c r="A1599" s="18" t="str">
        <f t="shared" si="24"/>
        <v>790.033 CORALBERRY SHRUB 2-3 FEET</v>
      </c>
      <c r="B1599" s="19">
        <v>790.03300000000002</v>
      </c>
      <c r="C1599" s="20" t="s">
        <v>2885</v>
      </c>
      <c r="D1599" s="20" t="s">
        <v>2</v>
      </c>
    </row>
    <row r="1600" spans="1:4" s="26" customFormat="1">
      <c r="A1600" s="18" t="str">
        <f t="shared" si="24"/>
        <v>790.133 CORALBERRY SHRUB-CHENAULT 2-3 FEET</v>
      </c>
      <c r="B1600" s="19">
        <v>790.13300000000004</v>
      </c>
      <c r="C1600" s="20" t="s">
        <v>2886</v>
      </c>
      <c r="D1600" s="20" t="s">
        <v>2</v>
      </c>
    </row>
    <row r="1601" spans="1:4">
      <c r="A1601" s="18" t="str">
        <f t="shared" si="24"/>
        <v>790.261 CORNELIANCHERRY 18-24 INCH</v>
      </c>
      <c r="B1601" s="21">
        <v>790.26099999999997</v>
      </c>
      <c r="C1601" s="22" t="s">
        <v>2887</v>
      </c>
      <c r="D1601" s="22" t="s">
        <v>2</v>
      </c>
    </row>
    <row r="1602" spans="1:4" s="26" customFormat="1">
      <c r="A1602" s="18" t="str">
        <f t="shared" ref="A1602:A1665" si="25">B1602&amp;" "&amp;C1602</f>
        <v>790.263 CORNELIANCHERRY 2-3 FEET</v>
      </c>
      <c r="B1602" s="21">
        <v>790.26300000000003</v>
      </c>
      <c r="C1602" s="22" t="s">
        <v>2888</v>
      </c>
      <c r="D1602" s="22" t="s">
        <v>2</v>
      </c>
    </row>
    <row r="1603" spans="1:4">
      <c r="A1603" s="18" t="str">
        <f t="shared" si="25"/>
        <v>790.327 COTONEASTER - CRANBERRY 18-24 INCH</v>
      </c>
      <c r="B1603" s="19">
        <v>790.327</v>
      </c>
      <c r="C1603" s="20" t="s">
        <v>2889</v>
      </c>
      <c r="D1603" s="20" t="s">
        <v>2</v>
      </c>
    </row>
    <row r="1604" spans="1:4" s="26" customFormat="1">
      <c r="A1604" s="18" t="str">
        <f t="shared" si="25"/>
        <v>790.329 COTONEASTER - ROCKSPRAY 18-24 INCH</v>
      </c>
      <c r="B1604" s="21">
        <v>790.32899999999995</v>
      </c>
      <c r="C1604" s="22" t="s">
        <v>2890</v>
      </c>
      <c r="D1604" s="22" t="s">
        <v>2</v>
      </c>
    </row>
    <row r="1605" spans="1:4">
      <c r="A1605" s="18" t="str">
        <f t="shared" si="25"/>
        <v>790.331 COTONEASTER - SPREADING 18-24 INCH</v>
      </c>
      <c r="B1605" s="19">
        <v>790.33100000000002</v>
      </c>
      <c r="C1605" s="20" t="s">
        <v>2891</v>
      </c>
      <c r="D1605" s="20" t="s">
        <v>2</v>
      </c>
    </row>
    <row r="1606" spans="1:4" s="26" customFormat="1">
      <c r="A1606" s="18" t="str">
        <f t="shared" si="25"/>
        <v>790.433 CRANBERRY BUSH - AMERICAN 2-3 FEET</v>
      </c>
      <c r="B1606" s="21">
        <v>790.43299999999999</v>
      </c>
      <c r="C1606" s="22" t="s">
        <v>2892</v>
      </c>
      <c r="D1606" s="22" t="s">
        <v>2</v>
      </c>
    </row>
    <row r="1607" spans="1:4">
      <c r="A1607" s="18" t="str">
        <f t="shared" si="25"/>
        <v>790.438 CRANBERRY - DWARF 12-15 INCH SPREAD</v>
      </c>
      <c r="B1607" s="19">
        <v>790.43799999999999</v>
      </c>
      <c r="C1607" s="20" t="s">
        <v>2893</v>
      </c>
      <c r="D1607" s="20" t="s">
        <v>2</v>
      </c>
    </row>
    <row r="1608" spans="1:4" s="26" customFormat="1">
      <c r="A1608" s="18" t="str">
        <f t="shared" si="25"/>
        <v>790.531 DOGWOOD - GRAY TWIG 18-24 INCH</v>
      </c>
      <c r="B1608" s="19">
        <v>790.53099999999995</v>
      </c>
      <c r="C1608" s="20" t="s">
        <v>471</v>
      </c>
      <c r="D1608" s="20" t="s">
        <v>2</v>
      </c>
    </row>
    <row r="1609" spans="1:4">
      <c r="A1609" s="18" t="str">
        <f t="shared" si="25"/>
        <v>790.533 DOGWOOD - GRAY TWIG 2-3 FEET</v>
      </c>
      <c r="B1609" s="19">
        <v>790.53300000000002</v>
      </c>
      <c r="C1609" s="20" t="s">
        <v>2894</v>
      </c>
      <c r="D1609" s="20" t="s">
        <v>2</v>
      </c>
    </row>
    <row r="1610" spans="1:4" s="26" customFormat="1">
      <c r="A1610" s="18" t="str">
        <f t="shared" si="25"/>
        <v>790.631 DOGWOOD - REDOSIER 18-24 INCH</v>
      </c>
      <c r="B1610" s="21">
        <v>790.63099999999997</v>
      </c>
      <c r="C1610" s="22" t="s">
        <v>2895</v>
      </c>
      <c r="D1610" s="22" t="s">
        <v>2</v>
      </c>
    </row>
    <row r="1611" spans="1:4">
      <c r="A1611" s="18" t="str">
        <f t="shared" si="25"/>
        <v>790.633 DOGWOOD - REDOSIER 2-3 FEET</v>
      </c>
      <c r="B1611" s="19">
        <v>790.63300000000004</v>
      </c>
      <c r="C1611" s="20" t="s">
        <v>2896</v>
      </c>
      <c r="D1611" s="20" t="s">
        <v>2</v>
      </c>
    </row>
    <row r="1612" spans="1:4" s="26" customFormat="1">
      <c r="A1612" s="18" t="str">
        <f t="shared" si="25"/>
        <v>790.643 DOGWOOD - SIBERIAN 2-3 FEET</v>
      </c>
      <c r="B1612" s="21">
        <v>790.64300000000003</v>
      </c>
      <c r="C1612" s="22" t="s">
        <v>2897</v>
      </c>
      <c r="D1612" s="22" t="s">
        <v>2</v>
      </c>
    </row>
    <row r="1613" spans="1:4">
      <c r="A1613" s="18" t="str">
        <f t="shared" si="25"/>
        <v>790.719 DOGWOOD - SILKY 2-3 FEET</v>
      </c>
      <c r="B1613" s="21">
        <v>790.71900000000005</v>
      </c>
      <c r="C1613" s="22" t="s">
        <v>472</v>
      </c>
      <c r="D1613" s="22" t="s">
        <v>2</v>
      </c>
    </row>
    <row r="1614" spans="1:4" s="26" customFormat="1">
      <c r="A1614" s="18" t="str">
        <f t="shared" si="25"/>
        <v>790.733 DOGWOOD - YELLOW TWIG 2-3 FEET</v>
      </c>
      <c r="B1614" s="21">
        <v>790.73299999999995</v>
      </c>
      <c r="C1614" s="22" t="s">
        <v>2898</v>
      </c>
      <c r="D1614" s="22" t="s">
        <v>2</v>
      </c>
    </row>
    <row r="1615" spans="1:4">
      <c r="A1615" s="18" t="str">
        <f t="shared" si="25"/>
        <v>791.033 ELDERBERRY 2-3 FEET</v>
      </c>
      <c r="B1615" s="19">
        <v>791.03300000000002</v>
      </c>
      <c r="C1615" s="20" t="s">
        <v>2899</v>
      </c>
      <c r="D1615" s="20" t="s">
        <v>2</v>
      </c>
    </row>
    <row r="1616" spans="1:4" s="26" customFormat="1">
      <c r="A1616" s="18" t="str">
        <f t="shared" si="25"/>
        <v>791.243 FIRETHORN - LALAND 2-3 FEET</v>
      </c>
      <c r="B1616" s="21">
        <v>791.24300000000005</v>
      </c>
      <c r="C1616" s="22" t="s">
        <v>2900</v>
      </c>
      <c r="D1616" s="22" t="s">
        <v>2</v>
      </c>
    </row>
    <row r="1617" spans="1:4">
      <c r="A1617" s="18" t="str">
        <f t="shared" si="25"/>
        <v>791.251 FORSYTHIA - 'ARNOLD DWARF' 15-24 INCH</v>
      </c>
      <c r="B1617" s="19">
        <v>791.25099999999998</v>
      </c>
      <c r="C1617" s="20" t="s">
        <v>2901</v>
      </c>
      <c r="D1617" s="20" t="s">
        <v>2</v>
      </c>
    </row>
    <row r="1618" spans="1:4" s="26" customFormat="1">
      <c r="A1618" s="18" t="str">
        <f t="shared" si="25"/>
        <v>791.255 FORSYTHIA - 'LYNWOOD GOLD' 3-4 FEET</v>
      </c>
      <c r="B1618" s="21">
        <v>791.255</v>
      </c>
      <c r="C1618" s="22" t="s">
        <v>2902</v>
      </c>
      <c r="D1618" s="22" t="s">
        <v>2</v>
      </c>
    </row>
    <row r="1619" spans="1:4">
      <c r="A1619" s="18" t="str">
        <f t="shared" si="25"/>
        <v>791.259 FORSYTHIA - 'SPECTABILIS' 3-4 FEET</v>
      </c>
      <c r="B1619" s="19">
        <v>791.25900000000001</v>
      </c>
      <c r="C1619" s="20" t="s">
        <v>2903</v>
      </c>
      <c r="D1619" s="20" t="s">
        <v>2</v>
      </c>
    </row>
    <row r="1620" spans="1:4" s="26" customFormat="1">
      <c r="A1620" s="18" t="str">
        <f t="shared" si="25"/>
        <v>791.263 FORSYTHIA - WEEPING 18-24 INCHES</v>
      </c>
      <c r="B1620" s="21">
        <v>791.26300000000003</v>
      </c>
      <c r="C1620" s="22" t="s">
        <v>2904</v>
      </c>
      <c r="D1620" s="22" t="s">
        <v>2</v>
      </c>
    </row>
    <row r="1621" spans="1:4">
      <c r="A1621" s="18" t="str">
        <f t="shared" si="25"/>
        <v>791.313 FOTHERGILLA - DWARF 18-24 INCH SPREAD</v>
      </c>
      <c r="B1621" s="19">
        <v>791.31299999999999</v>
      </c>
      <c r="C1621" s="20" t="s">
        <v>473</v>
      </c>
      <c r="D1621" s="20" t="s">
        <v>2</v>
      </c>
    </row>
    <row r="1622" spans="1:4" s="26" customFormat="1">
      <c r="A1622" s="18" t="str">
        <f t="shared" si="25"/>
        <v>792.009 HYDRANGEA - ANNABELLE 18-24 INCHES</v>
      </c>
      <c r="B1622" s="21">
        <v>792.00900000000001</v>
      </c>
      <c r="C1622" s="22" t="s">
        <v>2905</v>
      </c>
      <c r="D1622" s="22" t="s">
        <v>2</v>
      </c>
    </row>
    <row r="1623" spans="1:4">
      <c r="A1623" s="18" t="str">
        <f t="shared" si="25"/>
        <v>792.013 HYDRANGEA - BIGLEAF 18-24 INCHES</v>
      </c>
      <c r="B1623" s="19">
        <v>792.01300000000003</v>
      </c>
      <c r="C1623" s="20" t="s">
        <v>2906</v>
      </c>
      <c r="D1623" s="20" t="s">
        <v>2</v>
      </c>
    </row>
    <row r="1624" spans="1:4" s="26" customFormat="1">
      <c r="A1624" s="18" t="str">
        <f t="shared" si="25"/>
        <v>792.017 HYDRANGEA - OAKLEAF 18-24 INCHES</v>
      </c>
      <c r="B1624" s="19">
        <v>792.01700000000005</v>
      </c>
      <c r="C1624" s="20" t="s">
        <v>2907</v>
      </c>
      <c r="D1624" s="20" t="s">
        <v>2</v>
      </c>
    </row>
    <row r="1625" spans="1:4">
      <c r="A1625" s="18" t="str">
        <f t="shared" si="25"/>
        <v>792.021 HYDRANGEA - PEEGEE 24-36 INCHES</v>
      </c>
      <c r="B1625" s="19">
        <v>792.02099999999996</v>
      </c>
      <c r="C1625" s="20" t="s">
        <v>2908</v>
      </c>
      <c r="D1625" s="20" t="s">
        <v>2</v>
      </c>
    </row>
    <row r="1626" spans="1:4" s="26" customFormat="1">
      <c r="A1626" s="18" t="str">
        <f t="shared" si="25"/>
        <v>792.433 LILAC - COMMON PURPLE 3-4 FEET</v>
      </c>
      <c r="B1626" s="21">
        <v>792.43299999999999</v>
      </c>
      <c r="C1626" s="22" t="s">
        <v>2909</v>
      </c>
      <c r="D1626" s="22" t="s">
        <v>2</v>
      </c>
    </row>
    <row r="1627" spans="1:4">
      <c r="A1627" s="18" t="str">
        <f t="shared" si="25"/>
        <v>792.435 LILAC - COMMON PURPLE 4-5 FEET</v>
      </c>
      <c r="B1627" s="19">
        <v>792.43499999999995</v>
      </c>
      <c r="C1627" s="20" t="s">
        <v>2910</v>
      </c>
      <c r="D1627" s="20" t="s">
        <v>2</v>
      </c>
    </row>
    <row r="1628" spans="1:4" s="26" customFormat="1">
      <c r="A1628" s="18" t="str">
        <f t="shared" si="25"/>
        <v>792.443 LILAC - BELLE DE NANCY 3-4 FEET</v>
      </c>
      <c r="B1628" s="21">
        <v>792.44299999999998</v>
      </c>
      <c r="C1628" s="22" t="s">
        <v>2911</v>
      </c>
      <c r="D1628" s="22" t="s">
        <v>2</v>
      </c>
    </row>
    <row r="1629" spans="1:4">
      <c r="A1629" s="18" t="str">
        <f t="shared" si="25"/>
        <v>792.449 LILAC - ELLEN WILLMONT 3-4 FEET</v>
      </c>
      <c r="B1629" s="19">
        <v>792.44899999999996</v>
      </c>
      <c r="C1629" s="20" t="s">
        <v>2912</v>
      </c>
      <c r="D1629" s="20" t="s">
        <v>2</v>
      </c>
    </row>
    <row r="1630" spans="1:4" s="26" customFormat="1">
      <c r="A1630" s="18" t="str">
        <f t="shared" si="25"/>
        <v>792.621 LOCUST - BRISTLY 15-18 INCH</v>
      </c>
      <c r="B1630" s="21">
        <v>792.62099999999998</v>
      </c>
      <c r="C1630" s="22" t="s">
        <v>2913</v>
      </c>
      <c r="D1630" s="22" t="s">
        <v>2</v>
      </c>
    </row>
    <row r="1631" spans="1:4">
      <c r="A1631" s="18" t="str">
        <f t="shared" si="25"/>
        <v>792.735 MOCK ORANGE 'SNOWFLAKE' 2-3 FEET</v>
      </c>
      <c r="B1631" s="21">
        <v>792.73500000000001</v>
      </c>
      <c r="C1631" s="22" t="s">
        <v>2914</v>
      </c>
      <c r="D1631" s="22" t="s">
        <v>2</v>
      </c>
    </row>
    <row r="1632" spans="1:4" s="26" customFormat="1">
      <c r="A1632" s="18" t="str">
        <f t="shared" si="25"/>
        <v>793.033 NINEBARK SHRUB - COMMON 2-3 FEET</v>
      </c>
      <c r="B1632" s="21">
        <v>793.03300000000002</v>
      </c>
      <c r="C1632" s="22" t="s">
        <v>2915</v>
      </c>
      <c r="D1632" s="22" t="s">
        <v>2</v>
      </c>
    </row>
    <row r="1633" spans="1:4">
      <c r="A1633" s="18" t="str">
        <f t="shared" si="25"/>
        <v>793.053 NINEBARK SHRUB - GOLDEN 2-3 FEET</v>
      </c>
      <c r="B1633" s="19">
        <v>793.053</v>
      </c>
      <c r="C1633" s="20" t="s">
        <v>2916</v>
      </c>
      <c r="D1633" s="20" t="s">
        <v>2</v>
      </c>
    </row>
    <row r="1634" spans="1:4" s="26" customFormat="1">
      <c r="A1634" s="18" t="str">
        <f t="shared" si="25"/>
        <v>793.317 PRIVET - AMUR 24-30 INCH</v>
      </c>
      <c r="B1634" s="19">
        <v>793.31700000000001</v>
      </c>
      <c r="C1634" s="20" t="s">
        <v>2917</v>
      </c>
      <c r="D1634" s="20" t="s">
        <v>2</v>
      </c>
    </row>
    <row r="1635" spans="1:4">
      <c r="A1635" s="18" t="str">
        <f t="shared" si="25"/>
        <v>793.331 PRIVET - REGAL 18-24 INCH</v>
      </c>
      <c r="B1635" s="21">
        <v>793.33100000000002</v>
      </c>
      <c r="C1635" s="22" t="s">
        <v>2918</v>
      </c>
      <c r="D1635" s="22" t="s">
        <v>2</v>
      </c>
    </row>
    <row r="1636" spans="1:4" s="26" customFormat="1">
      <c r="A1636" s="18" t="str">
        <f t="shared" si="25"/>
        <v>793.343 QUINCE - CAMEO FLOWERING 18-24 INCH SPREAD</v>
      </c>
      <c r="B1636" s="19">
        <v>793.34299999999996</v>
      </c>
      <c r="C1636" s="20" t="s">
        <v>2919</v>
      </c>
      <c r="D1636" s="20" t="s">
        <v>2</v>
      </c>
    </row>
    <row r="1637" spans="1:4">
      <c r="A1637" s="18" t="str">
        <f t="shared" si="25"/>
        <v>793.353 QUINCE - TEXAS SCARLET 2-3 FEET</v>
      </c>
      <c r="B1637" s="19">
        <v>793.35299999999995</v>
      </c>
      <c r="C1637" s="20" t="s">
        <v>2920</v>
      </c>
      <c r="D1637" s="20" t="s">
        <v>2</v>
      </c>
    </row>
    <row r="1638" spans="1:4" s="26" customFormat="1">
      <c r="A1638" s="18" t="str">
        <f t="shared" si="25"/>
        <v>793.505 ROSE OF SHARON 'DIANA' 3-4 FEET</v>
      </c>
      <c r="B1638" s="19">
        <v>793.505</v>
      </c>
      <c r="C1638" s="20" t="s">
        <v>2921</v>
      </c>
      <c r="D1638" s="20" t="s">
        <v>2</v>
      </c>
    </row>
    <row r="1639" spans="1:4">
      <c r="A1639" s="18" t="str">
        <f t="shared" si="25"/>
        <v>793.509 ROSE OF SHARON 'LUCY' 3-4 FEET</v>
      </c>
      <c r="B1639" s="21">
        <v>793.50900000000001</v>
      </c>
      <c r="C1639" s="22" t="s">
        <v>2922</v>
      </c>
      <c r="D1639" s="22" t="s">
        <v>2</v>
      </c>
    </row>
    <row r="1640" spans="1:4" s="26" customFormat="1">
      <c r="A1640" s="18" t="str">
        <f t="shared" si="25"/>
        <v>793.513 ROSE OF SHARON'WOODBRIDGE' 3-4 FEET</v>
      </c>
      <c r="B1640" s="21">
        <v>793.51300000000003</v>
      </c>
      <c r="C1640" s="22" t="s">
        <v>2923</v>
      </c>
      <c r="D1640" s="22" t="s">
        <v>2</v>
      </c>
    </row>
    <row r="1641" spans="1:4">
      <c r="A1641" s="18" t="str">
        <f t="shared" si="25"/>
        <v>793.527 SANDCHERRY - PURPLE LEAF 2-3 FEET</v>
      </c>
      <c r="B1641" s="21">
        <v>793.52700000000004</v>
      </c>
      <c r="C1641" s="22" t="s">
        <v>2924</v>
      </c>
      <c r="D1641" s="22" t="s">
        <v>2</v>
      </c>
    </row>
    <row r="1642" spans="1:4" s="26" customFormat="1">
      <c r="A1642" s="18" t="str">
        <f t="shared" si="25"/>
        <v>793.529 SANDCHERRY - PURPLE LEAF 3-4 FEET</v>
      </c>
      <c r="B1642" s="19">
        <v>793.529</v>
      </c>
      <c r="C1642" s="20" t="s">
        <v>2925</v>
      </c>
      <c r="D1642" s="20" t="s">
        <v>2</v>
      </c>
    </row>
    <row r="1643" spans="1:4">
      <c r="A1643" s="18" t="str">
        <f t="shared" si="25"/>
        <v>793.712 SPICEBUSH 15-18 INCH</v>
      </c>
      <c r="B1643" s="19">
        <v>793.71199999999999</v>
      </c>
      <c r="C1643" s="20" t="s">
        <v>2926</v>
      </c>
      <c r="D1643" s="20" t="s">
        <v>2</v>
      </c>
    </row>
    <row r="1644" spans="1:4" s="26" customFormat="1">
      <c r="A1644" s="18" t="str">
        <f t="shared" si="25"/>
        <v>793.715 SPICEBUSH 5 GALLON</v>
      </c>
      <c r="B1644" s="21">
        <v>793.71500000000003</v>
      </c>
      <c r="C1644" s="22" t="s">
        <v>2927</v>
      </c>
      <c r="D1644" s="22" t="s">
        <v>2</v>
      </c>
    </row>
    <row r="1645" spans="1:4">
      <c r="A1645" s="18" t="str">
        <f t="shared" si="25"/>
        <v>793.731 SPIREA - 'ANTHONY WATERER' 2-3 FEET</v>
      </c>
      <c r="B1645" s="19">
        <v>793.73099999999999</v>
      </c>
      <c r="C1645" s="20" t="s">
        <v>474</v>
      </c>
      <c r="D1645" s="20" t="s">
        <v>2</v>
      </c>
    </row>
    <row r="1646" spans="1:4" s="26" customFormat="1">
      <c r="A1646" s="18" t="str">
        <f t="shared" si="25"/>
        <v>794.133 SPIREA - BRIDAL WREATH 2-3 FEET</v>
      </c>
      <c r="B1646" s="21">
        <v>794.13300000000004</v>
      </c>
      <c r="C1646" s="22" t="s">
        <v>2928</v>
      </c>
      <c r="D1646" s="22" t="s">
        <v>2</v>
      </c>
    </row>
    <row r="1647" spans="1:4">
      <c r="A1647" s="18" t="str">
        <f t="shared" si="25"/>
        <v>794.143 SPIREA - 'LITTLE PRINCES' 15-18 INCH SPREAD</v>
      </c>
      <c r="B1647" s="19">
        <v>794.14300000000003</v>
      </c>
      <c r="C1647" s="20" t="s">
        <v>2929</v>
      </c>
      <c r="D1647" s="20" t="s">
        <v>2</v>
      </c>
    </row>
    <row r="1648" spans="1:4" s="26" customFormat="1">
      <c r="A1648" s="18" t="str">
        <f t="shared" si="25"/>
        <v>794.153 SPIREA - 'SNOWMOUND' 2-3 FEET</v>
      </c>
      <c r="B1648" s="21">
        <v>794.15300000000002</v>
      </c>
      <c r="C1648" s="22" t="s">
        <v>2930</v>
      </c>
      <c r="D1648" s="22" t="s">
        <v>2</v>
      </c>
    </row>
    <row r="1649" spans="1:4">
      <c r="A1649" s="18" t="str">
        <f t="shared" si="25"/>
        <v>794.233 SPIREA - VANHOUTTE 2-3 FEET</v>
      </c>
      <c r="B1649" s="21">
        <v>794.23299999999995</v>
      </c>
      <c r="C1649" s="22" t="s">
        <v>2931</v>
      </c>
      <c r="D1649" s="22" t="s">
        <v>2</v>
      </c>
    </row>
    <row r="1650" spans="1:4" s="26" customFormat="1">
      <c r="A1650" s="18" t="str">
        <f t="shared" si="25"/>
        <v>794.321 SUMAC SHRUB - FRAGRANT 15-18 INCH</v>
      </c>
      <c r="B1650" s="19">
        <v>794.32100000000003</v>
      </c>
      <c r="C1650" s="20" t="s">
        <v>2932</v>
      </c>
      <c r="D1650" s="20" t="s">
        <v>2</v>
      </c>
    </row>
    <row r="1651" spans="1:4">
      <c r="A1651" s="18" t="str">
        <f t="shared" si="25"/>
        <v>794.333 SUMAC SHRUB - FRAGRANT 2-3 FEET</v>
      </c>
      <c r="B1651" s="21">
        <v>794.33299999999997</v>
      </c>
      <c r="C1651" s="22" t="s">
        <v>475</v>
      </c>
      <c r="D1651" s="22" t="s">
        <v>2</v>
      </c>
    </row>
    <row r="1652" spans="1:4" s="26" customFormat="1">
      <c r="A1652" s="18" t="str">
        <f t="shared" si="25"/>
        <v>794.431 SUMAC SHRUB - SHINING 18-24 INCH</v>
      </c>
      <c r="B1652" s="19">
        <v>794.43100000000004</v>
      </c>
      <c r="C1652" s="20" t="s">
        <v>2933</v>
      </c>
      <c r="D1652" s="20" t="s">
        <v>2</v>
      </c>
    </row>
    <row r="1653" spans="1:4">
      <c r="A1653" s="18" t="str">
        <f t="shared" si="25"/>
        <v>794.433 SUMAC SHRUB - SHINING 2-3 FEET</v>
      </c>
      <c r="B1653" s="21">
        <v>794.43299999999999</v>
      </c>
      <c r="C1653" s="22" t="s">
        <v>2934</v>
      </c>
      <c r="D1653" s="22" t="s">
        <v>2</v>
      </c>
    </row>
    <row r="1654" spans="1:4" s="26" customFormat="1">
      <c r="A1654" s="18" t="str">
        <f t="shared" si="25"/>
        <v>794.531 SUMAC SHRUB - SMOOTH 18-24 INCH</v>
      </c>
      <c r="B1654" s="19">
        <v>794.53099999999995</v>
      </c>
      <c r="C1654" s="20" t="s">
        <v>2935</v>
      </c>
      <c r="D1654" s="20" t="s">
        <v>2</v>
      </c>
    </row>
    <row r="1655" spans="1:4">
      <c r="A1655" s="18" t="str">
        <f t="shared" si="25"/>
        <v>794.533 SUMAC SHRUB - SMOOTH 2-3 FEET</v>
      </c>
      <c r="B1655" s="19">
        <v>794.53300000000002</v>
      </c>
      <c r="C1655" s="20" t="s">
        <v>2936</v>
      </c>
      <c r="D1655" s="20" t="s">
        <v>2</v>
      </c>
    </row>
    <row r="1656" spans="1:4" s="26" customFormat="1">
      <c r="A1656" s="18" t="str">
        <f t="shared" si="25"/>
        <v>794.621 SUMAC SHRUB - STAGHORN 15-18 INCH</v>
      </c>
      <c r="B1656" s="21">
        <v>794.62099999999998</v>
      </c>
      <c r="C1656" s="22" t="s">
        <v>2937</v>
      </c>
      <c r="D1656" s="22" t="s">
        <v>2</v>
      </c>
    </row>
    <row r="1657" spans="1:4">
      <c r="A1657" s="18" t="str">
        <f t="shared" si="25"/>
        <v>794.633 SUMAC SHRUB - STAGHORN 2-3 FEET</v>
      </c>
      <c r="B1657" s="21">
        <v>794.63300000000004</v>
      </c>
      <c r="C1657" s="22" t="s">
        <v>2938</v>
      </c>
      <c r="D1657" s="22" t="s">
        <v>2</v>
      </c>
    </row>
    <row r="1658" spans="1:4" s="26" customFormat="1">
      <c r="A1658" s="18" t="str">
        <f t="shared" si="25"/>
        <v>794.731 SUMMERSWEET SHRUB 18-24 INCH</v>
      </c>
      <c r="B1658" s="19">
        <v>794.73099999999999</v>
      </c>
      <c r="C1658" s="20" t="s">
        <v>2939</v>
      </c>
      <c r="D1658" s="20" t="s">
        <v>2</v>
      </c>
    </row>
    <row r="1659" spans="1:4">
      <c r="A1659" s="18" t="str">
        <f t="shared" si="25"/>
        <v>794.737 SUMMERSWEET SHRUB 3-4 FEET</v>
      </c>
      <c r="B1659" s="21">
        <v>794.73699999999997</v>
      </c>
      <c r="C1659" s="22" t="s">
        <v>2940</v>
      </c>
      <c r="D1659" s="22" t="s">
        <v>2</v>
      </c>
    </row>
    <row r="1660" spans="1:4" s="26" customFormat="1">
      <c r="A1660" s="18" t="str">
        <f t="shared" si="25"/>
        <v>794.803 SWEETFERN 1 GALLON</v>
      </c>
      <c r="B1660" s="19">
        <v>794.803</v>
      </c>
      <c r="C1660" s="20" t="s">
        <v>476</v>
      </c>
      <c r="D1660" s="20" t="s">
        <v>2</v>
      </c>
    </row>
    <row r="1661" spans="1:4">
      <c r="A1661" s="18" t="str">
        <f t="shared" si="25"/>
        <v>794.805 SWEETFERN 2 GALLON</v>
      </c>
      <c r="B1661" s="19">
        <v>794.80499999999995</v>
      </c>
      <c r="C1661" s="20" t="s">
        <v>477</v>
      </c>
      <c r="D1661" s="20" t="s">
        <v>2</v>
      </c>
    </row>
    <row r="1662" spans="1:4" s="26" customFormat="1">
      <c r="A1662" s="18" t="str">
        <f t="shared" si="25"/>
        <v>795.009 VIBURNUM - ARROWWOOD 18-24 INCHES</v>
      </c>
      <c r="B1662" s="21">
        <v>795.00900000000001</v>
      </c>
      <c r="C1662" s="22" t="s">
        <v>478</v>
      </c>
      <c r="D1662" s="22" t="s">
        <v>2</v>
      </c>
    </row>
    <row r="1663" spans="1:4">
      <c r="A1663" s="18" t="str">
        <f t="shared" si="25"/>
        <v>795.013 VIBURNUM - ARROWWOOD 3-4 FEET</v>
      </c>
      <c r="B1663" s="21">
        <v>795.01300000000003</v>
      </c>
      <c r="C1663" s="22" t="s">
        <v>2941</v>
      </c>
      <c r="D1663" s="22" t="s">
        <v>2</v>
      </c>
    </row>
    <row r="1664" spans="1:4" s="26" customFormat="1">
      <c r="A1664" s="18" t="str">
        <f t="shared" si="25"/>
        <v>795.017 VIBURNUM - BLACKHAW 24-36 INCHES</v>
      </c>
      <c r="B1664" s="19">
        <v>795.01700000000005</v>
      </c>
      <c r="C1664" s="20" t="s">
        <v>2942</v>
      </c>
      <c r="D1664" s="20" t="s">
        <v>2</v>
      </c>
    </row>
    <row r="1665" spans="1:4">
      <c r="A1665" s="18" t="str">
        <f t="shared" si="25"/>
        <v>795.023 VIBURNUM - BURKWOOD 24-36 INCHES</v>
      </c>
      <c r="B1665" s="19">
        <v>795.02300000000002</v>
      </c>
      <c r="C1665" s="20" t="s">
        <v>2943</v>
      </c>
      <c r="D1665" s="20" t="s">
        <v>2</v>
      </c>
    </row>
    <row r="1666" spans="1:4" s="26" customFormat="1">
      <c r="A1666" s="18" t="str">
        <f t="shared" ref="A1666:A1729" si="26">B1666&amp;" "&amp;C1666</f>
        <v>795.031 VIBURNUM - CRANBERRY BUSH 3-4 FEET</v>
      </c>
      <c r="B1666" s="21">
        <v>795.03099999999995</v>
      </c>
      <c r="C1666" s="22" t="s">
        <v>2944</v>
      </c>
      <c r="D1666" s="22" t="s">
        <v>2</v>
      </c>
    </row>
    <row r="1667" spans="1:4">
      <c r="A1667" s="18" t="str">
        <f t="shared" si="26"/>
        <v>795.035 VIBURNUM - DOUBLEFILE 'MARIE'S' 24-30 INCH</v>
      </c>
      <c r="B1667" s="19">
        <v>795.03499999999997</v>
      </c>
      <c r="C1667" s="20" t="s">
        <v>2945</v>
      </c>
      <c r="D1667" s="20" t="s">
        <v>2</v>
      </c>
    </row>
    <row r="1668" spans="1:4" s="26" customFormat="1">
      <c r="A1668" s="18" t="str">
        <f t="shared" si="26"/>
        <v>795.037 VIBURNUM - DOUBLEFILE 'MARIE'S' 3-4 FEET</v>
      </c>
      <c r="B1668" s="21">
        <v>795.03700000000003</v>
      </c>
      <c r="C1668" s="22" t="s">
        <v>2946</v>
      </c>
      <c r="D1668" s="22" t="s">
        <v>2</v>
      </c>
    </row>
    <row r="1669" spans="1:4">
      <c r="A1669" s="18" t="str">
        <f t="shared" si="26"/>
        <v>795.041 VIBURNUM - DOUBLEFILE 'SHASTA' 24-30 INCH</v>
      </c>
      <c r="B1669" s="21">
        <v>795.04100000000005</v>
      </c>
      <c r="C1669" s="22" t="s">
        <v>2947</v>
      </c>
      <c r="D1669" s="22" t="s">
        <v>2</v>
      </c>
    </row>
    <row r="1670" spans="1:4" s="26" customFormat="1">
      <c r="A1670" s="18" t="str">
        <f t="shared" si="26"/>
        <v>795.043 VIBURNUM - DOUBLEFILE 'SHASTA' 3-4 FEET</v>
      </c>
      <c r="B1670" s="21">
        <v>795.04300000000001</v>
      </c>
      <c r="C1670" s="22" t="s">
        <v>2948</v>
      </c>
      <c r="D1670" s="22" t="s">
        <v>2</v>
      </c>
    </row>
    <row r="1671" spans="1:4">
      <c r="A1671" s="18" t="str">
        <f t="shared" si="26"/>
        <v>795.047 VIBURNUM - FRAGANT SNOWBALL 24-30 INCH</v>
      </c>
      <c r="B1671" s="19">
        <v>795.04700000000003</v>
      </c>
      <c r="C1671" s="20" t="s">
        <v>2949</v>
      </c>
      <c r="D1671" s="20" t="s">
        <v>2</v>
      </c>
    </row>
    <row r="1672" spans="1:4" s="26" customFormat="1">
      <c r="A1672" s="18" t="str">
        <f t="shared" si="26"/>
        <v>795.051 VIBURNUM - HIGHBUSH CRANBERRY 24-30 INCHES</v>
      </c>
      <c r="B1672" s="19">
        <v>795.05100000000004</v>
      </c>
      <c r="C1672" s="20" t="s">
        <v>2950</v>
      </c>
      <c r="D1672" s="20" t="s">
        <v>2</v>
      </c>
    </row>
    <row r="1673" spans="1:4">
      <c r="A1673" s="18" t="str">
        <f t="shared" si="26"/>
        <v>795.053 VIBURNUM - HIGHBUSH CRANBERRY 3-4 FEET</v>
      </c>
      <c r="B1673" s="19">
        <v>795.053</v>
      </c>
      <c r="C1673" s="20" t="s">
        <v>2951</v>
      </c>
      <c r="D1673" s="20" t="s">
        <v>2</v>
      </c>
    </row>
    <row r="1674" spans="1:4" s="26" customFormat="1">
      <c r="A1674" s="18" t="str">
        <f t="shared" si="26"/>
        <v>795.057 VIBURNUM - LEATHERLEAF 24-30 INCH</v>
      </c>
      <c r="B1674" s="21">
        <v>795.05700000000002</v>
      </c>
      <c r="C1674" s="22" t="s">
        <v>2952</v>
      </c>
      <c r="D1674" s="22" t="s">
        <v>2</v>
      </c>
    </row>
    <row r="1675" spans="1:4">
      <c r="A1675" s="18" t="str">
        <f t="shared" si="26"/>
        <v>795.061 VIBURNUM - LINDEN 2-3 FEET</v>
      </c>
      <c r="B1675" s="19">
        <v>795.06100000000004</v>
      </c>
      <c r="C1675" s="20" t="s">
        <v>2953</v>
      </c>
      <c r="D1675" s="20" t="s">
        <v>2</v>
      </c>
    </row>
    <row r="1676" spans="1:4" s="26" customFormat="1">
      <c r="A1676" s="18" t="str">
        <f t="shared" si="26"/>
        <v>795.065 VIBURNUM - MAYFLOWER 24-30 INCH</v>
      </c>
      <c r="B1676" s="19">
        <v>795.06500000000005</v>
      </c>
      <c r="C1676" s="20" t="s">
        <v>2954</v>
      </c>
      <c r="D1676" s="20" t="s">
        <v>2</v>
      </c>
    </row>
    <row r="1677" spans="1:4">
      <c r="A1677" s="18" t="str">
        <f t="shared" si="26"/>
        <v>795.069 VIBURNUM - NANNYBERRY 24-30 INCH</v>
      </c>
      <c r="B1677" s="21">
        <v>795.06899999999996</v>
      </c>
      <c r="C1677" s="22" t="s">
        <v>1501</v>
      </c>
      <c r="D1677" s="22" t="s">
        <v>2</v>
      </c>
    </row>
    <row r="1678" spans="1:4" s="26" customFormat="1">
      <c r="A1678" s="18" t="str">
        <f t="shared" si="26"/>
        <v>795.073 VIBURNUM - ORIENTAL 2-3 FEET</v>
      </c>
      <c r="B1678" s="21">
        <v>795.07299999999998</v>
      </c>
      <c r="C1678" s="22" t="s">
        <v>2955</v>
      </c>
      <c r="D1678" s="22" t="s">
        <v>2</v>
      </c>
    </row>
    <row r="1679" spans="1:4">
      <c r="A1679" s="18" t="str">
        <f t="shared" si="26"/>
        <v>795.077 VIBURNUM - SNOWBALL 24-30 INCH</v>
      </c>
      <c r="B1679" s="21">
        <v>795.077</v>
      </c>
      <c r="C1679" s="22" t="s">
        <v>2956</v>
      </c>
      <c r="D1679" s="22" t="s">
        <v>2</v>
      </c>
    </row>
    <row r="1680" spans="1:4" s="26" customFormat="1">
      <c r="A1680" s="18" t="str">
        <f t="shared" si="26"/>
        <v>795.079 VIBURNUM - WITHEROD 18-24 INCH</v>
      </c>
      <c r="B1680" s="21">
        <v>795.07899999999995</v>
      </c>
      <c r="C1680" s="22" t="s">
        <v>1502</v>
      </c>
      <c r="D1680" s="22" t="s">
        <v>2</v>
      </c>
    </row>
    <row r="1681" spans="1:4">
      <c r="A1681" s="18" t="str">
        <f t="shared" si="26"/>
        <v>795.081 VIBURNUM - WITHEROD 24-30 INCH</v>
      </c>
      <c r="B1681" s="19">
        <v>795.08100000000002</v>
      </c>
      <c r="C1681" s="20" t="s">
        <v>2957</v>
      </c>
      <c r="D1681" s="20" t="s">
        <v>2</v>
      </c>
    </row>
    <row r="1682" spans="1:4" s="26" customFormat="1">
      <c r="A1682" s="18" t="str">
        <f t="shared" si="26"/>
        <v>795.113 WEIGELA - PINK PRINCESS 24-30 INCH</v>
      </c>
      <c r="B1682" s="19">
        <v>795.11300000000006</v>
      </c>
      <c r="C1682" s="20" t="s">
        <v>2958</v>
      </c>
      <c r="D1682" s="20" t="s">
        <v>2</v>
      </c>
    </row>
    <row r="1683" spans="1:4">
      <c r="A1683" s="18" t="str">
        <f t="shared" si="26"/>
        <v>795.117 WEIGELA - RED PRINCE 24-30 INCH</v>
      </c>
      <c r="B1683" s="21">
        <v>795.11699999999996</v>
      </c>
      <c r="C1683" s="22" t="s">
        <v>2959</v>
      </c>
      <c r="D1683" s="22" t="s">
        <v>2</v>
      </c>
    </row>
    <row r="1684" spans="1:4" s="26" customFormat="1">
      <c r="A1684" s="18" t="str">
        <f t="shared" si="26"/>
        <v>795.151 WINTERBERRY - MALE 18-24 INCH</v>
      </c>
      <c r="B1684" s="21">
        <v>795.15099999999995</v>
      </c>
      <c r="C1684" s="22" t="s">
        <v>2960</v>
      </c>
      <c r="D1684" s="22" t="s">
        <v>2</v>
      </c>
    </row>
    <row r="1685" spans="1:4">
      <c r="A1685" s="18" t="str">
        <f t="shared" si="26"/>
        <v>795.153 WINTERBERRY - MALE 24-30 INCH</v>
      </c>
      <c r="B1685" s="21">
        <v>795.15300000000002</v>
      </c>
      <c r="C1685" s="22" t="s">
        <v>1503</v>
      </c>
      <c r="D1685" s="22" t="s">
        <v>2</v>
      </c>
    </row>
    <row r="1686" spans="1:4" s="26" customFormat="1">
      <c r="A1686" s="18" t="str">
        <f t="shared" si="26"/>
        <v>795.155 WINTERBERRY - FEMALE 18-24 INCH</v>
      </c>
      <c r="B1686" s="19">
        <v>795.15499999999997</v>
      </c>
      <c r="C1686" s="20" t="s">
        <v>2961</v>
      </c>
      <c r="D1686" s="20" t="s">
        <v>2</v>
      </c>
    </row>
    <row r="1687" spans="1:4">
      <c r="A1687" s="18" t="str">
        <f t="shared" si="26"/>
        <v>795.157 WINTERBERRY - FEMALE 24-30 INCH</v>
      </c>
      <c r="B1687" s="21">
        <v>795.15700000000004</v>
      </c>
      <c r="C1687" s="22" t="s">
        <v>1504</v>
      </c>
      <c r="D1687" s="22" t="s">
        <v>2</v>
      </c>
    </row>
    <row r="1688" spans="1:4" s="26" customFormat="1">
      <c r="A1688" s="18" t="str">
        <f t="shared" si="26"/>
        <v>795.181 WITCH HAZEL 'ARNOLD PROMISE' 2-3 FEET</v>
      </c>
      <c r="B1688" s="19">
        <v>795.18100000000004</v>
      </c>
      <c r="C1688" s="20" t="s">
        <v>2962</v>
      </c>
      <c r="D1688" s="20" t="s">
        <v>2</v>
      </c>
    </row>
    <row r="1689" spans="1:4">
      <c r="A1689" s="18" t="str">
        <f t="shared" si="26"/>
        <v>795.183 WITCH HAZEL 'ARNOLD PROMISE' 3-4 FEET</v>
      </c>
      <c r="B1689" s="19">
        <v>795.18299999999999</v>
      </c>
      <c r="C1689" s="20" t="s">
        <v>2963</v>
      </c>
      <c r="D1689" s="20" t="s">
        <v>2</v>
      </c>
    </row>
    <row r="1690" spans="1:4" s="26" customFormat="1">
      <c r="A1690" s="18" t="str">
        <f t="shared" si="26"/>
        <v>795.185 WITCH HAZEL - AUTUMN BLOOMING 2-3 FEET</v>
      </c>
      <c r="B1690" s="21">
        <v>795.18499999999995</v>
      </c>
      <c r="C1690" s="22" t="s">
        <v>2964</v>
      </c>
      <c r="D1690" s="22" t="s">
        <v>2</v>
      </c>
    </row>
    <row r="1691" spans="1:4">
      <c r="A1691" s="18" t="str">
        <f t="shared" si="26"/>
        <v>795.187 WITCH HAZEL - AUTUMN BLOOMING 3-4 FEET</v>
      </c>
      <c r="B1691" s="21">
        <v>795.18700000000001</v>
      </c>
      <c r="C1691" s="22" t="s">
        <v>2965</v>
      </c>
      <c r="D1691" s="22" t="s">
        <v>2</v>
      </c>
    </row>
    <row r="1692" spans="1:4" s="26" customFormat="1">
      <c r="A1692" s="18" t="str">
        <f t="shared" si="26"/>
        <v>795.189 WITCH HAZEL - SPRING BLOOMING 2-3 FEET</v>
      </c>
      <c r="B1692" s="19">
        <v>795.18899999999996</v>
      </c>
      <c r="C1692" s="20" t="s">
        <v>2966</v>
      </c>
      <c r="D1692" s="20" t="s">
        <v>2</v>
      </c>
    </row>
    <row r="1693" spans="1:4">
      <c r="A1693" s="18" t="str">
        <f t="shared" si="26"/>
        <v>795.191 WITCH HAZEL - SPRING BLOOMING 3-4 FEET</v>
      </c>
      <c r="B1693" s="19">
        <v>795.19100000000003</v>
      </c>
      <c r="C1693" s="20" t="s">
        <v>2967</v>
      </c>
      <c r="D1693" s="20" t="s">
        <v>2</v>
      </c>
    </row>
    <row r="1694" spans="1:4" s="26" customFormat="1">
      <c r="A1694" s="18" t="str">
        <f t="shared" si="26"/>
        <v>795.431 WILLOW - PUSSY 18-24 INCH</v>
      </c>
      <c r="B1694" s="21">
        <v>795.43100000000004</v>
      </c>
      <c r="C1694" s="22" t="s">
        <v>2968</v>
      </c>
      <c r="D1694" s="22" t="s">
        <v>2</v>
      </c>
    </row>
    <row r="1695" spans="1:4">
      <c r="A1695" s="18" t="str">
        <f t="shared" si="26"/>
        <v>795.433 WILLOW - PUSSY 2-3 FEET</v>
      </c>
      <c r="B1695" s="19">
        <v>795.43299999999999</v>
      </c>
      <c r="C1695" s="20" t="s">
        <v>1505</v>
      </c>
      <c r="D1695" s="20" t="s">
        <v>2</v>
      </c>
    </row>
    <row r="1696" spans="1:4" s="26" customFormat="1">
      <c r="A1696" s="18" t="str">
        <f t="shared" si="26"/>
        <v>796.009 BEARBERRY 1 GALLON</v>
      </c>
      <c r="B1696" s="19">
        <v>796.00900000000001</v>
      </c>
      <c r="C1696" s="20" t="s">
        <v>2969</v>
      </c>
      <c r="D1696" s="20" t="s">
        <v>2</v>
      </c>
    </row>
    <row r="1697" spans="1:4">
      <c r="A1697" s="18" t="str">
        <f t="shared" si="26"/>
        <v>796.011 BEARBERRY 2 GALLON</v>
      </c>
      <c r="B1697" s="21">
        <v>796.01099999999997</v>
      </c>
      <c r="C1697" s="22" t="s">
        <v>2970</v>
      </c>
      <c r="D1697" s="22" t="s">
        <v>2</v>
      </c>
    </row>
    <row r="1698" spans="1:4" s="26" customFormat="1">
      <c r="A1698" s="18" t="str">
        <f t="shared" si="26"/>
        <v>796.015 DEAD NETTLE 2 QUART</v>
      </c>
      <c r="B1698" s="19">
        <v>796.01499999999999</v>
      </c>
      <c r="C1698" s="20" t="s">
        <v>2971</v>
      </c>
      <c r="D1698" s="20" t="s">
        <v>2</v>
      </c>
    </row>
    <row r="1699" spans="1:4">
      <c r="A1699" s="18" t="str">
        <f t="shared" si="26"/>
        <v>796.027 HONEYSUCKLE VINE 'GOLDFLAME' 2 GALLON</v>
      </c>
      <c r="B1699" s="21">
        <v>796.02700000000004</v>
      </c>
      <c r="C1699" s="22" t="s">
        <v>2972</v>
      </c>
      <c r="D1699" s="22" t="s">
        <v>2</v>
      </c>
    </row>
    <row r="1700" spans="1:4" s="26" customFormat="1">
      <c r="A1700" s="18" t="str">
        <f t="shared" si="26"/>
        <v>796.029 HONEYSUCKLE VINE 'HALL'S' 2 GALLON</v>
      </c>
      <c r="B1700" s="21">
        <v>796.029</v>
      </c>
      <c r="C1700" s="22" t="s">
        <v>2973</v>
      </c>
      <c r="D1700" s="22" t="s">
        <v>2</v>
      </c>
    </row>
    <row r="1701" spans="1:4">
      <c r="A1701" s="18" t="str">
        <f t="shared" si="26"/>
        <v>796.033 IVY VINE - BALTIC PER FLAT</v>
      </c>
      <c r="B1701" s="21">
        <v>796.03300000000002</v>
      </c>
      <c r="C1701" s="22" t="s">
        <v>2974</v>
      </c>
      <c r="D1701" s="22" t="s">
        <v>2</v>
      </c>
    </row>
    <row r="1702" spans="1:4" s="26" customFormat="1">
      <c r="A1702" s="18" t="str">
        <f t="shared" si="26"/>
        <v>796.035 IVY VINE - BALTIC 1 GALLON</v>
      </c>
      <c r="B1702" s="19">
        <v>796.03499999999997</v>
      </c>
      <c r="C1702" s="20" t="s">
        <v>2975</v>
      </c>
      <c r="D1702" s="20" t="s">
        <v>2</v>
      </c>
    </row>
    <row r="1703" spans="1:4">
      <c r="A1703" s="18" t="str">
        <f t="shared" si="26"/>
        <v>796.037 IVY VINE - BOSTON PER FLAT</v>
      </c>
      <c r="B1703" s="19">
        <v>796.03700000000003</v>
      </c>
      <c r="C1703" s="20" t="s">
        <v>2976</v>
      </c>
      <c r="D1703" s="20" t="s">
        <v>2</v>
      </c>
    </row>
    <row r="1704" spans="1:4" s="26" customFormat="1">
      <c r="A1704" s="18" t="str">
        <f t="shared" si="26"/>
        <v>796.039 IVY VINE - BOSTON 1 GALLON</v>
      </c>
      <c r="B1704" s="19">
        <v>796.03899999999999</v>
      </c>
      <c r="C1704" s="20" t="s">
        <v>2977</v>
      </c>
      <c r="D1704" s="20" t="s">
        <v>2</v>
      </c>
    </row>
    <row r="1705" spans="1:4">
      <c r="A1705" s="18" t="str">
        <f t="shared" si="26"/>
        <v>796.043 MYRTLE VINE PER FLAT</v>
      </c>
      <c r="B1705" s="19">
        <v>796.04300000000001</v>
      </c>
      <c r="C1705" s="20" t="s">
        <v>2978</v>
      </c>
      <c r="D1705" s="20" t="s">
        <v>2</v>
      </c>
    </row>
    <row r="1706" spans="1:4" s="26" customFormat="1">
      <c r="A1706" s="18" t="str">
        <f t="shared" si="26"/>
        <v>796.045 MYRTLE VINE 1 GALLON</v>
      </c>
      <c r="B1706" s="21">
        <v>796.04499999999996</v>
      </c>
      <c r="C1706" s="22" t="s">
        <v>2979</v>
      </c>
      <c r="D1706" s="22" t="s">
        <v>2</v>
      </c>
    </row>
    <row r="1707" spans="1:4">
      <c r="A1707" s="18" t="str">
        <f t="shared" si="26"/>
        <v>796.049 PACHYSANDRA PER FLAT</v>
      </c>
      <c r="B1707" s="21">
        <v>796.04899999999998</v>
      </c>
      <c r="C1707" s="22" t="s">
        <v>1506</v>
      </c>
      <c r="D1707" s="22" t="s">
        <v>2</v>
      </c>
    </row>
    <row r="1708" spans="1:4" s="26" customFormat="1">
      <c r="A1708" s="18" t="str">
        <f t="shared" si="26"/>
        <v>796.053 SILVER FLEECE VINE 1 GALLON</v>
      </c>
      <c r="B1708" s="19">
        <v>796.053</v>
      </c>
      <c r="C1708" s="20" t="s">
        <v>2980</v>
      </c>
      <c r="D1708" s="20" t="s">
        <v>2</v>
      </c>
    </row>
    <row r="1709" spans="1:4">
      <c r="A1709" s="18" t="str">
        <f t="shared" si="26"/>
        <v>796.061 TRUMPET CREEPER 1 GALLON</v>
      </c>
      <c r="B1709" s="19">
        <v>796.06100000000004</v>
      </c>
      <c r="C1709" s="20" t="s">
        <v>2981</v>
      </c>
      <c r="D1709" s="20" t="s">
        <v>2</v>
      </c>
    </row>
    <row r="1710" spans="1:4" s="26" customFormat="1">
      <c r="A1710" s="18" t="str">
        <f t="shared" si="26"/>
        <v>796.063 TRUMPET CREEPER - 'FLAVA' 2 GALLON</v>
      </c>
      <c r="B1710" s="21">
        <v>796.06299999999999</v>
      </c>
      <c r="C1710" s="22" t="s">
        <v>2982</v>
      </c>
      <c r="D1710" s="22" t="s">
        <v>2</v>
      </c>
    </row>
    <row r="1711" spans="1:4">
      <c r="A1711" s="18" t="str">
        <f t="shared" si="26"/>
        <v>796.065 TRUMPET CREEPER - 'MADAME GALEN' 5 GALLON</v>
      </c>
      <c r="B1711" s="21">
        <v>796.06500000000005</v>
      </c>
      <c r="C1711" s="22" t="s">
        <v>2983</v>
      </c>
      <c r="D1711" s="22" t="s">
        <v>2</v>
      </c>
    </row>
    <row r="1712" spans="1:4" s="26" customFormat="1">
      <c r="A1712" s="18" t="str">
        <f t="shared" si="26"/>
        <v>796.071 VIRGINIA CREEPER 1 GALLON</v>
      </c>
      <c r="B1712" s="19">
        <v>796.07100000000003</v>
      </c>
      <c r="C1712" s="20" t="s">
        <v>2984</v>
      </c>
      <c r="D1712" s="20" t="s">
        <v>2</v>
      </c>
    </row>
    <row r="1713" spans="1:4">
      <c r="A1713" s="18" t="str">
        <f t="shared" si="26"/>
        <v>796.073 VIRGINIA CREEPER 2 GALLON</v>
      </c>
      <c r="B1713" s="21">
        <v>796.07299999999998</v>
      </c>
      <c r="C1713" s="22" t="s">
        <v>2985</v>
      </c>
      <c r="D1713" s="22" t="s">
        <v>2</v>
      </c>
    </row>
    <row r="1714" spans="1:4" s="26" customFormat="1">
      <c r="A1714" s="18" t="str">
        <f t="shared" si="26"/>
        <v>796.079 WINTERCREEPER - PURPLELEAF PER FLAT</v>
      </c>
      <c r="B1714" s="21">
        <v>796.07899999999995</v>
      </c>
      <c r="C1714" s="22" t="s">
        <v>2986</v>
      </c>
      <c r="D1714" s="22" t="s">
        <v>2</v>
      </c>
    </row>
    <row r="1715" spans="1:4">
      <c r="A1715" s="18" t="str">
        <f t="shared" si="26"/>
        <v>796.081 WINTERCREEPER - PURPLELEAF 1 GALLON</v>
      </c>
      <c r="B1715" s="19">
        <v>796.08100000000002</v>
      </c>
      <c r="C1715" s="20" t="s">
        <v>2987</v>
      </c>
      <c r="D1715" s="20" t="s">
        <v>2</v>
      </c>
    </row>
    <row r="1716" spans="1:4" s="26" customFormat="1">
      <c r="A1716" s="18" t="str">
        <f t="shared" si="26"/>
        <v>796.211 ROSE - BONICA 2 GALLON</v>
      </c>
      <c r="B1716" s="19">
        <v>796.21100000000001</v>
      </c>
      <c r="C1716" s="20" t="s">
        <v>2988</v>
      </c>
      <c r="D1716" s="20" t="s">
        <v>2</v>
      </c>
    </row>
    <row r="1717" spans="1:4">
      <c r="A1717" s="18" t="str">
        <f t="shared" si="26"/>
        <v>796.217 ROSE - FLOWER CARPET 1 GALLON</v>
      </c>
      <c r="B1717" s="19">
        <v>796.21699999999998</v>
      </c>
      <c r="C1717" s="20" t="s">
        <v>2989</v>
      </c>
      <c r="D1717" s="20" t="s">
        <v>2</v>
      </c>
    </row>
    <row r="1718" spans="1:4" s="26" customFormat="1">
      <c r="A1718" s="18" t="str">
        <f t="shared" si="26"/>
        <v>796.219 ROSE - FLOWER CARPET 2 GALLON</v>
      </c>
      <c r="B1718" s="21">
        <v>796.21900000000005</v>
      </c>
      <c r="C1718" s="22" t="s">
        <v>2990</v>
      </c>
      <c r="D1718" s="22" t="s">
        <v>2</v>
      </c>
    </row>
    <row r="1719" spans="1:4">
      <c r="A1719" s="18" t="str">
        <f t="shared" si="26"/>
        <v>796.225 ROSE - PINK MEIDILAND 2 GALLON</v>
      </c>
      <c r="B1719" s="19">
        <v>796.22500000000002</v>
      </c>
      <c r="C1719" s="20" t="s">
        <v>1507</v>
      </c>
      <c r="D1719" s="20" t="s">
        <v>2</v>
      </c>
    </row>
    <row r="1720" spans="1:4" s="26" customFormat="1">
      <c r="A1720" s="18" t="str">
        <f t="shared" si="26"/>
        <v>796.235 ROSE - RUGOSA PINK 2 GALLON</v>
      </c>
      <c r="B1720" s="19">
        <v>796.23500000000001</v>
      </c>
      <c r="C1720" s="20" t="s">
        <v>2991</v>
      </c>
      <c r="D1720" s="20" t="s">
        <v>2</v>
      </c>
    </row>
    <row r="1721" spans="1:4">
      <c r="A1721" s="18" t="str">
        <f t="shared" si="26"/>
        <v>796.237 ROSE - RUGOSA PINK 3 GALLON</v>
      </c>
      <c r="B1721" s="21">
        <v>796.23699999999997</v>
      </c>
      <c r="C1721" s="22" t="s">
        <v>2992</v>
      </c>
      <c r="D1721" s="22" t="s">
        <v>2</v>
      </c>
    </row>
    <row r="1722" spans="1:4" s="26" customFormat="1">
      <c r="A1722" s="18" t="str">
        <f t="shared" si="26"/>
        <v>796.241 ROSE - RUGOSA RED 2 GALLON</v>
      </c>
      <c r="B1722" s="21">
        <v>796.24099999999999</v>
      </c>
      <c r="C1722" s="22" t="s">
        <v>2993</v>
      </c>
      <c r="D1722" s="22" t="s">
        <v>2</v>
      </c>
    </row>
    <row r="1723" spans="1:4">
      <c r="A1723" s="18" t="str">
        <f t="shared" si="26"/>
        <v>796.243 ROSE - RUGOSA RED 3 GALLON</v>
      </c>
      <c r="B1723" s="19">
        <v>796.24300000000005</v>
      </c>
      <c r="C1723" s="20" t="s">
        <v>2994</v>
      </c>
      <c r="D1723" s="20" t="s">
        <v>2</v>
      </c>
    </row>
    <row r="1724" spans="1:4" s="26" customFormat="1">
      <c r="A1724" s="18" t="str">
        <f t="shared" si="26"/>
        <v>796.247 ROSE - RUGOSA WHITE 2 GALLON</v>
      </c>
      <c r="B1724" s="21">
        <v>796.24699999999996</v>
      </c>
      <c r="C1724" s="22" t="s">
        <v>2995</v>
      </c>
      <c r="D1724" s="22" t="s">
        <v>2</v>
      </c>
    </row>
    <row r="1725" spans="1:4">
      <c r="A1725" s="18" t="str">
        <f t="shared" si="26"/>
        <v>796.249 ROSE - RUGOSA WHITE 3 GALLON</v>
      </c>
      <c r="B1725" s="21">
        <v>796.24900000000002</v>
      </c>
      <c r="C1725" s="22" t="s">
        <v>2996</v>
      </c>
      <c r="D1725" s="22" t="s">
        <v>2</v>
      </c>
    </row>
    <row r="1726" spans="1:4" s="26" customFormat="1">
      <c r="A1726" s="18" t="str">
        <f t="shared" si="26"/>
        <v>796.255 ROSE - SEA FOAM 2 GALLON</v>
      </c>
      <c r="B1726" s="21">
        <v>796.255</v>
      </c>
      <c r="C1726" s="22" t="s">
        <v>2997</v>
      </c>
      <c r="D1726" s="22" t="s">
        <v>2</v>
      </c>
    </row>
    <row r="1727" spans="1:4">
      <c r="A1727" s="18" t="str">
        <f t="shared" si="26"/>
        <v>796.265 ROSE - SEVILLANA 2 GALLON</v>
      </c>
      <c r="B1727" s="19">
        <v>796.26499999999999</v>
      </c>
      <c r="C1727" s="20" t="s">
        <v>2998</v>
      </c>
      <c r="D1727" s="20" t="s">
        <v>2</v>
      </c>
    </row>
    <row r="1728" spans="1:4" s="26" customFormat="1">
      <c r="A1728" s="18" t="str">
        <f t="shared" si="26"/>
        <v>796.275 ROSE - SIMPLICITY 2 GALLON</v>
      </c>
      <c r="B1728" s="19">
        <v>796.27499999999998</v>
      </c>
      <c r="C1728" s="20" t="s">
        <v>2999</v>
      </c>
      <c r="D1728" s="20" t="s">
        <v>2</v>
      </c>
    </row>
    <row r="1729" spans="1:4">
      <c r="A1729" s="18" t="str">
        <f t="shared" si="26"/>
        <v>796.285 ROSE - THE FAIRY 2 GALLON</v>
      </c>
      <c r="B1729" s="21">
        <v>796.28499999999997</v>
      </c>
      <c r="C1729" s="22" t="s">
        <v>3000</v>
      </c>
      <c r="D1729" s="22" t="s">
        <v>2</v>
      </c>
    </row>
    <row r="1730" spans="1:4" s="26" customFormat="1">
      <c r="A1730" s="18" t="str">
        <f t="shared" ref="A1730:A1793" si="27">B1730&amp;" "&amp;C1730</f>
        <v>796.295 ROSE - WHITE MEIDILAND 2 GALLON</v>
      </c>
      <c r="B1730" s="19">
        <v>796.29499999999996</v>
      </c>
      <c r="C1730" s="20" t="s">
        <v>3001</v>
      </c>
      <c r="D1730" s="20" t="s">
        <v>2</v>
      </c>
    </row>
    <row r="1731" spans="1:4">
      <c r="A1731" s="18" t="str">
        <f t="shared" si="27"/>
        <v>796.403 BLUE FESCUE 1 GALLON</v>
      </c>
      <c r="B1731" s="21">
        <v>796.40300000000002</v>
      </c>
      <c r="C1731" s="22" t="s">
        <v>3002</v>
      </c>
      <c r="D1731" s="22" t="s">
        <v>2</v>
      </c>
    </row>
    <row r="1732" spans="1:4" s="26" customFormat="1">
      <c r="A1732" s="18" t="str">
        <f t="shared" si="27"/>
        <v>796.409 BLUE OAT GRASS 1 GALLON</v>
      </c>
      <c r="B1732" s="21">
        <v>796.40899999999999</v>
      </c>
      <c r="C1732" s="22" t="s">
        <v>3003</v>
      </c>
      <c r="D1732" s="22" t="s">
        <v>2</v>
      </c>
    </row>
    <row r="1733" spans="1:4">
      <c r="A1733" s="18" t="str">
        <f t="shared" si="27"/>
        <v>796.415 BLUE LYME GRASS 1 GALLON</v>
      </c>
      <c r="B1733" s="19">
        <v>796.41499999999996</v>
      </c>
      <c r="C1733" s="20" t="s">
        <v>3004</v>
      </c>
      <c r="D1733" s="20" t="s">
        <v>2</v>
      </c>
    </row>
    <row r="1734" spans="1:4" s="26" customFormat="1">
      <c r="A1734" s="18" t="str">
        <f t="shared" si="27"/>
        <v>796.419 COMMON RUSH 1 GALLON</v>
      </c>
      <c r="B1734" s="21">
        <v>796.41899999999998</v>
      </c>
      <c r="C1734" s="22" t="s">
        <v>1508</v>
      </c>
      <c r="D1734" s="22" t="s">
        <v>2</v>
      </c>
    </row>
    <row r="1735" spans="1:4">
      <c r="A1735" s="18" t="str">
        <f t="shared" si="27"/>
        <v>796.423 DWARF FOUNTAIN GRASS - 'HAMELN' 1 GALLON</v>
      </c>
      <c r="B1735" s="19">
        <v>796.423</v>
      </c>
      <c r="C1735" s="20" t="s">
        <v>479</v>
      </c>
      <c r="D1735" s="20" t="s">
        <v>2</v>
      </c>
    </row>
    <row r="1736" spans="1:4" s="26" customFormat="1">
      <c r="A1736" s="18" t="str">
        <f t="shared" si="27"/>
        <v>796.425 DWARF FOUNTAIN GRASS - LITTLE BUNNY 1 GALLON</v>
      </c>
      <c r="B1736" s="19">
        <v>796.42499999999995</v>
      </c>
      <c r="C1736" s="20" t="s">
        <v>3005</v>
      </c>
      <c r="D1736" s="20" t="s">
        <v>2</v>
      </c>
    </row>
    <row r="1737" spans="1:4">
      <c r="A1737" s="18" t="str">
        <f t="shared" si="27"/>
        <v>796.427 FEATHER REED GRASS 2 GALLON</v>
      </c>
      <c r="B1737" s="21">
        <v>796.42700000000002</v>
      </c>
      <c r="C1737" s="22" t="s">
        <v>480</v>
      </c>
      <c r="D1737" s="22" t="s">
        <v>2</v>
      </c>
    </row>
    <row r="1738" spans="1:4" s="26" customFormat="1">
      <c r="A1738" s="18" t="str">
        <f t="shared" si="27"/>
        <v>796.431 FOUNTAIN GRASS 1 GALLON</v>
      </c>
      <c r="B1738" s="19">
        <v>796.43100000000004</v>
      </c>
      <c r="C1738" s="20" t="s">
        <v>1509</v>
      </c>
      <c r="D1738" s="20" t="s">
        <v>2</v>
      </c>
    </row>
    <row r="1739" spans="1:4">
      <c r="A1739" s="18" t="str">
        <f t="shared" si="27"/>
        <v>796.435 JAPANESE BLOOD GRASS 1 GALLON</v>
      </c>
      <c r="B1739" s="19">
        <v>796.43499999999995</v>
      </c>
      <c r="C1739" s="20" t="s">
        <v>3006</v>
      </c>
      <c r="D1739" s="20" t="s">
        <v>2</v>
      </c>
    </row>
    <row r="1740" spans="1:4" s="26" customFormat="1">
      <c r="A1740" s="18" t="str">
        <f t="shared" si="27"/>
        <v>796.441 JAPANESE SEDGE GRASS 2 QUART</v>
      </c>
      <c r="B1740" s="19">
        <v>796.44100000000003</v>
      </c>
      <c r="C1740" s="20" t="s">
        <v>3007</v>
      </c>
      <c r="D1740" s="20" t="s">
        <v>2</v>
      </c>
    </row>
    <row r="1741" spans="1:4">
      <c r="A1741" s="18" t="str">
        <f t="shared" si="27"/>
        <v>796.445 LILYTURF 2 QUART</v>
      </c>
      <c r="B1741" s="21">
        <v>796.44500000000005</v>
      </c>
      <c r="C1741" s="22" t="s">
        <v>3008</v>
      </c>
      <c r="D1741" s="22" t="s">
        <v>2</v>
      </c>
    </row>
    <row r="1742" spans="1:4" s="26" customFormat="1">
      <c r="A1742" s="18" t="str">
        <f t="shared" si="27"/>
        <v>796.449 MAIDEN GRASS 'MORNING LIGHT' 2 GALLON</v>
      </c>
      <c r="B1742" s="21">
        <v>796.44899999999996</v>
      </c>
      <c r="C1742" s="22" t="s">
        <v>3009</v>
      </c>
      <c r="D1742" s="22" t="s">
        <v>2</v>
      </c>
    </row>
    <row r="1743" spans="1:4">
      <c r="A1743" s="18" t="str">
        <f t="shared" si="27"/>
        <v>796.451 MAIDEN GRASS - DWARF 1 GALLON</v>
      </c>
      <c r="B1743" s="21">
        <v>796.45100000000002</v>
      </c>
      <c r="C1743" s="22" t="s">
        <v>3010</v>
      </c>
      <c r="D1743" s="22" t="s">
        <v>2</v>
      </c>
    </row>
    <row r="1744" spans="1:4" s="26" customFormat="1">
      <c r="A1744" s="18" t="str">
        <f t="shared" si="27"/>
        <v>796.455 SWITCH GRASS 2 GALLON</v>
      </c>
      <c r="B1744" s="21">
        <v>796.45500000000004</v>
      </c>
      <c r="C1744" s="22" t="s">
        <v>3011</v>
      </c>
      <c r="D1744" s="22" t="s">
        <v>2</v>
      </c>
    </row>
    <row r="1745" spans="1:4">
      <c r="A1745" s="18" t="str">
        <f t="shared" si="27"/>
        <v>796.461 TUFTED HAIR GRASS 'GOLD VEIL' 2 GALLON</v>
      </c>
      <c r="B1745" s="21">
        <v>796.46100000000001</v>
      </c>
      <c r="C1745" s="22" t="s">
        <v>3012</v>
      </c>
      <c r="D1745" s="22" t="s">
        <v>2</v>
      </c>
    </row>
    <row r="1746" spans="1:4" s="26" customFormat="1">
      <c r="A1746" s="18" t="str">
        <f t="shared" si="27"/>
        <v>796.467 ZEBRA GRASS 2 GALLON</v>
      </c>
      <c r="B1746" s="21">
        <v>796.46699999999998</v>
      </c>
      <c r="C1746" s="22" t="s">
        <v>3013</v>
      </c>
      <c r="D1746" s="22" t="s">
        <v>2</v>
      </c>
    </row>
    <row r="1747" spans="1:4">
      <c r="A1747" s="18" t="str">
        <f t="shared" si="27"/>
        <v>796.705 ALPINE ASTER 2 QUART</v>
      </c>
      <c r="B1747" s="19">
        <v>796.70500000000004</v>
      </c>
      <c r="C1747" s="20" t="s">
        <v>3014</v>
      </c>
      <c r="D1747" s="20" t="s">
        <v>2</v>
      </c>
    </row>
    <row r="1748" spans="1:4" s="26" customFormat="1">
      <c r="A1748" s="18" t="str">
        <f t="shared" si="27"/>
        <v>796.713 BEE BALM 2 QUART</v>
      </c>
      <c r="B1748" s="19">
        <v>796.71299999999997</v>
      </c>
      <c r="C1748" s="20" t="s">
        <v>3015</v>
      </c>
      <c r="D1748" s="20" t="s">
        <v>2</v>
      </c>
    </row>
    <row r="1749" spans="1:4">
      <c r="A1749" s="18" t="str">
        <f t="shared" si="27"/>
        <v>796.715 BLACK EYED SUSAN 2 QUART</v>
      </c>
      <c r="B1749" s="21">
        <v>796.71500000000003</v>
      </c>
      <c r="C1749" s="22" t="s">
        <v>3016</v>
      </c>
      <c r="D1749" s="22" t="s">
        <v>2</v>
      </c>
    </row>
    <row r="1750" spans="1:4" s="26" customFormat="1">
      <c r="A1750" s="18" t="str">
        <f t="shared" si="27"/>
        <v>796.717 BLACK EYED SUSAN 2 GALLON</v>
      </c>
      <c r="B1750" s="21">
        <v>796.71699999999998</v>
      </c>
      <c r="C1750" s="22" t="s">
        <v>3017</v>
      </c>
      <c r="D1750" s="22" t="s">
        <v>2</v>
      </c>
    </row>
    <row r="1751" spans="1:4">
      <c r="A1751" s="18" t="str">
        <f t="shared" si="27"/>
        <v>796.719 BLANKET FLOWER 1 GALLON</v>
      </c>
      <c r="B1751" s="19">
        <v>796.71900000000005</v>
      </c>
      <c r="C1751" s="20" t="s">
        <v>3018</v>
      </c>
      <c r="D1751" s="20" t="s">
        <v>2</v>
      </c>
    </row>
    <row r="1752" spans="1:4" s="26" customFormat="1">
      <c r="A1752" s="18" t="str">
        <f t="shared" si="27"/>
        <v>796.721 BUTTERFLY WEED 2 QUART</v>
      </c>
      <c r="B1752" s="19">
        <v>796.721</v>
      </c>
      <c r="C1752" s="20" t="s">
        <v>3019</v>
      </c>
      <c r="D1752" s="20" t="s">
        <v>2</v>
      </c>
    </row>
    <row r="1753" spans="1:4">
      <c r="A1753" s="18" t="str">
        <f t="shared" si="27"/>
        <v>796.725 CARDINAL FLOWER 2 QUART</v>
      </c>
      <c r="B1753" s="19">
        <v>796.72500000000002</v>
      </c>
      <c r="C1753" s="20" t="s">
        <v>3020</v>
      </c>
      <c r="D1753" s="20" t="s">
        <v>2</v>
      </c>
    </row>
    <row r="1754" spans="1:4" s="26" customFormat="1">
      <c r="A1754" s="18" t="str">
        <f t="shared" si="27"/>
        <v>796.729 CINNAMMON FERN 1 GALLON</v>
      </c>
      <c r="B1754" s="19">
        <v>796.72900000000004</v>
      </c>
      <c r="C1754" s="20" t="s">
        <v>3021</v>
      </c>
      <c r="D1754" s="20" t="s">
        <v>2</v>
      </c>
    </row>
    <row r="1755" spans="1:4">
      <c r="A1755" s="18" t="str">
        <f t="shared" si="27"/>
        <v>796.733 COREOPSIS LANCELEAF 1 GALLON</v>
      </c>
      <c r="B1755" s="19">
        <v>796.73299999999995</v>
      </c>
      <c r="C1755" s="20" t="s">
        <v>3022</v>
      </c>
      <c r="D1755" s="20" t="s">
        <v>2</v>
      </c>
    </row>
    <row r="1756" spans="1:4" s="26" customFormat="1">
      <c r="A1756" s="18" t="str">
        <f t="shared" si="27"/>
        <v>796.741 COREOPSIS THREAD - 'MOONBEAM' 2 GALLON</v>
      </c>
      <c r="B1756" s="19">
        <v>796.74099999999999</v>
      </c>
      <c r="C1756" s="20" t="s">
        <v>3023</v>
      </c>
      <c r="D1756" s="20" t="s">
        <v>2</v>
      </c>
    </row>
    <row r="1757" spans="1:4">
      <c r="A1757" s="18" t="str">
        <f t="shared" si="27"/>
        <v>796.747 DAYLILY - 'FLAVA' 1 GALLON</v>
      </c>
      <c r="B1757" s="21">
        <v>796.74699999999996</v>
      </c>
      <c r="C1757" s="22" t="s">
        <v>3024</v>
      </c>
      <c r="D1757" s="22" t="s">
        <v>2</v>
      </c>
    </row>
    <row r="1758" spans="1:4" s="26" customFormat="1">
      <c r="A1758" s="18" t="str">
        <f t="shared" si="27"/>
        <v>796.751 DAYLILY - 'FULVA' 1 GALLON</v>
      </c>
      <c r="B1758" s="21">
        <v>796.75099999999998</v>
      </c>
      <c r="C1758" s="22" t="s">
        <v>3025</v>
      </c>
      <c r="D1758" s="22" t="s">
        <v>2</v>
      </c>
    </row>
    <row r="1759" spans="1:4">
      <c r="A1759" s="18" t="str">
        <f t="shared" si="27"/>
        <v>796.755 DAYLILY - 'PEACH FAIRY' 1 GALLON</v>
      </c>
      <c r="B1759" s="21">
        <v>796.755</v>
      </c>
      <c r="C1759" s="22" t="s">
        <v>3026</v>
      </c>
      <c r="D1759" s="22" t="s">
        <v>2</v>
      </c>
    </row>
    <row r="1760" spans="1:4" s="26" customFormat="1">
      <c r="A1760" s="18" t="str">
        <f t="shared" si="27"/>
        <v>796.759 DAYLILY - 'PRIMA DONNA' 1 GALLON</v>
      </c>
      <c r="B1760" s="19">
        <v>796.75900000000001</v>
      </c>
      <c r="C1760" s="20" t="s">
        <v>3027</v>
      </c>
      <c r="D1760" s="20" t="s">
        <v>2</v>
      </c>
    </row>
    <row r="1761" spans="1:4">
      <c r="A1761" s="18" t="str">
        <f t="shared" si="27"/>
        <v>796.763 DAYLILY - 'STELLA D'ORO' 1 GALLON</v>
      </c>
      <c r="B1761" s="21">
        <v>796.76300000000003</v>
      </c>
      <c r="C1761" s="22" t="s">
        <v>481</v>
      </c>
      <c r="D1761" s="22" t="s">
        <v>2</v>
      </c>
    </row>
    <row r="1762" spans="1:4" s="26" customFormat="1">
      <c r="A1762" s="18" t="str">
        <f t="shared" si="27"/>
        <v>796.767 DAYLILY - 'TICK TOCK' 1 GALLON</v>
      </c>
      <c r="B1762" s="21">
        <v>796.76700000000005</v>
      </c>
      <c r="C1762" s="22" t="s">
        <v>3028</v>
      </c>
      <c r="D1762" s="22" t="s">
        <v>2</v>
      </c>
    </row>
    <row r="1763" spans="1:4">
      <c r="A1763" s="18" t="str">
        <f t="shared" si="27"/>
        <v>796.775 ENGLISH LAVENDER 1 GALLON</v>
      </c>
      <c r="B1763" s="21">
        <v>796.77499999999998</v>
      </c>
      <c r="C1763" s="22" t="s">
        <v>3029</v>
      </c>
      <c r="D1763" s="22" t="s">
        <v>2</v>
      </c>
    </row>
    <row r="1764" spans="1:4" s="26" customFormat="1">
      <c r="A1764" s="18" t="str">
        <f t="shared" si="27"/>
        <v>796.777 EVENING PRIMROSE 2 QUART</v>
      </c>
      <c r="B1764" s="19">
        <v>796.77700000000004</v>
      </c>
      <c r="C1764" s="20" t="s">
        <v>3030</v>
      </c>
      <c r="D1764" s="20" t="s">
        <v>2</v>
      </c>
    </row>
    <row r="1765" spans="1:4">
      <c r="A1765" s="18" t="str">
        <f t="shared" si="27"/>
        <v>796.779 GAYFEATHER - 'KOBALD' 2 QUART</v>
      </c>
      <c r="B1765" s="19">
        <v>796.779</v>
      </c>
      <c r="C1765" s="20" t="s">
        <v>3031</v>
      </c>
      <c r="D1765" s="20" t="s">
        <v>2</v>
      </c>
    </row>
    <row r="1766" spans="1:4" s="26" customFormat="1">
      <c r="A1766" s="18" t="str">
        <f t="shared" si="27"/>
        <v>796.783 GLOBE THISTLE 2 QUART</v>
      </c>
      <c r="B1766" s="19">
        <v>796.78300000000002</v>
      </c>
      <c r="C1766" s="20" t="s">
        <v>3032</v>
      </c>
      <c r="D1766" s="20" t="s">
        <v>2</v>
      </c>
    </row>
    <row r="1767" spans="1:4">
      <c r="A1767" s="18" t="str">
        <f t="shared" si="27"/>
        <v>796.787 LAMB'S EAR - 'SILVER CARPET' 2 QUART</v>
      </c>
      <c r="B1767" s="21">
        <v>796.78700000000003</v>
      </c>
      <c r="C1767" s="22" t="s">
        <v>3033</v>
      </c>
      <c r="D1767" s="22" t="s">
        <v>2</v>
      </c>
    </row>
    <row r="1768" spans="1:4" s="26" customFormat="1">
      <c r="A1768" s="18" t="str">
        <f t="shared" si="27"/>
        <v>796.789 LAVENDAR COTTON 2 QUART</v>
      </c>
      <c r="B1768" s="21">
        <v>796.78899999999999</v>
      </c>
      <c r="C1768" s="22" t="s">
        <v>3034</v>
      </c>
      <c r="D1768" s="22" t="s">
        <v>2</v>
      </c>
    </row>
    <row r="1769" spans="1:4">
      <c r="A1769" s="18" t="str">
        <f t="shared" si="27"/>
        <v>796.791 LUPINE 2 QUART</v>
      </c>
      <c r="B1769" s="21">
        <v>796.79100000000005</v>
      </c>
      <c r="C1769" s="22" t="s">
        <v>3035</v>
      </c>
      <c r="D1769" s="22" t="s">
        <v>2</v>
      </c>
    </row>
    <row r="1770" spans="1:4" s="26" customFormat="1">
      <c r="A1770" s="18" t="str">
        <f t="shared" si="27"/>
        <v>796.797 MEADOW SAGE 1 GALLON</v>
      </c>
      <c r="B1770" s="19">
        <v>796.79700000000003</v>
      </c>
      <c r="C1770" s="20" t="s">
        <v>3036</v>
      </c>
      <c r="D1770" s="20" t="s">
        <v>2</v>
      </c>
    </row>
    <row r="1771" spans="1:4">
      <c r="A1771" s="18" t="str">
        <f t="shared" si="27"/>
        <v>796.803 NEW ENGLAND ASTER 1 GALLON</v>
      </c>
      <c r="B1771" s="19">
        <v>796.803</v>
      </c>
      <c r="C1771" s="20" t="s">
        <v>3037</v>
      </c>
      <c r="D1771" s="20" t="s">
        <v>2</v>
      </c>
    </row>
    <row r="1772" spans="1:4" s="26" customFormat="1">
      <c r="A1772" s="18" t="str">
        <f t="shared" si="27"/>
        <v>796.813 POPPY-ICELAND 2 QUART</v>
      </c>
      <c r="B1772" s="19">
        <v>796.81299999999999</v>
      </c>
      <c r="C1772" s="20" t="s">
        <v>3038</v>
      </c>
      <c r="D1772" s="20" t="s">
        <v>2</v>
      </c>
    </row>
    <row r="1773" spans="1:4">
      <c r="A1773" s="18" t="str">
        <f t="shared" si="27"/>
        <v>796.815 POPPY - ORIENTAL 2 QUART</v>
      </c>
      <c r="B1773" s="19">
        <v>796.81500000000005</v>
      </c>
      <c r="C1773" s="20" t="s">
        <v>3039</v>
      </c>
      <c r="D1773" s="20" t="s">
        <v>2</v>
      </c>
    </row>
    <row r="1774" spans="1:4" s="26" customFormat="1">
      <c r="A1774" s="18" t="str">
        <f t="shared" si="27"/>
        <v>796.817 PURPLE CONEFLOWER 2 QUART</v>
      </c>
      <c r="B1774" s="21">
        <v>796.81700000000001</v>
      </c>
      <c r="C1774" s="22" t="s">
        <v>3040</v>
      </c>
      <c r="D1774" s="22" t="s">
        <v>2</v>
      </c>
    </row>
    <row r="1775" spans="1:4">
      <c r="A1775" s="18" t="str">
        <f t="shared" si="27"/>
        <v>796.823 ROSE MALLOW 2 GALLON</v>
      </c>
      <c r="B1775" s="21">
        <v>796.82299999999998</v>
      </c>
      <c r="C1775" s="22" t="s">
        <v>3041</v>
      </c>
      <c r="D1775" s="22" t="s">
        <v>2</v>
      </c>
    </row>
    <row r="1776" spans="1:4" s="26" customFormat="1">
      <c r="A1776" s="18" t="str">
        <f t="shared" si="27"/>
        <v>796.827 ROYAL FERN 1 GALLON</v>
      </c>
      <c r="B1776" s="21">
        <v>796.827</v>
      </c>
      <c r="C1776" s="22" t="s">
        <v>3042</v>
      </c>
      <c r="D1776" s="22" t="s">
        <v>2</v>
      </c>
    </row>
    <row r="1777" spans="1:4">
      <c r="A1777" s="18" t="str">
        <f t="shared" si="27"/>
        <v>796.833 RUSSIAN SAGE 1 GALLON</v>
      </c>
      <c r="B1777" s="19">
        <v>796.83299999999997</v>
      </c>
      <c r="C1777" s="20" t="s">
        <v>3043</v>
      </c>
      <c r="D1777" s="20" t="s">
        <v>2</v>
      </c>
    </row>
    <row r="1778" spans="1:4" s="26" customFormat="1">
      <c r="A1778" s="18" t="str">
        <f t="shared" si="27"/>
        <v>796.837 SEA LAVENDAR 1 GALLON</v>
      </c>
      <c r="B1778" s="21">
        <v>796.83699999999999</v>
      </c>
      <c r="C1778" s="22" t="s">
        <v>3044</v>
      </c>
      <c r="D1778" s="22" t="s">
        <v>2</v>
      </c>
    </row>
    <row r="1779" spans="1:4">
      <c r="A1779" s="18" t="str">
        <f t="shared" si="27"/>
        <v>796.841 SEDUM 'AUTUMN JOY' 2 QUART</v>
      </c>
      <c r="B1779" s="19">
        <v>796.84100000000001</v>
      </c>
      <c r="C1779" s="20" t="s">
        <v>482</v>
      </c>
      <c r="D1779" s="20" t="s">
        <v>2</v>
      </c>
    </row>
    <row r="1780" spans="1:4" s="26" customFormat="1">
      <c r="A1780" s="18" t="str">
        <f t="shared" si="27"/>
        <v>796.845 SHASTA DAISY - 'ALASKA' 2 QUART</v>
      </c>
      <c r="B1780" s="19">
        <v>796.84500000000003</v>
      </c>
      <c r="C1780" s="20" t="s">
        <v>3045</v>
      </c>
      <c r="D1780" s="20" t="s">
        <v>2</v>
      </c>
    </row>
    <row r="1781" spans="1:4">
      <c r="A1781" s="18" t="str">
        <f t="shared" si="27"/>
        <v>796.847 SILVER MOUND 1 GALLON</v>
      </c>
      <c r="B1781" s="21">
        <v>796.84699999999998</v>
      </c>
      <c r="C1781" s="22" t="s">
        <v>3046</v>
      </c>
      <c r="D1781" s="22" t="s">
        <v>2</v>
      </c>
    </row>
    <row r="1782" spans="1:4" s="26" customFormat="1">
      <c r="A1782" s="18" t="str">
        <f t="shared" si="27"/>
        <v>796.853 VERONICA 'SUNNY BORDER BLUE' 2 QUART</v>
      </c>
      <c r="B1782" s="21">
        <v>796.85299999999995</v>
      </c>
      <c r="C1782" s="22" t="s">
        <v>3047</v>
      </c>
      <c r="D1782" s="22" t="s">
        <v>2</v>
      </c>
    </row>
    <row r="1783" spans="1:4">
      <c r="A1783" s="18" t="str">
        <f t="shared" si="27"/>
        <v>796.859 YARROW - 'APPLE BLOSSOM' 2 GALLON</v>
      </c>
      <c r="B1783" s="21">
        <v>796.85900000000004</v>
      </c>
      <c r="C1783" s="22" t="s">
        <v>3048</v>
      </c>
      <c r="D1783" s="22" t="s">
        <v>2</v>
      </c>
    </row>
    <row r="1784" spans="1:4" s="26" customFormat="1">
      <c r="A1784" s="18" t="str">
        <f t="shared" si="27"/>
        <v>796.863 YARROW - 'MOONSHINE' 2 GALLON</v>
      </c>
      <c r="B1784" s="19">
        <v>796.86300000000006</v>
      </c>
      <c r="C1784" s="20" t="s">
        <v>3049</v>
      </c>
      <c r="D1784" s="20" t="s">
        <v>2</v>
      </c>
    </row>
    <row r="1785" spans="1:4">
      <c r="A1785" s="18" t="str">
        <f t="shared" si="27"/>
        <v>796.867 YARROW - 'PAPRIKA' 2 GALLON</v>
      </c>
      <c r="B1785" s="19">
        <v>796.86699999999996</v>
      </c>
      <c r="C1785" s="20" t="s">
        <v>3050</v>
      </c>
      <c r="D1785" s="20" t="s">
        <v>2</v>
      </c>
    </row>
    <row r="1786" spans="1:4" s="26" customFormat="1">
      <c r="A1786" s="18" t="str">
        <f t="shared" si="27"/>
        <v>800.1 ELECTRICAL CONDUIT REMOVED AND RESET</v>
      </c>
      <c r="B1786" s="19">
        <v>800.1</v>
      </c>
      <c r="C1786" s="20" t="s">
        <v>3051</v>
      </c>
      <c r="D1786" s="20" t="s">
        <v>17</v>
      </c>
    </row>
    <row r="1787" spans="1:4">
      <c r="A1787" s="18" t="str">
        <f t="shared" si="27"/>
        <v>800.2 2 INCH ELECTRICAL CONDUIT - BLACK STEEL</v>
      </c>
      <c r="B1787" s="21">
        <v>800.2</v>
      </c>
      <c r="C1787" s="22" t="s">
        <v>3052</v>
      </c>
      <c r="D1787" s="22" t="s">
        <v>17</v>
      </c>
    </row>
    <row r="1788" spans="1:4" s="26" customFormat="1">
      <c r="A1788" s="18" t="str">
        <f t="shared" si="27"/>
        <v>800.3 3 INCH ELECTRICAL CONDUIT - BLACK STEEL</v>
      </c>
      <c r="B1788" s="21">
        <v>800.3</v>
      </c>
      <c r="C1788" s="22" t="s">
        <v>3053</v>
      </c>
      <c r="D1788" s="22" t="s">
        <v>17</v>
      </c>
    </row>
    <row r="1789" spans="1:4">
      <c r="A1789" s="18" t="str">
        <f t="shared" si="27"/>
        <v>801.22 2 INCH ELECTRICAL CONDUIT - TYPE NM (DOUBLE)</v>
      </c>
      <c r="B1789" s="19">
        <v>801.22</v>
      </c>
      <c r="C1789" s="20" t="s">
        <v>3054</v>
      </c>
      <c r="D1789" s="20" t="s">
        <v>17</v>
      </c>
    </row>
    <row r="1790" spans="1:4" s="26" customFormat="1">
      <c r="A1790" s="18" t="str">
        <f t="shared" si="27"/>
        <v>801.24 2 INCH ELECTRICAL CONDUIT - TYPE NM (4 BANK)</v>
      </c>
      <c r="B1790" s="21">
        <v>801.24</v>
      </c>
      <c r="C1790" s="22" t="s">
        <v>3055</v>
      </c>
      <c r="D1790" s="22" t="s">
        <v>17</v>
      </c>
    </row>
    <row r="1791" spans="1:4">
      <c r="A1791" s="18" t="str">
        <f t="shared" si="27"/>
        <v>801.26 2 INCH ELECTRICAL CONDUIT - TYPE NM (6 BANK)</v>
      </c>
      <c r="B1791" s="19">
        <v>801.26</v>
      </c>
      <c r="C1791" s="20" t="s">
        <v>3056</v>
      </c>
      <c r="D1791" s="20" t="s">
        <v>17</v>
      </c>
    </row>
    <row r="1792" spans="1:4" s="26" customFormat="1">
      <c r="A1792" s="18" t="str">
        <f t="shared" si="27"/>
        <v>801.32 3 INCH ELECTRICAL CONDUIT - TYPE NM (DOUBLE)</v>
      </c>
      <c r="B1792" s="19">
        <v>801.32</v>
      </c>
      <c r="C1792" s="20" t="s">
        <v>483</v>
      </c>
      <c r="D1792" s="20" t="s">
        <v>17</v>
      </c>
    </row>
    <row r="1793" spans="1:4">
      <c r="A1793" s="18" t="str">
        <f t="shared" si="27"/>
        <v>801.34 3 INCH ELECTRICAL CONDUIT - TYPE NM (4 BANK)</v>
      </c>
      <c r="B1793" s="21">
        <v>801.34</v>
      </c>
      <c r="C1793" s="22" t="s">
        <v>1510</v>
      </c>
      <c r="D1793" s="22" t="s">
        <v>17</v>
      </c>
    </row>
    <row r="1794" spans="1:4" s="26" customFormat="1">
      <c r="A1794" s="18" t="str">
        <f t="shared" ref="A1794:A1857" si="28">B1794&amp;" "&amp;C1794</f>
        <v>801.36 3 INCH ELECTRICAL CONDUIT - TYPE NM (6 BANK)</v>
      </c>
      <c r="B1794" s="21">
        <v>801.36</v>
      </c>
      <c r="C1794" s="22" t="s">
        <v>3057</v>
      </c>
      <c r="D1794" s="22" t="s">
        <v>17</v>
      </c>
    </row>
    <row r="1795" spans="1:4">
      <c r="A1795" s="18" t="str">
        <f t="shared" si="28"/>
        <v>801.42 4 INCH ELECTRICAL CONDUIT - TYPE NM (DOUBLE)</v>
      </c>
      <c r="B1795" s="19">
        <v>801.42</v>
      </c>
      <c r="C1795" s="20" t="s">
        <v>484</v>
      </c>
      <c r="D1795" s="20" t="s">
        <v>17</v>
      </c>
    </row>
    <row r="1796" spans="1:4" s="26" customFormat="1">
      <c r="A1796" s="18" t="str">
        <f t="shared" si="28"/>
        <v>801.44 4 INCH ELECTRICAL CONDUIT - TYPE NM (4 BANK)</v>
      </c>
      <c r="B1796" s="21">
        <v>801.44</v>
      </c>
      <c r="C1796" s="22" t="s">
        <v>1511</v>
      </c>
      <c r="D1796" s="22" t="s">
        <v>17</v>
      </c>
    </row>
    <row r="1797" spans="1:4">
      <c r="A1797" s="18" t="str">
        <f t="shared" si="28"/>
        <v>801.46 4 INCH ELECTRICAL CONDUIT - TYPE NM (6 BANK)</v>
      </c>
      <c r="B1797" s="21">
        <v>801.46</v>
      </c>
      <c r="C1797" s="22" t="s">
        <v>1512</v>
      </c>
      <c r="D1797" s="22" t="s">
        <v>17</v>
      </c>
    </row>
    <row r="1798" spans="1:4" s="26" customFormat="1">
      <c r="A1798" s="18" t="str">
        <f t="shared" si="28"/>
        <v>801.62 6 INCH ELECTRICAL CONDUIT - TYPE NM (DOUBLE)</v>
      </c>
      <c r="B1798" s="19">
        <v>801.62</v>
      </c>
      <c r="C1798" s="20" t="s">
        <v>485</v>
      </c>
      <c r="D1798" s="20" t="s">
        <v>17</v>
      </c>
    </row>
    <row r="1799" spans="1:4">
      <c r="A1799" s="18" t="str">
        <f t="shared" si="28"/>
        <v>801.64 6 INCH ELECTRICAL CONDUIT - TYPE NM (4 BANK)</v>
      </c>
      <c r="B1799" s="19">
        <v>801.64</v>
      </c>
      <c r="C1799" s="20" t="s">
        <v>1513</v>
      </c>
      <c r="D1799" s="20" t="s">
        <v>17</v>
      </c>
    </row>
    <row r="1800" spans="1:4" s="26" customFormat="1">
      <c r="A1800" s="18" t="str">
        <f t="shared" si="28"/>
        <v>801.66 6 INCH ELECTRICAL CONDUIT - TYPE NM (6 BANK)</v>
      </c>
      <c r="B1800" s="19">
        <v>801.66</v>
      </c>
      <c r="C1800" s="20" t="s">
        <v>3058</v>
      </c>
      <c r="D1800" s="20" t="s">
        <v>17</v>
      </c>
    </row>
    <row r="1801" spans="1:4">
      <c r="A1801" s="18" t="str">
        <f t="shared" si="28"/>
        <v>804.05 1/2 INCH ELECTRICAL CONDUIT TYPE NM - PLASTIC -(UL)</v>
      </c>
      <c r="B1801" s="19">
        <v>804.05</v>
      </c>
      <c r="C1801" s="20" t="s">
        <v>3059</v>
      </c>
      <c r="D1801" s="20" t="s">
        <v>17</v>
      </c>
    </row>
    <row r="1802" spans="1:4" s="26" customFormat="1">
      <c r="A1802" s="18" t="str">
        <f t="shared" si="28"/>
        <v>804.075 3/4 INCH ELECTRICAL CONDUIT TYPE NM - PLASTIC -(UL)</v>
      </c>
      <c r="B1802" s="21">
        <v>804.07500000000005</v>
      </c>
      <c r="C1802" s="22" t="s">
        <v>3060</v>
      </c>
      <c r="D1802" s="22" t="s">
        <v>17</v>
      </c>
    </row>
    <row r="1803" spans="1:4">
      <c r="A1803" s="18" t="str">
        <f t="shared" si="28"/>
        <v>804.1 1 INCH ELECTRICAL CONDUIT TYPE NM - PLASTIC -(UL)</v>
      </c>
      <c r="B1803" s="19">
        <v>804.1</v>
      </c>
      <c r="C1803" s="20" t="s">
        <v>486</v>
      </c>
      <c r="D1803" s="20" t="s">
        <v>17</v>
      </c>
    </row>
    <row r="1804" spans="1:4" s="26" customFormat="1">
      <c r="A1804" s="18" t="str">
        <f t="shared" si="28"/>
        <v>804.15 1-1/2 INCH ELECTRICAL CONDUIT TYPE NM - PLASTIC -(UL)</v>
      </c>
      <c r="B1804" s="19">
        <v>804.15</v>
      </c>
      <c r="C1804" s="20" t="s">
        <v>1440</v>
      </c>
      <c r="D1804" s="20" t="s">
        <v>17</v>
      </c>
    </row>
    <row r="1805" spans="1:4">
      <c r="A1805" s="18" t="str">
        <f t="shared" si="28"/>
        <v>804.2 2 INCH ELECTRICAL CONDUIT TYPE NM - PLASTIC (UL)</v>
      </c>
      <c r="B1805" s="21">
        <v>804.2</v>
      </c>
      <c r="C1805" s="22" t="s">
        <v>487</v>
      </c>
      <c r="D1805" s="22" t="s">
        <v>17</v>
      </c>
    </row>
    <row r="1806" spans="1:4" s="26" customFormat="1">
      <c r="A1806" s="18" t="str">
        <f t="shared" si="28"/>
        <v>804.3 3 INCH ELECTRICAL CONDUIT TYPE NM - PLASTIC -(UL)</v>
      </c>
      <c r="B1806" s="21">
        <v>804.3</v>
      </c>
      <c r="C1806" s="22" t="s">
        <v>488</v>
      </c>
      <c r="D1806" s="22" t="s">
        <v>17</v>
      </c>
    </row>
    <row r="1807" spans="1:4">
      <c r="A1807" s="18" t="str">
        <f t="shared" si="28"/>
        <v>804.4 4 INCH ELECTRICAL CONDUIT TYPE NM - PLASTIC -(UL)</v>
      </c>
      <c r="B1807" s="21">
        <v>804.4</v>
      </c>
      <c r="C1807" s="22" t="s">
        <v>489</v>
      </c>
      <c r="D1807" s="22" t="s">
        <v>17</v>
      </c>
    </row>
    <row r="1808" spans="1:4" s="26" customFormat="1">
      <c r="A1808" s="18" t="str">
        <f t="shared" si="28"/>
        <v>804.6 6 INCH ELECTRICAL CONDUIT TYPE NM - PLASTIC -(UL)</v>
      </c>
      <c r="B1808" s="19">
        <v>804.6</v>
      </c>
      <c r="C1808" s="20" t="s">
        <v>1514</v>
      </c>
      <c r="D1808" s="20" t="s">
        <v>17</v>
      </c>
    </row>
    <row r="1809" spans="1:4">
      <c r="A1809" s="18" t="str">
        <f t="shared" si="28"/>
        <v>806.05 1/2 INCH ELECTRICAL CONDUIT TYPE RM - GALVANIZED STEEL</v>
      </c>
      <c r="B1809" s="21">
        <v>806.05</v>
      </c>
      <c r="C1809" s="22" t="s">
        <v>3061</v>
      </c>
      <c r="D1809" s="22" t="s">
        <v>17</v>
      </c>
    </row>
    <row r="1810" spans="1:4" s="26" customFormat="1">
      <c r="A1810" s="18" t="str">
        <f t="shared" si="28"/>
        <v>806.075 3/4 INCH ELECTRICAL CONDUIT TYPE RM - GALVANIZED STEEL</v>
      </c>
      <c r="B1810" s="19">
        <v>806.07500000000005</v>
      </c>
      <c r="C1810" s="20" t="s">
        <v>3062</v>
      </c>
      <c r="D1810" s="20" t="s">
        <v>17</v>
      </c>
    </row>
    <row r="1811" spans="1:4">
      <c r="A1811" s="18" t="str">
        <f t="shared" si="28"/>
        <v>806.1 1 INCH ELECTRICAL CONDUIT TYPE RM - GALVANIZED STEEL</v>
      </c>
      <c r="B1811" s="19">
        <v>806.1</v>
      </c>
      <c r="C1811" s="20" t="s">
        <v>1441</v>
      </c>
      <c r="D1811" s="20" t="s">
        <v>17</v>
      </c>
    </row>
    <row r="1812" spans="1:4" s="26" customFormat="1">
      <c r="A1812" s="18" t="str">
        <f t="shared" si="28"/>
        <v>806.15 1-1/2 INCH ELECTRICAL CONDUIT TYPE RM - GALVANIZED STEEL</v>
      </c>
      <c r="B1812" s="21">
        <v>806.15</v>
      </c>
      <c r="C1812" s="22" t="s">
        <v>1442</v>
      </c>
      <c r="D1812" s="22" t="s">
        <v>17</v>
      </c>
    </row>
    <row r="1813" spans="1:4">
      <c r="A1813" s="18" t="str">
        <f t="shared" si="28"/>
        <v>806.2 2 INCH ELECTRICAL CONDUIT TYPE RM - GALVANIZED STEEL</v>
      </c>
      <c r="B1813" s="21">
        <v>806.2</v>
      </c>
      <c r="C1813" s="22" t="s">
        <v>490</v>
      </c>
      <c r="D1813" s="22" t="s">
        <v>17</v>
      </c>
    </row>
    <row r="1814" spans="1:4" s="26" customFormat="1">
      <c r="A1814" s="18" t="str">
        <f t="shared" si="28"/>
        <v>806.3 3 INCH ELECTRICAL CONDUIT TYPE RM - GALVANIZED STEEL</v>
      </c>
      <c r="B1814" s="19">
        <v>806.3</v>
      </c>
      <c r="C1814" s="20" t="s">
        <v>491</v>
      </c>
      <c r="D1814" s="20" t="s">
        <v>17</v>
      </c>
    </row>
    <row r="1815" spans="1:4">
      <c r="A1815" s="18" t="str">
        <f t="shared" si="28"/>
        <v>806.4 4 INCH ELECTRICAL CONDUIT TYPE RM - GALVANIZED STEEL</v>
      </c>
      <c r="B1815" s="21">
        <v>806.4</v>
      </c>
      <c r="C1815" s="22" t="s">
        <v>492</v>
      </c>
      <c r="D1815" s="22" t="s">
        <v>17</v>
      </c>
    </row>
    <row r="1816" spans="1:4" s="26" customFormat="1">
      <c r="A1816" s="18" t="str">
        <f t="shared" si="28"/>
        <v>806.6 6 INCH ELECTRICAL CONDUIT TYPE RM - GALVANIZED STEEL</v>
      </c>
      <c r="B1816" s="19">
        <v>806.6</v>
      </c>
      <c r="C1816" s="20" t="s">
        <v>1515</v>
      </c>
      <c r="D1816" s="20" t="s">
        <v>17</v>
      </c>
    </row>
    <row r="1817" spans="1:4">
      <c r="A1817" s="18" t="str">
        <f t="shared" si="28"/>
        <v>808.2 2 INCH ELECTRICAL CONDUIT TY RM - STEEL - (PLASTIC COATED)</v>
      </c>
      <c r="B1817" s="21">
        <v>808.2</v>
      </c>
      <c r="C1817" s="22" t="s">
        <v>1516</v>
      </c>
      <c r="D1817" s="22" t="s">
        <v>17</v>
      </c>
    </row>
    <row r="1818" spans="1:4" s="26" customFormat="1">
      <c r="A1818" s="18" t="str">
        <f t="shared" si="28"/>
        <v>808.3 3 INCH ELECTRICAL CONDUIT TY RM - STEEL - (PLASTIC COATED)</v>
      </c>
      <c r="B1818" s="21">
        <v>808.3</v>
      </c>
      <c r="C1818" s="22" t="s">
        <v>3063</v>
      </c>
      <c r="D1818" s="22" t="s">
        <v>17</v>
      </c>
    </row>
    <row r="1819" spans="1:4">
      <c r="A1819" s="18" t="str">
        <f t="shared" si="28"/>
        <v>808.4 4 INCH ELECTRICAL CONDUIT TY RM - STEEL - (PLASTIC COATED)</v>
      </c>
      <c r="B1819" s="19">
        <v>808.4</v>
      </c>
      <c r="C1819" s="20" t="s">
        <v>3064</v>
      </c>
      <c r="D1819" s="20" t="s">
        <v>17</v>
      </c>
    </row>
    <row r="1820" spans="1:4" s="26" customFormat="1">
      <c r="A1820" s="18" t="str">
        <f t="shared" si="28"/>
        <v>808.6 6 INCH ELECTRICAL CONDUIT TY RM - STEEL - (PLASTIC COATED)</v>
      </c>
      <c r="B1820" s="19">
        <v>808.6</v>
      </c>
      <c r="C1820" s="20" t="s">
        <v>3065</v>
      </c>
      <c r="D1820" s="20" t="s">
        <v>17</v>
      </c>
    </row>
    <row r="1821" spans="1:4">
      <c r="A1821" s="18" t="str">
        <f t="shared" si="28"/>
        <v>809.05 1/2 INCH ELECTRICAL CONDUIT - FLEXIBLE METALLIC</v>
      </c>
      <c r="B1821" s="21">
        <v>809.05</v>
      </c>
      <c r="C1821" s="22" t="s">
        <v>3066</v>
      </c>
      <c r="D1821" s="22" t="s">
        <v>17</v>
      </c>
    </row>
    <row r="1822" spans="1:4" s="26" customFormat="1">
      <c r="A1822" s="18" t="str">
        <f t="shared" si="28"/>
        <v>809.075 3/4 INCH ELECTRICAL CONDUIT - FLEXIBLE METALLIC</v>
      </c>
      <c r="B1822" s="19">
        <v>809.07500000000005</v>
      </c>
      <c r="C1822" s="20" t="s">
        <v>3067</v>
      </c>
      <c r="D1822" s="20" t="s">
        <v>17</v>
      </c>
    </row>
    <row r="1823" spans="1:4">
      <c r="A1823" s="18" t="str">
        <f t="shared" si="28"/>
        <v>809.1 1 INCH ELECTRICAL CONDUIT - FLEXIBLE METALLIC</v>
      </c>
      <c r="B1823" s="21">
        <v>809.1</v>
      </c>
      <c r="C1823" s="22" t="s">
        <v>3068</v>
      </c>
      <c r="D1823" s="22" t="s">
        <v>17</v>
      </c>
    </row>
    <row r="1824" spans="1:4" s="26" customFormat="1">
      <c r="A1824" s="18" t="str">
        <f t="shared" si="28"/>
        <v>809.15 1-1/2 INCH ELECTRICAL CONDUIT - FLEXIBLE METALLIC</v>
      </c>
      <c r="B1824" s="19">
        <v>809.15</v>
      </c>
      <c r="C1824" s="20" t="s">
        <v>3069</v>
      </c>
      <c r="D1824" s="20" t="s">
        <v>17</v>
      </c>
    </row>
    <row r="1825" spans="1:4">
      <c r="A1825" s="18" t="str">
        <f t="shared" si="28"/>
        <v>809.2 2 INCH ELECTRICAL CONDUIT - FLEXIBLE METALLIC</v>
      </c>
      <c r="B1825" s="19">
        <v>809.2</v>
      </c>
      <c r="C1825" s="20" t="s">
        <v>3070</v>
      </c>
      <c r="D1825" s="20" t="s">
        <v>17</v>
      </c>
    </row>
    <row r="1826" spans="1:4" s="26" customFormat="1">
      <c r="A1826" s="18" t="str">
        <f t="shared" si="28"/>
        <v>809.3 3 INCH ELECTRICAL CONDUIT - FLEXIBLE METALLIC</v>
      </c>
      <c r="B1826" s="21">
        <v>809.3</v>
      </c>
      <c r="C1826" s="22" t="s">
        <v>3071</v>
      </c>
      <c r="D1826" s="22" t="s">
        <v>17</v>
      </c>
    </row>
    <row r="1827" spans="1:4">
      <c r="A1827" s="18" t="str">
        <f t="shared" si="28"/>
        <v>809.4 4 INCH ELECTRICAL CONDUIT - FLEXIBLE METALLIC</v>
      </c>
      <c r="B1827" s="19">
        <v>809.4</v>
      </c>
      <c r="C1827" s="20" t="s">
        <v>3072</v>
      </c>
      <c r="D1827" s="20" t="s">
        <v>17</v>
      </c>
    </row>
    <row r="1828" spans="1:4" s="26" customFormat="1">
      <c r="A1828" s="18" t="str">
        <f t="shared" si="28"/>
        <v>809.905 1/2 INCH ELECTRIC CONDUIT FLEXIBLE METALLIC - LIQUID TIGHT</v>
      </c>
      <c r="B1828" s="21">
        <v>809.90499999999997</v>
      </c>
      <c r="C1828" s="22" t="s">
        <v>3073</v>
      </c>
      <c r="D1828" s="22" t="s">
        <v>17</v>
      </c>
    </row>
    <row r="1829" spans="1:4">
      <c r="A1829" s="18" t="str">
        <f t="shared" si="28"/>
        <v>809.907 3/4 INCH ELECTRIC CONDUIT FLEXIBLE METALLIC - LIQUID TIGHT</v>
      </c>
      <c r="B1829" s="19">
        <v>809.90700000000004</v>
      </c>
      <c r="C1829" s="20" t="s">
        <v>3074</v>
      </c>
      <c r="D1829" s="20" t="s">
        <v>17</v>
      </c>
    </row>
    <row r="1830" spans="1:4" s="26" customFormat="1">
      <c r="A1830" s="18" t="str">
        <f t="shared" si="28"/>
        <v>809.91 1 INCH ELECTRIC CONDUIT FLEXIBLE METALLIC - LIQUID TIGHT</v>
      </c>
      <c r="B1830" s="21">
        <v>809.91</v>
      </c>
      <c r="C1830" s="22" t="s">
        <v>3075</v>
      </c>
      <c r="D1830" s="22" t="s">
        <v>17</v>
      </c>
    </row>
    <row r="1831" spans="1:4">
      <c r="A1831" s="18" t="str">
        <f t="shared" si="28"/>
        <v>809.915 1-1/2 INCH ELECTRIC CONDUIT FLEXIBLE METALLIC - LIQUID TIGHT</v>
      </c>
      <c r="B1831" s="21">
        <v>809.91499999999996</v>
      </c>
      <c r="C1831" s="22" t="s">
        <v>3076</v>
      </c>
      <c r="D1831" s="22" t="s">
        <v>17</v>
      </c>
    </row>
    <row r="1832" spans="1:4" s="26" customFormat="1">
      <c r="A1832" s="18" t="str">
        <f t="shared" si="28"/>
        <v>809.92 2 INCH ELECTRIC CONDUIT FLEXIBLE METALLIC - LIQUID TIGHT</v>
      </c>
      <c r="B1832" s="19">
        <v>809.92</v>
      </c>
      <c r="C1832" s="20" t="s">
        <v>3077</v>
      </c>
      <c r="D1832" s="20" t="s">
        <v>17</v>
      </c>
    </row>
    <row r="1833" spans="1:4">
      <c r="A1833" s="18" t="str">
        <f t="shared" si="28"/>
        <v>809.93 3 INCH ELECTRIC CONDUIT FLEXIBLE METALLIC - LIQUID TIGHT</v>
      </c>
      <c r="B1833" s="21">
        <v>809.93</v>
      </c>
      <c r="C1833" s="22" t="s">
        <v>3078</v>
      </c>
      <c r="D1833" s="22" t="s">
        <v>17</v>
      </c>
    </row>
    <row r="1834" spans="1:4" s="26" customFormat="1">
      <c r="A1834" s="18" t="str">
        <f t="shared" si="28"/>
        <v>809.94 4 INCH ELECTRIC CONDUIT FLEXIBLE METALLIC - LIQUID TIGHT</v>
      </c>
      <c r="B1834" s="19">
        <v>809.94</v>
      </c>
      <c r="C1834" s="20" t="s">
        <v>3079</v>
      </c>
      <c r="D1834" s="20" t="s">
        <v>17</v>
      </c>
    </row>
    <row r="1835" spans="1:4">
      <c r="A1835" s="18" t="str">
        <f t="shared" si="28"/>
        <v>810 CONDUIT ENCASED IN CONCRETE - SD 4.041</v>
      </c>
      <c r="B1835" s="21">
        <v>810</v>
      </c>
      <c r="C1835" s="22" t="s">
        <v>493</v>
      </c>
      <c r="D1835" s="22" t="s">
        <v>17</v>
      </c>
    </row>
    <row r="1836" spans="1:4" s="26" customFormat="1">
      <c r="A1836" s="18" t="str">
        <f t="shared" si="28"/>
        <v>810.91 MAINTENANCE OF TRAFFIC CONTROL SIGNAL SYSTEMS</v>
      </c>
      <c r="B1836" s="19">
        <v>810.91</v>
      </c>
      <c r="C1836" s="20" t="s">
        <v>3080</v>
      </c>
      <c r="D1836" s="20" t="s">
        <v>22</v>
      </c>
    </row>
    <row r="1837" spans="1:4">
      <c r="A1837" s="18" t="str">
        <f t="shared" si="28"/>
        <v>811.1 ELECTRIC MANHOLE - SD2.010</v>
      </c>
      <c r="B1837" s="21">
        <v>811.1</v>
      </c>
      <c r="C1837" s="22" t="s">
        <v>494</v>
      </c>
      <c r="D1837" s="22" t="s">
        <v>2</v>
      </c>
    </row>
    <row r="1838" spans="1:4" s="26" customFormat="1">
      <c r="A1838" s="18" t="str">
        <f t="shared" si="28"/>
        <v>811.11 ELECTRIC MANHOLE - SD2.011</v>
      </c>
      <c r="B1838" s="19">
        <v>811.11</v>
      </c>
      <c r="C1838" s="20" t="s">
        <v>3081</v>
      </c>
      <c r="D1838" s="20" t="s">
        <v>2</v>
      </c>
    </row>
    <row r="1839" spans="1:4">
      <c r="A1839" s="18" t="str">
        <f t="shared" si="28"/>
        <v>811.12 ELECTRIC MANHOLE - SD2.012</v>
      </c>
      <c r="B1839" s="21">
        <v>811.12</v>
      </c>
      <c r="C1839" s="22" t="s">
        <v>3082</v>
      </c>
      <c r="D1839" s="22" t="s">
        <v>2</v>
      </c>
    </row>
    <row r="1840" spans="1:4" s="26" customFormat="1">
      <c r="A1840" s="18" t="str">
        <f t="shared" si="28"/>
        <v>811.13 ELECTRIC MANHOLE - SD2.013</v>
      </c>
      <c r="B1840" s="19">
        <v>811.13</v>
      </c>
      <c r="C1840" s="20" t="s">
        <v>3083</v>
      </c>
      <c r="D1840" s="20" t="s">
        <v>2</v>
      </c>
    </row>
    <row r="1841" spans="1:4">
      <c r="A1841" s="18" t="str">
        <f t="shared" si="28"/>
        <v>811.14 ELECTRIC MANHOLE - SD2.014</v>
      </c>
      <c r="B1841" s="21">
        <v>811.14</v>
      </c>
      <c r="C1841" s="22" t="s">
        <v>3084</v>
      </c>
      <c r="D1841" s="22" t="s">
        <v>2</v>
      </c>
    </row>
    <row r="1842" spans="1:4" s="26" customFormat="1">
      <c r="A1842" s="18" t="str">
        <f t="shared" si="28"/>
        <v>811.2 ELECTRIC HANDHOLE - SD2.020</v>
      </c>
      <c r="B1842" s="19">
        <v>811.2</v>
      </c>
      <c r="C1842" s="20" t="s">
        <v>3085</v>
      </c>
      <c r="D1842" s="20" t="s">
        <v>2</v>
      </c>
    </row>
    <row r="1843" spans="1:4">
      <c r="A1843" s="18" t="str">
        <f t="shared" si="28"/>
        <v>811.21 ELECTRIC HANDHOLE - SD2.021</v>
      </c>
      <c r="B1843" s="21">
        <v>811.21</v>
      </c>
      <c r="C1843" s="22" t="s">
        <v>495</v>
      </c>
      <c r="D1843" s="22" t="s">
        <v>2</v>
      </c>
    </row>
    <row r="1844" spans="1:4" s="26" customFormat="1">
      <c r="A1844" s="18" t="str">
        <f t="shared" si="28"/>
        <v>811.22 ELECTRIC HANDHOLE - SD2.022</v>
      </c>
      <c r="B1844" s="19">
        <v>811.22</v>
      </c>
      <c r="C1844" s="20" t="s">
        <v>496</v>
      </c>
      <c r="D1844" s="20" t="s">
        <v>2</v>
      </c>
    </row>
    <row r="1845" spans="1:4">
      <c r="A1845" s="18" t="str">
        <f t="shared" si="28"/>
        <v>811.23 ELECTRIC HANDHOLE - SD2.023</v>
      </c>
      <c r="B1845" s="21">
        <v>811.23</v>
      </c>
      <c r="C1845" s="22" t="s">
        <v>497</v>
      </c>
      <c r="D1845" s="22" t="s">
        <v>2</v>
      </c>
    </row>
    <row r="1846" spans="1:4" s="26" customFormat="1">
      <c r="A1846" s="18" t="str">
        <f t="shared" si="28"/>
        <v>811.24 ELECTRIC HANDHOLE - SD2.024</v>
      </c>
      <c r="B1846" s="19">
        <v>811.24</v>
      </c>
      <c r="C1846" s="20" t="s">
        <v>498</v>
      </c>
      <c r="D1846" s="20" t="s">
        <v>2</v>
      </c>
    </row>
    <row r="1847" spans="1:4">
      <c r="A1847" s="18" t="str">
        <f t="shared" si="28"/>
        <v>811.25 ELECTRIC HANDHOLE - TYPE A</v>
      </c>
      <c r="B1847" s="21">
        <v>811.25</v>
      </c>
      <c r="C1847" s="22" t="s">
        <v>3086</v>
      </c>
      <c r="D1847" s="22" t="s">
        <v>2</v>
      </c>
    </row>
    <row r="1848" spans="1:4" s="26" customFormat="1">
      <c r="A1848" s="18" t="str">
        <f t="shared" si="28"/>
        <v>811.26 ELECTRIC HANDHOLE - TYPE B</v>
      </c>
      <c r="B1848" s="19">
        <v>811.26</v>
      </c>
      <c r="C1848" s="20" t="s">
        <v>3087</v>
      </c>
      <c r="D1848" s="20" t="s">
        <v>2</v>
      </c>
    </row>
    <row r="1849" spans="1:4">
      <c r="A1849" s="18" t="str">
        <f t="shared" si="28"/>
        <v>811.27 ELECTRIC HANDHOLE - (MUNICIPAL STANDARD)</v>
      </c>
      <c r="B1849" s="21">
        <v>811.27</v>
      </c>
      <c r="C1849" s="22" t="s">
        <v>499</v>
      </c>
      <c r="D1849" s="22" t="s">
        <v>2</v>
      </c>
    </row>
    <row r="1850" spans="1:4" s="26" customFormat="1">
      <c r="A1850" s="18" t="str">
        <f t="shared" si="28"/>
        <v>811.3 PULL BOX  8 X  23 INCHES - SD2.030</v>
      </c>
      <c r="B1850" s="19">
        <v>811.3</v>
      </c>
      <c r="C1850" s="20" t="s">
        <v>3088</v>
      </c>
      <c r="D1850" s="20" t="s">
        <v>2</v>
      </c>
    </row>
    <row r="1851" spans="1:4">
      <c r="A1851" s="18" t="str">
        <f t="shared" si="28"/>
        <v>811.31 PULL BOX  12 X 12 INCHES - SD2.031</v>
      </c>
      <c r="B1851" s="21">
        <v>811.31</v>
      </c>
      <c r="C1851" s="22" t="s">
        <v>3089</v>
      </c>
      <c r="D1851" s="22" t="s">
        <v>2</v>
      </c>
    </row>
    <row r="1852" spans="1:4" s="26" customFormat="1">
      <c r="A1852" s="18" t="str">
        <f t="shared" si="28"/>
        <v>811.35 PULL BOX ADJUSTED</v>
      </c>
      <c r="B1852" s="19">
        <v>811.35</v>
      </c>
      <c r="C1852" s="20" t="s">
        <v>502</v>
      </c>
      <c r="D1852" s="20" t="s">
        <v>2</v>
      </c>
    </row>
    <row r="1853" spans="1:4">
      <c r="A1853" s="18" t="str">
        <f t="shared" si="28"/>
        <v>811.36 ELECTRIC MANHOLE ADJUSTED</v>
      </c>
      <c r="B1853" s="21">
        <v>811.36</v>
      </c>
      <c r="C1853" s="22" t="s">
        <v>503</v>
      </c>
      <c r="D1853" s="22" t="s">
        <v>2</v>
      </c>
    </row>
    <row r="1854" spans="1:4" s="26" customFormat="1">
      <c r="A1854" s="18" t="str">
        <f t="shared" si="28"/>
        <v>811.37 ELECTRIC HANDHOLE ADJUSTED</v>
      </c>
      <c r="B1854" s="19">
        <v>811.37</v>
      </c>
      <c r="C1854" s="20" t="s">
        <v>504</v>
      </c>
      <c r="D1854" s="20" t="s">
        <v>2</v>
      </c>
    </row>
    <row r="1855" spans="1:4">
      <c r="A1855" s="18" t="str">
        <f t="shared" si="28"/>
        <v>811.38 ELECTRIC HANDHOLE REMOVED AND RESET</v>
      </c>
      <c r="B1855" s="19">
        <v>811.38</v>
      </c>
      <c r="C1855" s="20" t="s">
        <v>3090</v>
      </c>
      <c r="D1855" s="20" t="s">
        <v>2</v>
      </c>
    </row>
    <row r="1856" spans="1:4" s="26" customFormat="1">
      <c r="A1856" s="18" t="str">
        <f t="shared" si="28"/>
        <v>811.39 ELECTRIC HANDHOLE REMOVED AND STACKED</v>
      </c>
      <c r="B1856" s="21">
        <v>811.39</v>
      </c>
      <c r="C1856" s="22" t="s">
        <v>505</v>
      </c>
      <c r="D1856" s="22" t="s">
        <v>2</v>
      </c>
    </row>
    <row r="1857" spans="1:4">
      <c r="A1857" s="18" t="str">
        <f t="shared" si="28"/>
        <v>811.4 JUNCTION BOX 6 X 6  X 4 INCHES</v>
      </c>
      <c r="B1857" s="19">
        <v>811.4</v>
      </c>
      <c r="C1857" s="20" t="s">
        <v>3091</v>
      </c>
      <c r="D1857" s="20" t="s">
        <v>2</v>
      </c>
    </row>
    <row r="1858" spans="1:4" s="26" customFormat="1">
      <c r="A1858" s="18" t="str">
        <f t="shared" ref="A1858:A1921" si="29">B1858&amp;" "&amp;C1858</f>
        <v>811.41 JUNCTION BOX 8  X 6  X 4 INCHES</v>
      </c>
      <c r="B1858" s="19">
        <v>811.41</v>
      </c>
      <c r="C1858" s="20" t="s">
        <v>3092</v>
      </c>
      <c r="D1858" s="20" t="s">
        <v>2</v>
      </c>
    </row>
    <row r="1859" spans="1:4">
      <c r="A1859" s="18" t="str">
        <f t="shared" si="29"/>
        <v>811.42 JUNCTION BOX 8  X 6  X 6 INCHES</v>
      </c>
      <c r="B1859" s="21">
        <v>811.42</v>
      </c>
      <c r="C1859" s="22" t="s">
        <v>3093</v>
      </c>
      <c r="D1859" s="22" t="s">
        <v>2</v>
      </c>
    </row>
    <row r="1860" spans="1:4" s="26" customFormat="1">
      <c r="A1860" s="18" t="str">
        <f t="shared" si="29"/>
        <v>811.5 JUNCTION BOX 10  X 6  X 4 INCHES</v>
      </c>
      <c r="B1860" s="21">
        <v>811.5</v>
      </c>
      <c r="C1860" s="22" t="s">
        <v>3094</v>
      </c>
      <c r="D1860" s="22" t="s">
        <v>2</v>
      </c>
    </row>
    <row r="1861" spans="1:4">
      <c r="A1861" s="18" t="str">
        <f t="shared" si="29"/>
        <v>811.6 JUNCTION BOX 12  X 8  X 6 INCHES</v>
      </c>
      <c r="B1861" s="19">
        <v>811.6</v>
      </c>
      <c r="C1861" s="20" t="s">
        <v>3095</v>
      </c>
      <c r="D1861" s="20" t="s">
        <v>2</v>
      </c>
    </row>
    <row r="1862" spans="1:4" s="26" customFormat="1">
      <c r="A1862" s="18" t="str">
        <f t="shared" si="29"/>
        <v>811.61 JUNCTION BOX 12  X 12  X 6 INCHES</v>
      </c>
      <c r="B1862" s="21">
        <v>811.61</v>
      </c>
      <c r="C1862" s="22" t="s">
        <v>3096</v>
      </c>
      <c r="D1862" s="22" t="s">
        <v>2</v>
      </c>
    </row>
    <row r="1863" spans="1:4">
      <c r="A1863" s="18" t="str">
        <f t="shared" si="29"/>
        <v>811.62 JUNCTION BOX 12  X 12  X 8 INCHES</v>
      </c>
      <c r="B1863" s="21">
        <v>811.62</v>
      </c>
      <c r="C1863" s="22" t="s">
        <v>3097</v>
      </c>
      <c r="D1863" s="22" t="s">
        <v>2</v>
      </c>
    </row>
    <row r="1864" spans="1:4" s="26" customFormat="1">
      <c r="A1864" s="18" t="str">
        <f t="shared" si="29"/>
        <v>811.63 JUNCTION BOX 12  X 12  X 10 INCHES</v>
      </c>
      <c r="B1864" s="21">
        <v>811.63</v>
      </c>
      <c r="C1864" s="22" t="s">
        <v>3098</v>
      </c>
      <c r="D1864" s="22" t="s">
        <v>2</v>
      </c>
    </row>
    <row r="1865" spans="1:4">
      <c r="A1865" s="18" t="str">
        <f t="shared" si="29"/>
        <v>811.71 JUNCTION BOX 18  X 12  X 8 INCHES</v>
      </c>
      <c r="B1865" s="21">
        <v>811.71</v>
      </c>
      <c r="C1865" s="22" t="s">
        <v>3099</v>
      </c>
      <c r="D1865" s="22" t="s">
        <v>2</v>
      </c>
    </row>
    <row r="1866" spans="1:4" s="26" customFormat="1">
      <c r="A1866" s="18" t="str">
        <f t="shared" si="29"/>
        <v>811.72 JUNCTION BOX 18  X 12  X 10 INCHES</v>
      </c>
      <c r="B1866" s="19">
        <v>811.72</v>
      </c>
      <c r="C1866" s="20" t="s">
        <v>3100</v>
      </c>
      <c r="D1866" s="20" t="s">
        <v>2</v>
      </c>
    </row>
    <row r="1867" spans="1:4">
      <c r="A1867" s="18" t="str">
        <f t="shared" si="29"/>
        <v>811.8 JUNCTION BOX 24  X 8  X 8 INCHES</v>
      </c>
      <c r="B1867" s="19">
        <v>811.8</v>
      </c>
      <c r="C1867" s="20" t="s">
        <v>3101</v>
      </c>
      <c r="D1867" s="20" t="s">
        <v>2</v>
      </c>
    </row>
    <row r="1868" spans="1:4" s="26" customFormat="1">
      <c r="A1868" s="18" t="str">
        <f t="shared" si="29"/>
        <v>811.81 JUNCTION BOX 24  X 8  X 12 INCHES</v>
      </c>
      <c r="B1868" s="21">
        <v>811.81</v>
      </c>
      <c r="C1868" s="22" t="s">
        <v>3102</v>
      </c>
      <c r="D1868" s="22" t="s">
        <v>2</v>
      </c>
    </row>
    <row r="1869" spans="1:4">
      <c r="A1869" s="18" t="str">
        <f t="shared" si="29"/>
        <v>811.82 JUNCTION BOX 24  X 8  X 18 INCHES</v>
      </c>
      <c r="B1869" s="19">
        <v>811.82</v>
      </c>
      <c r="C1869" s="20" t="s">
        <v>3103</v>
      </c>
      <c r="D1869" s="20" t="s">
        <v>2</v>
      </c>
    </row>
    <row r="1870" spans="1:4" s="26" customFormat="1">
      <c r="A1870" s="18" t="str">
        <f t="shared" si="29"/>
        <v>811.83 JUNCTION BOX 24  X 10  X 16 INCHES</v>
      </c>
      <c r="B1870" s="19">
        <v>811.83</v>
      </c>
      <c r="C1870" s="20" t="s">
        <v>3104</v>
      </c>
      <c r="D1870" s="20" t="s">
        <v>2</v>
      </c>
    </row>
    <row r="1871" spans="1:4">
      <c r="A1871" s="18" t="str">
        <f t="shared" si="29"/>
        <v>811.84 JUNCTION BOX 24  X 12  X 8 INCHES</v>
      </c>
      <c r="B1871" s="19">
        <v>811.84</v>
      </c>
      <c r="C1871" s="20" t="s">
        <v>3105</v>
      </c>
      <c r="D1871" s="20" t="s">
        <v>2</v>
      </c>
    </row>
    <row r="1872" spans="1:4" s="26" customFormat="1">
      <c r="A1872" s="18" t="str">
        <f t="shared" si="29"/>
        <v>811.85 JUNCTION BOX 24  X 12  X 12 INCHES</v>
      </c>
      <c r="B1872" s="21">
        <v>811.85</v>
      </c>
      <c r="C1872" s="22" t="s">
        <v>3106</v>
      </c>
      <c r="D1872" s="22" t="s">
        <v>2</v>
      </c>
    </row>
    <row r="1873" spans="1:4">
      <c r="A1873" s="18" t="str">
        <f t="shared" si="29"/>
        <v>811.86 JUNCTION BOX 24  X 14  X 10 INCHES</v>
      </c>
      <c r="B1873" s="21">
        <v>811.86</v>
      </c>
      <c r="C1873" s="22" t="s">
        <v>3107</v>
      </c>
      <c r="D1873" s="22" t="s">
        <v>2</v>
      </c>
    </row>
    <row r="1874" spans="1:4" s="26" customFormat="1">
      <c r="A1874" s="18" t="str">
        <f t="shared" si="29"/>
        <v>811.87 JUNCTION BOX 24  X 24  X 10 INCHES</v>
      </c>
      <c r="B1874" s="21">
        <v>811.87</v>
      </c>
      <c r="C1874" s="22" t="s">
        <v>3108</v>
      </c>
      <c r="D1874" s="22" t="s">
        <v>2</v>
      </c>
    </row>
    <row r="1875" spans="1:4">
      <c r="A1875" s="18" t="str">
        <f t="shared" si="29"/>
        <v>811.9 JUNCTION BOX 30  X 24  X 12 INCHES</v>
      </c>
      <c r="B1875" s="19">
        <v>811.9</v>
      </c>
      <c r="C1875" s="20" t="s">
        <v>3109</v>
      </c>
      <c r="D1875" s="20" t="s">
        <v>2</v>
      </c>
    </row>
    <row r="1876" spans="1:4" s="26" customFormat="1">
      <c r="A1876" s="18" t="str">
        <f t="shared" si="29"/>
        <v>812.09 LIGHT STANDARD FOUNDATION PRECAST</v>
      </c>
      <c r="B1876" s="21">
        <v>812.09</v>
      </c>
      <c r="C1876" s="22" t="s">
        <v>506</v>
      </c>
      <c r="D1876" s="22" t="s">
        <v>2</v>
      </c>
    </row>
    <row r="1877" spans="1:4">
      <c r="A1877" s="18" t="str">
        <f t="shared" si="29"/>
        <v>812.1 LIGHT STANDARD FOUNDATION SD3.010</v>
      </c>
      <c r="B1877" s="19">
        <v>812.1</v>
      </c>
      <c r="C1877" s="20" t="s">
        <v>507</v>
      </c>
      <c r="D1877" s="20" t="s">
        <v>2</v>
      </c>
    </row>
    <row r="1878" spans="1:4" s="26" customFormat="1">
      <c r="A1878" s="18" t="str">
        <f t="shared" si="29"/>
        <v>812.11 LIGHT STANDARD FOUNDATION SD3.011</v>
      </c>
      <c r="B1878" s="19">
        <v>812.11</v>
      </c>
      <c r="C1878" s="20" t="s">
        <v>3110</v>
      </c>
      <c r="D1878" s="20" t="s">
        <v>2</v>
      </c>
    </row>
    <row r="1879" spans="1:4">
      <c r="A1879" s="18" t="str">
        <f t="shared" si="29"/>
        <v>812.12 LIGHT STANDARD FOUNDATION SD3.012</v>
      </c>
      <c r="B1879" s="19">
        <v>812.12</v>
      </c>
      <c r="C1879" s="20" t="s">
        <v>3111</v>
      </c>
      <c r="D1879" s="20" t="s">
        <v>2</v>
      </c>
    </row>
    <row r="1880" spans="1:4" s="26" customFormat="1">
      <c r="A1880" s="18" t="str">
        <f t="shared" si="29"/>
        <v>812.13 LIGHT STANDARD FOUNDATION SD3.013</v>
      </c>
      <c r="B1880" s="21">
        <v>812.13</v>
      </c>
      <c r="C1880" s="22" t="s">
        <v>508</v>
      </c>
      <c r="D1880" s="22" t="s">
        <v>2</v>
      </c>
    </row>
    <row r="1881" spans="1:4">
      <c r="A1881" s="18" t="str">
        <f t="shared" si="29"/>
        <v>812.14 LIGHT STANDARD FOUNDATION SD3.014</v>
      </c>
      <c r="B1881" s="19">
        <v>812.14</v>
      </c>
      <c r="C1881" s="20" t="s">
        <v>1443</v>
      </c>
      <c r="D1881" s="20" t="s">
        <v>2</v>
      </c>
    </row>
    <row r="1882" spans="1:4" s="26" customFormat="1">
      <c r="A1882" s="18" t="str">
        <f t="shared" si="29"/>
        <v>812.15 LIGHT STANDARD FOUNDATION SD3.015</v>
      </c>
      <c r="B1882" s="21">
        <v>812.15</v>
      </c>
      <c r="C1882" s="22" t="s">
        <v>3112</v>
      </c>
      <c r="D1882" s="22" t="s">
        <v>2</v>
      </c>
    </row>
    <row r="1883" spans="1:4">
      <c r="A1883" s="18" t="str">
        <f t="shared" si="29"/>
        <v>812.2 LIGHTING LOAD CENTER FOUNDATION</v>
      </c>
      <c r="B1883" s="19">
        <v>812.2</v>
      </c>
      <c r="C1883" s="20" t="s">
        <v>509</v>
      </c>
      <c r="D1883" s="20" t="s">
        <v>2</v>
      </c>
    </row>
    <row r="1884" spans="1:4" s="26" customFormat="1">
      <c r="A1884" s="18" t="str">
        <f t="shared" si="29"/>
        <v>812.3 STANDARD SIGNAL POST FOUNDATION SD3.030</v>
      </c>
      <c r="B1884" s="21">
        <v>812.3</v>
      </c>
      <c r="C1884" s="22" t="s">
        <v>3113</v>
      </c>
      <c r="D1884" s="22" t="s">
        <v>2</v>
      </c>
    </row>
    <row r="1885" spans="1:4">
      <c r="A1885" s="18" t="str">
        <f t="shared" si="29"/>
        <v>812.31 PEDESTAL SIGNAL POST FOUNDATION SD3.031</v>
      </c>
      <c r="B1885" s="21">
        <v>812.31</v>
      </c>
      <c r="C1885" s="22" t="s">
        <v>3114</v>
      </c>
      <c r="D1885" s="22" t="s">
        <v>2</v>
      </c>
    </row>
    <row r="1886" spans="1:4" s="26" customFormat="1">
      <c r="A1886" s="18" t="str">
        <f t="shared" si="29"/>
        <v>812.4 SIGNAL MAST ARM FOUNDATION</v>
      </c>
      <c r="B1886" s="21">
        <v>812.4</v>
      </c>
      <c r="C1886" s="22" t="s">
        <v>510</v>
      </c>
      <c r="D1886" s="22" t="s">
        <v>2</v>
      </c>
    </row>
    <row r="1887" spans="1:4">
      <c r="A1887" s="18" t="str">
        <f t="shared" si="29"/>
        <v>812.41 SIGNAL MAST ARM FOUNDATION - MUNICIPAL STANDARD</v>
      </c>
      <c r="B1887" s="19">
        <v>812.41</v>
      </c>
      <c r="C1887" s="20" t="s">
        <v>3115</v>
      </c>
      <c r="D1887" s="20" t="s">
        <v>2</v>
      </c>
    </row>
    <row r="1888" spans="1:4" s="26" customFormat="1">
      <c r="A1888" s="18" t="str">
        <f t="shared" si="29"/>
        <v>813.1 TRAFFIC SIGNAL STEEL MESSENGER CABLE - TYPE 0</v>
      </c>
      <c r="B1888" s="21">
        <v>813.1</v>
      </c>
      <c r="C1888" s="22" t="s">
        <v>3116</v>
      </c>
      <c r="D1888" s="22" t="s">
        <v>17</v>
      </c>
    </row>
    <row r="1889" spans="1:4">
      <c r="A1889" s="18" t="str">
        <f t="shared" si="29"/>
        <v>813.21 TRAFFIC SIGNAL CABLE - TYPE 1</v>
      </c>
      <c r="B1889" s="19">
        <v>813.21</v>
      </c>
      <c r="C1889" s="20" t="s">
        <v>3117</v>
      </c>
      <c r="D1889" s="20" t="s">
        <v>17</v>
      </c>
    </row>
    <row r="1890" spans="1:4" s="26" customFormat="1">
      <c r="A1890" s="18" t="str">
        <f t="shared" si="29"/>
        <v>813.22 TRAFFIC SIGNAL CABLE - TYPE 2</v>
      </c>
      <c r="B1890" s="19">
        <v>813.22</v>
      </c>
      <c r="C1890" s="20" t="s">
        <v>3118</v>
      </c>
      <c r="D1890" s="20" t="s">
        <v>17</v>
      </c>
    </row>
    <row r="1891" spans="1:4">
      <c r="A1891" s="18" t="str">
        <f t="shared" si="29"/>
        <v>813.23 TRAFFIC SIGNAL CABLE - TYPE 3</v>
      </c>
      <c r="B1891" s="19">
        <v>813.23</v>
      </c>
      <c r="C1891" s="20" t="s">
        <v>3119</v>
      </c>
      <c r="D1891" s="20" t="s">
        <v>17</v>
      </c>
    </row>
    <row r="1892" spans="1:4" s="26" customFormat="1">
      <c r="A1892" s="18" t="str">
        <f t="shared" si="29"/>
        <v>813.24 TRAFFIC SIGNAL CABLE - TYPE 4</v>
      </c>
      <c r="B1892" s="19">
        <v>813.24</v>
      </c>
      <c r="C1892" s="20" t="s">
        <v>3120</v>
      </c>
      <c r="D1892" s="20" t="s">
        <v>17</v>
      </c>
    </row>
    <row r="1893" spans="1:4">
      <c r="A1893" s="18" t="str">
        <f t="shared" si="29"/>
        <v>813.25 TRAFFIC SIGNAL CABLE - TYPE 5</v>
      </c>
      <c r="B1893" s="21">
        <v>813.25</v>
      </c>
      <c r="C1893" s="22" t="s">
        <v>3121</v>
      </c>
      <c r="D1893" s="22" t="s">
        <v>17</v>
      </c>
    </row>
    <row r="1894" spans="1:4" s="26" customFormat="1">
      <c r="A1894" s="18" t="str">
        <f t="shared" si="29"/>
        <v>813.26 TRAFFIC SIGNAL HEAD WIRE TYPE 6</v>
      </c>
      <c r="B1894" s="21">
        <v>813.26</v>
      </c>
      <c r="C1894" s="22" t="s">
        <v>3122</v>
      </c>
      <c r="D1894" s="22" t="s">
        <v>17</v>
      </c>
    </row>
    <row r="1895" spans="1:4">
      <c r="A1895" s="18" t="str">
        <f t="shared" si="29"/>
        <v>813.3 WIRE TYPE 7 NO. 10 GENERAL PURPOSE</v>
      </c>
      <c r="B1895" s="21">
        <v>813.3</v>
      </c>
      <c r="C1895" s="22" t="s">
        <v>511</v>
      </c>
      <c r="D1895" s="22" t="s">
        <v>17</v>
      </c>
    </row>
    <row r="1896" spans="1:4" s="26" customFormat="1">
      <c r="A1896" s="18" t="str">
        <f t="shared" si="29"/>
        <v>813.31 WIRE TYPE 7 NO. 8 GENERAL PURPOSE</v>
      </c>
      <c r="B1896" s="19">
        <v>813.31</v>
      </c>
      <c r="C1896" s="20" t="s">
        <v>512</v>
      </c>
      <c r="D1896" s="20" t="s">
        <v>17</v>
      </c>
    </row>
    <row r="1897" spans="1:4">
      <c r="A1897" s="18" t="str">
        <f t="shared" si="29"/>
        <v>813.32 WIRE TYPE 7 NO. 6 GENERAL PURPOSE</v>
      </c>
      <c r="B1897" s="21">
        <v>813.32</v>
      </c>
      <c r="C1897" s="22" t="s">
        <v>513</v>
      </c>
      <c r="D1897" s="22" t="s">
        <v>17</v>
      </c>
    </row>
    <row r="1898" spans="1:4" s="26" customFormat="1">
      <c r="A1898" s="18" t="str">
        <f t="shared" si="29"/>
        <v>813.33 WIRE TYPE 7 NO. 4 GENERAL PURPOSE</v>
      </c>
      <c r="B1898" s="21">
        <v>813.33</v>
      </c>
      <c r="C1898" s="22" t="s">
        <v>514</v>
      </c>
      <c r="D1898" s="22" t="s">
        <v>17</v>
      </c>
    </row>
    <row r="1899" spans="1:4">
      <c r="A1899" s="18" t="str">
        <f t="shared" si="29"/>
        <v>813.34 WIRE TYPE 7 NO. 2 GENERAL PURPOSE</v>
      </c>
      <c r="B1899" s="21">
        <v>813.34</v>
      </c>
      <c r="C1899" s="22" t="s">
        <v>515</v>
      </c>
      <c r="D1899" s="22" t="s">
        <v>17</v>
      </c>
    </row>
    <row r="1900" spans="1:4" s="26" customFormat="1">
      <c r="A1900" s="18" t="str">
        <f t="shared" si="29"/>
        <v>813.35 WIRE TYPE 7 NO. 1 GENERAL PURPOSE</v>
      </c>
      <c r="B1900" s="19">
        <v>813.35</v>
      </c>
      <c r="C1900" s="20" t="s">
        <v>516</v>
      </c>
      <c r="D1900" s="20" t="s">
        <v>17</v>
      </c>
    </row>
    <row r="1901" spans="1:4">
      <c r="A1901" s="18" t="str">
        <f t="shared" si="29"/>
        <v>813.36 WIRE TYPE 7 NO. 1/0 GENERAL PURPOSE</v>
      </c>
      <c r="B1901" s="19">
        <v>813.36</v>
      </c>
      <c r="C1901" s="20" t="s">
        <v>517</v>
      </c>
      <c r="D1901" s="20" t="s">
        <v>17</v>
      </c>
    </row>
    <row r="1902" spans="1:4" s="26" customFormat="1">
      <c r="A1902" s="18" t="str">
        <f t="shared" si="29"/>
        <v>813.37 WIRE TYPE 7 NO. 2/0 GENERAL PURPOSE</v>
      </c>
      <c r="B1902" s="19">
        <v>813.37</v>
      </c>
      <c r="C1902" s="20" t="s">
        <v>3123</v>
      </c>
      <c r="D1902" s="20" t="s">
        <v>17</v>
      </c>
    </row>
    <row r="1903" spans="1:4">
      <c r="A1903" s="18" t="str">
        <f t="shared" si="29"/>
        <v>813.38 WIRE TYPE 7 NO. 3/0 GENERAL PURPOSE</v>
      </c>
      <c r="B1903" s="21">
        <v>813.38</v>
      </c>
      <c r="C1903" s="22" t="s">
        <v>3124</v>
      </c>
      <c r="D1903" s="22" t="s">
        <v>17</v>
      </c>
    </row>
    <row r="1904" spans="1:4" s="26" customFormat="1">
      <c r="A1904" s="18" t="str">
        <f t="shared" si="29"/>
        <v>813.39 WIRE TYPE 7 NO. 4/0 GENERAL PURPOSE</v>
      </c>
      <c r="B1904" s="19">
        <v>813.39</v>
      </c>
      <c r="C1904" s="20" t="s">
        <v>3125</v>
      </c>
      <c r="D1904" s="20" t="s">
        <v>17</v>
      </c>
    </row>
    <row r="1905" spans="1:4">
      <c r="A1905" s="18" t="str">
        <f t="shared" si="29"/>
        <v>813.4 WIRE TYPE 8 NO. 10 DIRECT BURIAL</v>
      </c>
      <c r="B1905" s="19">
        <v>813.4</v>
      </c>
      <c r="C1905" s="20" t="s">
        <v>64</v>
      </c>
      <c r="D1905" s="20" t="s">
        <v>17</v>
      </c>
    </row>
    <row r="1906" spans="1:4" s="26" customFormat="1">
      <c r="A1906" s="18" t="str">
        <f t="shared" si="29"/>
        <v>813.41 WIRE TYPE 8 NO. 8 DIRECT BURIAL</v>
      </c>
      <c r="B1906" s="19">
        <v>813.41</v>
      </c>
      <c r="C1906" s="20" t="s">
        <v>518</v>
      </c>
      <c r="D1906" s="20" t="s">
        <v>17</v>
      </c>
    </row>
    <row r="1907" spans="1:4">
      <c r="A1907" s="18" t="str">
        <f t="shared" si="29"/>
        <v>813.42 WIRE TYPE 8 NO. 6 DIRECT BURIAL</v>
      </c>
      <c r="B1907" s="21">
        <v>813.42</v>
      </c>
      <c r="C1907" s="22" t="s">
        <v>519</v>
      </c>
      <c r="D1907" s="22" t="s">
        <v>17</v>
      </c>
    </row>
    <row r="1908" spans="1:4" s="26" customFormat="1">
      <c r="A1908" s="18" t="str">
        <f t="shared" si="29"/>
        <v>813.43 WIRE TYPE 8 NO. 4 DIRECT BURIAL</v>
      </c>
      <c r="B1908" s="21">
        <v>813.43</v>
      </c>
      <c r="C1908" s="22" t="s">
        <v>65</v>
      </c>
      <c r="D1908" s="22" t="s">
        <v>17</v>
      </c>
    </row>
    <row r="1909" spans="1:4">
      <c r="A1909" s="18" t="str">
        <f t="shared" si="29"/>
        <v>813.44 WIRE TYPE 8 NO. 2 DIRECT BURIAL</v>
      </c>
      <c r="B1909" s="21">
        <v>813.44</v>
      </c>
      <c r="C1909" s="22" t="s">
        <v>520</v>
      </c>
      <c r="D1909" s="22" t="s">
        <v>17</v>
      </c>
    </row>
    <row r="1910" spans="1:4" s="26" customFormat="1">
      <c r="A1910" s="18" t="str">
        <f t="shared" si="29"/>
        <v>813.45 WIRE TYPE 8 NO. 1 DIRECT BURIAL</v>
      </c>
      <c r="B1910" s="19">
        <v>813.45</v>
      </c>
      <c r="C1910" s="20" t="s">
        <v>3126</v>
      </c>
      <c r="D1910" s="20" t="s">
        <v>17</v>
      </c>
    </row>
    <row r="1911" spans="1:4">
      <c r="A1911" s="18" t="str">
        <f t="shared" si="29"/>
        <v>813.46 WIRE TYPE 8 NO. 1/0 DIRECT BURIAL</v>
      </c>
      <c r="B1911" s="21">
        <v>813.46</v>
      </c>
      <c r="C1911" s="22" t="s">
        <v>1444</v>
      </c>
      <c r="D1911" s="22" t="s">
        <v>17</v>
      </c>
    </row>
    <row r="1912" spans="1:4" s="26" customFormat="1">
      <c r="A1912" s="18" t="str">
        <f t="shared" si="29"/>
        <v>813.47 WIRE TYPE 8 NO. 2/0 DIRECT BURIAL</v>
      </c>
      <c r="B1912" s="21">
        <v>813.47</v>
      </c>
      <c r="C1912" s="22" t="s">
        <v>3127</v>
      </c>
      <c r="D1912" s="22" t="s">
        <v>17</v>
      </c>
    </row>
    <row r="1913" spans="1:4">
      <c r="A1913" s="18" t="str">
        <f t="shared" si="29"/>
        <v>813.48 WIRE TYPE 8 NO. 3/0 DIRECT BURIAL</v>
      </c>
      <c r="B1913" s="21">
        <v>813.48</v>
      </c>
      <c r="C1913" s="22" t="s">
        <v>3128</v>
      </c>
      <c r="D1913" s="22" t="s">
        <v>17</v>
      </c>
    </row>
    <row r="1914" spans="1:4" s="26" customFormat="1">
      <c r="A1914" s="18" t="str">
        <f t="shared" si="29"/>
        <v>813.49 WIRE TYPE 8 NO. 4/0 DIRECT BURIAL</v>
      </c>
      <c r="B1914" s="19">
        <v>813.49</v>
      </c>
      <c r="C1914" s="20" t="s">
        <v>3129</v>
      </c>
      <c r="D1914" s="20" t="s">
        <v>17</v>
      </c>
    </row>
    <row r="1915" spans="1:4">
      <c r="A1915" s="18" t="str">
        <f t="shared" si="29"/>
        <v>813.5 WIRE TYPE 9 SPECIAL PURPOSE (TW - THW)</v>
      </c>
      <c r="B1915" s="19">
        <v>813.5</v>
      </c>
      <c r="C1915" s="20" t="s">
        <v>3130</v>
      </c>
      <c r="D1915" s="20" t="s">
        <v>17</v>
      </c>
    </row>
    <row r="1916" spans="1:4" s="26" customFormat="1">
      <c r="A1916" s="18" t="str">
        <f t="shared" si="29"/>
        <v>813.51 WIRE TYPE 9 SPECIAL PURPOSE (UF)</v>
      </c>
      <c r="B1916" s="19">
        <v>813.51</v>
      </c>
      <c r="C1916" s="20" t="s">
        <v>3131</v>
      </c>
      <c r="D1916" s="20" t="s">
        <v>17</v>
      </c>
    </row>
    <row r="1917" spans="1:4">
      <c r="A1917" s="18" t="str">
        <f t="shared" si="29"/>
        <v>813.52 WIRE TYPE 10 - #8 GROUNDING AND BONDING</v>
      </c>
      <c r="B1917" s="19">
        <v>813.52</v>
      </c>
      <c r="C1917" s="20" t="s">
        <v>521</v>
      </c>
      <c r="D1917" s="20" t="s">
        <v>17</v>
      </c>
    </row>
    <row r="1918" spans="1:4" s="26" customFormat="1">
      <c r="A1918" s="18" t="str">
        <f t="shared" si="29"/>
        <v>813.53 WIRE TYPE 11 - LOOP DETECTOR LEAD IN</v>
      </c>
      <c r="B1918" s="19">
        <v>813.53</v>
      </c>
      <c r="C1918" s="20" t="s">
        <v>3132</v>
      </c>
      <c r="D1918" s="20" t="s">
        <v>17</v>
      </c>
    </row>
    <row r="1919" spans="1:4">
      <c r="A1919" s="18" t="str">
        <f t="shared" si="29"/>
        <v>813.54 WIRE TYPE 12 - HEAVY DUTY PORTABLE CORD</v>
      </c>
      <c r="B1919" s="21">
        <v>813.54</v>
      </c>
      <c r="C1919" s="22" t="s">
        <v>3133</v>
      </c>
      <c r="D1919" s="22" t="s">
        <v>17</v>
      </c>
    </row>
    <row r="1920" spans="1:4" s="26" customFormat="1">
      <c r="A1920" s="18" t="str">
        <f t="shared" si="29"/>
        <v>813.55 WIRE TYPE 13 - LOOP DETECTOR WIRE AND TUBE</v>
      </c>
      <c r="B1920" s="19">
        <v>813.55</v>
      </c>
      <c r="C1920" s="20" t="s">
        <v>3134</v>
      </c>
      <c r="D1920" s="20" t="s">
        <v>17</v>
      </c>
    </row>
    <row r="1921" spans="1:4">
      <c r="A1921" s="18" t="str">
        <f t="shared" si="29"/>
        <v>813.6 EQUIPMENT GROUNDING</v>
      </c>
      <c r="B1921" s="21">
        <v>813.6</v>
      </c>
      <c r="C1921" s="22" t="s">
        <v>522</v>
      </c>
      <c r="D1921" s="22" t="s">
        <v>22</v>
      </c>
    </row>
    <row r="1922" spans="1:4" s="26" customFormat="1">
      <c r="A1922" s="18" t="str">
        <f t="shared" ref="A1922:A1985" si="30">B1922&amp;" "&amp;C1922</f>
        <v>813.7 GROUND ROD</v>
      </c>
      <c r="B1922" s="21">
        <v>813.7</v>
      </c>
      <c r="C1922" s="22" t="s">
        <v>3135</v>
      </c>
      <c r="D1922" s="22" t="s">
        <v>17</v>
      </c>
    </row>
    <row r="1923" spans="1:4">
      <c r="A1923" s="18" t="str">
        <f t="shared" si="30"/>
        <v>813.71 GROUND ROD 8 FEET LONG</v>
      </c>
      <c r="B1923" s="21">
        <v>813.71</v>
      </c>
      <c r="C1923" s="22" t="s">
        <v>3136</v>
      </c>
      <c r="D1923" s="22" t="s">
        <v>2</v>
      </c>
    </row>
    <row r="1924" spans="1:4" s="26" customFormat="1">
      <c r="A1924" s="18" t="str">
        <f t="shared" si="30"/>
        <v>813.72 GROUND ROD 10 FEET LONG</v>
      </c>
      <c r="B1924" s="21">
        <v>813.72</v>
      </c>
      <c r="C1924" s="22" t="s">
        <v>523</v>
      </c>
      <c r="D1924" s="22" t="s">
        <v>2</v>
      </c>
    </row>
    <row r="1925" spans="1:4">
      <c r="A1925" s="18" t="str">
        <f t="shared" si="30"/>
        <v>813.79 INTERCONNECT CABLE SYSTEM</v>
      </c>
      <c r="B1925" s="19">
        <v>813.79</v>
      </c>
      <c r="C1925" s="20" t="s">
        <v>524</v>
      </c>
      <c r="D1925" s="20" t="s">
        <v>22</v>
      </c>
    </row>
    <row r="1926" spans="1:4" s="26" customFormat="1">
      <c r="A1926" s="18" t="str">
        <f t="shared" si="30"/>
        <v>813.791 INTERCONNECT CABLE SYSTEM</v>
      </c>
      <c r="B1926" s="21">
        <v>813.79100000000005</v>
      </c>
      <c r="C1926" s="22" t="s">
        <v>524</v>
      </c>
      <c r="D1926" s="22" t="s">
        <v>17</v>
      </c>
    </row>
    <row r="1927" spans="1:4">
      <c r="A1927" s="18" t="str">
        <f t="shared" si="30"/>
        <v>813.8 SERVICE CONNECTION (OVERHEAD)</v>
      </c>
      <c r="B1927" s="19">
        <v>813.8</v>
      </c>
      <c r="C1927" s="20" t="s">
        <v>1445</v>
      </c>
      <c r="D1927" s="20" t="s">
        <v>22</v>
      </c>
    </row>
    <row r="1928" spans="1:4" s="26" customFormat="1">
      <c r="A1928" s="18" t="str">
        <f t="shared" si="30"/>
        <v>813.81 SERVICE CONNECTION (UNDERGROUND)</v>
      </c>
      <c r="B1928" s="21">
        <v>813.81</v>
      </c>
      <c r="C1928" s="22" t="s">
        <v>525</v>
      </c>
      <c r="D1928" s="22" t="s">
        <v>22</v>
      </c>
    </row>
    <row r="1929" spans="1:4">
      <c r="A1929" s="18" t="str">
        <f t="shared" si="30"/>
        <v>815 TRAFFIC CONTROL SIGNAL</v>
      </c>
      <c r="B1929" s="19">
        <v>815</v>
      </c>
      <c r="C1929" s="20" t="s">
        <v>1517</v>
      </c>
      <c r="D1929" s="20" t="s">
        <v>22</v>
      </c>
    </row>
    <row r="1930" spans="1:4" s="26" customFormat="1">
      <c r="A1930" s="18" t="str">
        <f t="shared" si="30"/>
        <v>815.1 TRAFFIC CONTROL SIGNAL LOCATION NO. 1</v>
      </c>
      <c r="B1930" s="19">
        <v>815.1</v>
      </c>
      <c r="C1930" s="20" t="s">
        <v>526</v>
      </c>
      <c r="D1930" s="20" t="s">
        <v>22</v>
      </c>
    </row>
    <row r="1931" spans="1:4">
      <c r="A1931" s="18" t="str">
        <f t="shared" si="30"/>
        <v>815.2 TRAFFIC CONTROL SIGNAL LOCATION NO. 2</v>
      </c>
      <c r="B1931" s="19">
        <v>815.2</v>
      </c>
      <c r="C1931" s="20" t="s">
        <v>527</v>
      </c>
      <c r="D1931" s="20" t="s">
        <v>22</v>
      </c>
    </row>
    <row r="1932" spans="1:4" s="26" customFormat="1">
      <c r="A1932" s="18" t="str">
        <f t="shared" si="30"/>
        <v>815.3 TRAFFIC CONTROL SIGNAL LOCATION NO. 3</v>
      </c>
      <c r="B1932" s="21">
        <v>815.3</v>
      </c>
      <c r="C1932" s="22" t="s">
        <v>528</v>
      </c>
      <c r="D1932" s="22" t="s">
        <v>22</v>
      </c>
    </row>
    <row r="1933" spans="1:4">
      <c r="A1933" s="18" t="str">
        <f t="shared" si="30"/>
        <v>815.4 TRAFFIC CONTROL SIGNAL LOCATION NO. 4</v>
      </c>
      <c r="B1933" s="21">
        <v>815.4</v>
      </c>
      <c r="C1933" s="22" t="s">
        <v>3137</v>
      </c>
      <c r="D1933" s="22" t="s">
        <v>22</v>
      </c>
    </row>
    <row r="1934" spans="1:4" s="26" customFormat="1">
      <c r="A1934" s="18" t="str">
        <f t="shared" si="30"/>
        <v>815.5 TRAFFIC CONTROL SIGNAL LOCATION NO. 5</v>
      </c>
      <c r="B1934" s="21">
        <v>815.5</v>
      </c>
      <c r="C1934" s="22" t="s">
        <v>3138</v>
      </c>
      <c r="D1934" s="22" t="s">
        <v>22</v>
      </c>
    </row>
    <row r="1935" spans="1:4">
      <c r="A1935" s="18" t="str">
        <f t="shared" si="30"/>
        <v>815.98 FOOTING COST ADJUSTMENT</v>
      </c>
      <c r="B1935" s="21">
        <v>815.98</v>
      </c>
      <c r="C1935" s="22" t="s">
        <v>529</v>
      </c>
      <c r="D1935" s="22" t="s">
        <v>17</v>
      </c>
    </row>
    <row r="1936" spans="1:4" s="26" customFormat="1">
      <c r="A1936" s="18" t="str">
        <f t="shared" si="30"/>
        <v>816 TRAFFIC SIGNAL REMOVED AND RESET</v>
      </c>
      <c r="B1936" s="19">
        <v>816</v>
      </c>
      <c r="C1936" s="20" t="s">
        <v>530</v>
      </c>
      <c r="D1936" s="20" t="s">
        <v>22</v>
      </c>
    </row>
    <row r="1937" spans="1:4">
      <c r="A1937" s="18" t="str">
        <f t="shared" si="30"/>
        <v>816.01 TRAFFIC SIGNAL RECONSTRUCTION LOCATION NO. 1</v>
      </c>
      <c r="B1937" s="19">
        <v>816.01</v>
      </c>
      <c r="C1937" s="20" t="s">
        <v>531</v>
      </c>
      <c r="D1937" s="20" t="s">
        <v>22</v>
      </c>
    </row>
    <row r="1938" spans="1:4" s="26" customFormat="1">
      <c r="A1938" s="18" t="str">
        <f t="shared" si="30"/>
        <v>816.02 TRAFFIC SIGNAL RECONSTRUCTION LOCATION NO. 2</v>
      </c>
      <c r="B1938" s="19">
        <v>816.02</v>
      </c>
      <c r="C1938" s="20" t="s">
        <v>532</v>
      </c>
      <c r="D1938" s="20" t="s">
        <v>22</v>
      </c>
    </row>
    <row r="1939" spans="1:4">
      <c r="A1939" s="18" t="str">
        <f t="shared" si="30"/>
        <v>816.03 TRAFFIC SIGNAL RECONSTRUCTION LOCATION NO. 3</v>
      </c>
      <c r="B1939" s="19">
        <v>816.03</v>
      </c>
      <c r="C1939" s="20" t="s">
        <v>533</v>
      </c>
      <c r="D1939" s="20" t="s">
        <v>22</v>
      </c>
    </row>
    <row r="1940" spans="1:4" s="26" customFormat="1">
      <c r="A1940" s="18" t="str">
        <f t="shared" si="30"/>
        <v>816.4 TRAFFIC CONTROL SIGNAL REMOVED AND RESET</v>
      </c>
      <c r="B1940" s="21">
        <v>816.4</v>
      </c>
      <c r="C1940" s="22" t="s">
        <v>1518</v>
      </c>
      <c r="D1940" s="22" t="s">
        <v>22</v>
      </c>
    </row>
    <row r="1941" spans="1:4">
      <c r="A1941" s="18" t="str">
        <f t="shared" si="30"/>
        <v>816.8 TRAFFIC CONTROL SIGNAL REMOVED AND STACKED</v>
      </c>
      <c r="B1941" s="21">
        <v>816.8</v>
      </c>
      <c r="C1941" s="22" t="s">
        <v>534</v>
      </c>
      <c r="D1941" s="22" t="s">
        <v>22</v>
      </c>
    </row>
    <row r="1942" spans="1:4" s="26" customFormat="1">
      <c r="A1942" s="18" t="str">
        <f t="shared" si="30"/>
        <v>816.81 TEMPORARY TRAFFIC CONTROL SIGNAL</v>
      </c>
      <c r="B1942" s="21">
        <v>816.81</v>
      </c>
      <c r="C1942" s="22" t="s">
        <v>535</v>
      </c>
      <c r="D1942" s="22" t="s">
        <v>22</v>
      </c>
    </row>
    <row r="1943" spans="1:4">
      <c r="A1943" s="18" t="str">
        <f t="shared" si="30"/>
        <v>816.9 TRAFFIC CONTROL SIGNAL REMOVED AND TRANSPORTED</v>
      </c>
      <c r="B1943" s="21">
        <v>816.9</v>
      </c>
      <c r="C1943" s="22" t="s">
        <v>536</v>
      </c>
      <c r="D1943" s="22" t="s">
        <v>22</v>
      </c>
    </row>
    <row r="1944" spans="1:4" s="26" customFormat="1">
      <c r="A1944" s="18" t="str">
        <f t="shared" si="30"/>
        <v>817.1 SIGNAL POST AND BASE STANDARD - 8 FOOT</v>
      </c>
      <c r="B1944" s="21">
        <v>817.1</v>
      </c>
      <c r="C1944" s="22" t="s">
        <v>537</v>
      </c>
      <c r="D1944" s="22" t="s">
        <v>2</v>
      </c>
    </row>
    <row r="1945" spans="1:4">
      <c r="A1945" s="18" t="str">
        <f t="shared" si="30"/>
        <v>817.11 SIGNAL POST AND BASE STANDARD - 10 FOOT</v>
      </c>
      <c r="B1945" s="19">
        <v>817.11</v>
      </c>
      <c r="C1945" s="20" t="s">
        <v>538</v>
      </c>
      <c r="D1945" s="20" t="s">
        <v>2</v>
      </c>
    </row>
    <row r="1946" spans="1:4" s="26" customFormat="1">
      <c r="A1946" s="18" t="str">
        <f t="shared" si="30"/>
        <v>817.2 SIGNAL POST AND BASE PEDESTAL - 8 FOOT</v>
      </c>
      <c r="B1946" s="19">
        <v>817.2</v>
      </c>
      <c r="C1946" s="20" t="s">
        <v>3139</v>
      </c>
      <c r="D1946" s="20" t="s">
        <v>2</v>
      </c>
    </row>
    <row r="1947" spans="1:4">
      <c r="A1947" s="18" t="str">
        <f t="shared" si="30"/>
        <v>817.21 SIGNAL POST AND BASE PEDESTAL - 10 FOOT</v>
      </c>
      <c r="B1947" s="19">
        <v>817.21</v>
      </c>
      <c r="C1947" s="20" t="s">
        <v>3140</v>
      </c>
      <c r="D1947" s="20" t="s">
        <v>2</v>
      </c>
    </row>
    <row r="1948" spans="1:4" s="26" customFormat="1">
      <c r="A1948" s="18" t="str">
        <f t="shared" si="30"/>
        <v>817.4 SIGNAL BASE STANDARD - 14 INCH OCTAGONAL</v>
      </c>
      <c r="B1948" s="19">
        <v>817.4</v>
      </c>
      <c r="C1948" s="20" t="s">
        <v>3141</v>
      </c>
      <c r="D1948" s="20" t="s">
        <v>2</v>
      </c>
    </row>
    <row r="1949" spans="1:4">
      <c r="A1949" s="18" t="str">
        <f t="shared" si="30"/>
        <v>817.41 SIGNAL BASE PEDESTAL - 15 INCH SQUARE</v>
      </c>
      <c r="B1949" s="19">
        <v>817.41</v>
      </c>
      <c r="C1949" s="20" t="s">
        <v>3142</v>
      </c>
      <c r="D1949" s="20" t="s">
        <v>2</v>
      </c>
    </row>
    <row r="1950" spans="1:4" s="26" customFormat="1">
      <c r="A1950" s="18" t="str">
        <f t="shared" si="30"/>
        <v>817.5 SIGNAL MAST ARM 20 FEET - ALUMINUM</v>
      </c>
      <c r="B1950" s="19">
        <v>817.5</v>
      </c>
      <c r="C1950" s="20" t="s">
        <v>3143</v>
      </c>
      <c r="D1950" s="20" t="s">
        <v>2</v>
      </c>
    </row>
    <row r="1951" spans="1:4">
      <c r="A1951" s="18" t="str">
        <f t="shared" si="30"/>
        <v>817.51 SIGNAL MAST ARM 25 FEET - ALUMINUM</v>
      </c>
      <c r="B1951" s="19">
        <v>817.51</v>
      </c>
      <c r="C1951" s="20" t="s">
        <v>3144</v>
      </c>
      <c r="D1951" s="20" t="s">
        <v>2</v>
      </c>
    </row>
    <row r="1952" spans="1:4" s="26" customFormat="1">
      <c r="A1952" s="18" t="str">
        <f t="shared" si="30"/>
        <v>817.52 SIGNAL MAST ARM 30 FEET - ALUMINUM</v>
      </c>
      <c r="B1952" s="21">
        <v>817.52</v>
      </c>
      <c r="C1952" s="22" t="s">
        <v>3145</v>
      </c>
      <c r="D1952" s="22" t="s">
        <v>2</v>
      </c>
    </row>
    <row r="1953" spans="1:4">
      <c r="A1953" s="18" t="str">
        <f t="shared" si="30"/>
        <v>817.53 SIGNAL MAST ARM 35 FEET - ALUMINUM</v>
      </c>
      <c r="B1953" s="21">
        <v>817.53</v>
      </c>
      <c r="C1953" s="22" t="s">
        <v>3146</v>
      </c>
      <c r="D1953" s="22" t="s">
        <v>2</v>
      </c>
    </row>
    <row r="1954" spans="1:4" s="26" customFormat="1">
      <c r="A1954" s="18" t="str">
        <f t="shared" si="30"/>
        <v>817.6 SIGNAL MAST ARM 20 FEET - STEEL</v>
      </c>
      <c r="B1954" s="21">
        <v>817.6</v>
      </c>
      <c r="C1954" s="22" t="s">
        <v>3147</v>
      </c>
      <c r="D1954" s="22" t="s">
        <v>2</v>
      </c>
    </row>
    <row r="1955" spans="1:4">
      <c r="A1955" s="18" t="str">
        <f t="shared" si="30"/>
        <v>817.61 SIGNAL MAST ARM 25 FEET - STEEL</v>
      </c>
      <c r="B1955" s="21">
        <v>817.61</v>
      </c>
      <c r="C1955" s="22" t="s">
        <v>3148</v>
      </c>
      <c r="D1955" s="22" t="s">
        <v>2</v>
      </c>
    </row>
    <row r="1956" spans="1:4" s="26" customFormat="1">
      <c r="A1956" s="18" t="str">
        <f t="shared" si="30"/>
        <v>817.62 SIGNAL MAST ARM 30 FEET - STEEL</v>
      </c>
      <c r="B1956" s="21">
        <v>817.62</v>
      </c>
      <c r="C1956" s="22" t="s">
        <v>539</v>
      </c>
      <c r="D1956" s="22" t="s">
        <v>2</v>
      </c>
    </row>
    <row r="1957" spans="1:4">
      <c r="A1957" s="18" t="str">
        <f t="shared" si="30"/>
        <v>817.63 SIGNAL MAST ARM 35 FEET - STEEL</v>
      </c>
      <c r="B1957" s="21">
        <v>817.63</v>
      </c>
      <c r="C1957" s="22" t="s">
        <v>3149</v>
      </c>
      <c r="D1957" s="22" t="s">
        <v>2</v>
      </c>
    </row>
    <row r="1958" spans="1:4" s="26" customFormat="1">
      <c r="A1958" s="18" t="str">
        <f t="shared" si="30"/>
        <v>817.64 SIGNAL MAST ARM 40 FEET - STEEL</v>
      </c>
      <c r="B1958" s="21">
        <v>817.64</v>
      </c>
      <c r="C1958" s="22" t="s">
        <v>3150</v>
      </c>
      <c r="D1958" s="22" t="s">
        <v>2</v>
      </c>
    </row>
    <row r="1959" spans="1:4">
      <c r="A1959" s="18" t="str">
        <f t="shared" si="30"/>
        <v>817.65 SIGNAL MAST ARM 45 FEET - STEEL</v>
      </c>
      <c r="B1959" s="19">
        <v>817.65</v>
      </c>
      <c r="C1959" s="20" t="s">
        <v>3151</v>
      </c>
      <c r="D1959" s="20" t="s">
        <v>2</v>
      </c>
    </row>
    <row r="1960" spans="1:4" s="26" customFormat="1">
      <c r="A1960" s="18" t="str">
        <f t="shared" si="30"/>
        <v>817.66 SIGNAL MAST ARM 50 FEET - STEEL</v>
      </c>
      <c r="B1960" s="19">
        <v>817.66</v>
      </c>
      <c r="C1960" s="20" t="s">
        <v>3152</v>
      </c>
      <c r="D1960" s="20" t="s">
        <v>2</v>
      </c>
    </row>
    <row r="1961" spans="1:4">
      <c r="A1961" s="18" t="str">
        <f t="shared" si="30"/>
        <v>817.67 SIGNAL MAST ARM 55 FEET - STEEL</v>
      </c>
      <c r="B1961" s="19">
        <v>817.67</v>
      </c>
      <c r="C1961" s="20" t="s">
        <v>3153</v>
      </c>
      <c r="D1961" s="20" t="s">
        <v>2</v>
      </c>
    </row>
    <row r="1962" spans="1:4" s="26" customFormat="1">
      <c r="A1962" s="18" t="str">
        <f t="shared" si="30"/>
        <v>817.68 SIGNAL MAST ARM 60 FEET - STEEL</v>
      </c>
      <c r="B1962" s="19">
        <v>817.68</v>
      </c>
      <c r="C1962" s="20" t="s">
        <v>3154</v>
      </c>
      <c r="D1962" s="20" t="s">
        <v>2</v>
      </c>
    </row>
    <row r="1963" spans="1:4">
      <c r="A1963" s="18" t="str">
        <f t="shared" si="30"/>
        <v>818.01 SIGNAL HEAD 1 WAY, ONE SECTION 8 INCH LENS</v>
      </c>
      <c r="B1963" s="21">
        <v>818.01</v>
      </c>
      <c r="C1963" s="22" t="s">
        <v>3155</v>
      </c>
      <c r="D1963" s="22" t="s">
        <v>2</v>
      </c>
    </row>
    <row r="1964" spans="1:4" s="26" customFormat="1">
      <c r="A1964" s="18" t="str">
        <f t="shared" si="30"/>
        <v>818.02 SIGNAL HEAD 1 WAY, TWO SECTION 8 INCH LENS</v>
      </c>
      <c r="B1964" s="21">
        <v>818.02</v>
      </c>
      <c r="C1964" s="22" t="s">
        <v>3156</v>
      </c>
      <c r="D1964" s="22" t="s">
        <v>2</v>
      </c>
    </row>
    <row r="1965" spans="1:4">
      <c r="A1965" s="18" t="str">
        <f t="shared" si="30"/>
        <v>818.03 SIGNAL HEAD 1 WAY, THREE SECTION 8 INCH LENS</v>
      </c>
      <c r="B1965" s="19">
        <v>818.03</v>
      </c>
      <c r="C1965" s="20" t="s">
        <v>3157</v>
      </c>
      <c r="D1965" s="20" t="s">
        <v>2</v>
      </c>
    </row>
    <row r="1966" spans="1:4" s="26" customFormat="1">
      <c r="A1966" s="18" t="str">
        <f t="shared" si="30"/>
        <v>818.04 SIGNAL HEAD 1 WAY, FOUR SECTION 8 INCH LENS</v>
      </c>
      <c r="B1966" s="19">
        <v>818.04</v>
      </c>
      <c r="C1966" s="20" t="s">
        <v>3158</v>
      </c>
      <c r="D1966" s="20" t="s">
        <v>2</v>
      </c>
    </row>
    <row r="1967" spans="1:4">
      <c r="A1967" s="18" t="str">
        <f t="shared" si="30"/>
        <v>818.05 SIGNAL HEAD 1 WAY, FIVE SECTION 8 INCH LENS</v>
      </c>
      <c r="B1967" s="19">
        <v>818.05</v>
      </c>
      <c r="C1967" s="20" t="s">
        <v>3159</v>
      </c>
      <c r="D1967" s="20" t="s">
        <v>2</v>
      </c>
    </row>
    <row r="1968" spans="1:4" s="26" customFormat="1">
      <c r="A1968" s="18" t="str">
        <f t="shared" si="30"/>
        <v>818.11 SIGNAL HEAD 1 WAY, ONE SECTION 12 INCH LENS</v>
      </c>
      <c r="B1968" s="21">
        <v>818.11</v>
      </c>
      <c r="C1968" s="22" t="s">
        <v>3160</v>
      </c>
      <c r="D1968" s="22" t="s">
        <v>2</v>
      </c>
    </row>
    <row r="1969" spans="1:4">
      <c r="A1969" s="18" t="str">
        <f t="shared" si="30"/>
        <v>818.12 SIGNAL HEAD 1 WAY, TWO SECTION 12 INCH LENS</v>
      </c>
      <c r="B1969" s="21">
        <v>818.12</v>
      </c>
      <c r="C1969" s="22" t="s">
        <v>3161</v>
      </c>
      <c r="D1969" s="22" t="s">
        <v>2</v>
      </c>
    </row>
    <row r="1970" spans="1:4" s="26" customFormat="1">
      <c r="A1970" s="18" t="str">
        <f t="shared" si="30"/>
        <v>818.13 SIGNAL HEAD 1 WAY, THREE SECTION 12 INCH LENS</v>
      </c>
      <c r="B1970" s="19">
        <v>818.13</v>
      </c>
      <c r="C1970" s="20" t="s">
        <v>3162</v>
      </c>
      <c r="D1970" s="20" t="s">
        <v>2</v>
      </c>
    </row>
    <row r="1971" spans="1:4">
      <c r="A1971" s="18" t="str">
        <f t="shared" si="30"/>
        <v>818.14 SIGNAL HEAD 1 WAY, FOUR SECTION 12 INCH LENS</v>
      </c>
      <c r="B1971" s="19">
        <v>818.14</v>
      </c>
      <c r="C1971" s="20" t="s">
        <v>3163</v>
      </c>
      <c r="D1971" s="20" t="s">
        <v>2</v>
      </c>
    </row>
    <row r="1972" spans="1:4" s="26" customFormat="1">
      <c r="A1972" s="18" t="str">
        <f t="shared" si="30"/>
        <v>818.15 SIGNAL HEAD 1 WAY, FIVE SECTION 12 INCH LENS</v>
      </c>
      <c r="B1972" s="21">
        <v>818.15</v>
      </c>
      <c r="C1972" s="22" t="s">
        <v>3164</v>
      </c>
      <c r="D1972" s="22" t="s">
        <v>2</v>
      </c>
    </row>
    <row r="1973" spans="1:4">
      <c r="A1973" s="18" t="str">
        <f t="shared" si="30"/>
        <v>818.23 SIGNAL HEAD 1 WAY, THREE SECTION TWO - 12 INCH LENS</v>
      </c>
      <c r="B1973" s="19">
        <v>818.23</v>
      </c>
      <c r="C1973" s="20" t="s">
        <v>3165</v>
      </c>
      <c r="D1973" s="20" t="s">
        <v>2</v>
      </c>
    </row>
    <row r="1974" spans="1:4" s="26" customFormat="1">
      <c r="A1974" s="18" t="str">
        <f t="shared" si="30"/>
        <v>818.24 SIGNAL HEAD 1 WAY, FOUR SECTION TWO - 12 INCH LENS</v>
      </c>
      <c r="B1974" s="19">
        <v>818.24</v>
      </c>
      <c r="C1974" s="20" t="s">
        <v>3166</v>
      </c>
      <c r="D1974" s="20" t="s">
        <v>2</v>
      </c>
    </row>
    <row r="1975" spans="1:4">
      <c r="A1975" s="18" t="str">
        <f t="shared" si="30"/>
        <v>818.25 SIGNAL HEAD 1 WAY, FIVE SECTION TWO - 12 INCH LENS</v>
      </c>
      <c r="B1975" s="21">
        <v>818.25</v>
      </c>
      <c r="C1975" s="22" t="s">
        <v>3167</v>
      </c>
      <c r="D1975" s="22" t="s">
        <v>2</v>
      </c>
    </row>
    <row r="1976" spans="1:4" s="26" customFormat="1">
      <c r="A1976" s="18" t="str">
        <f t="shared" si="30"/>
        <v>818.33 SIGNAL HEAD 1 WAY, THREE SECTION 12 INCH RED LENS</v>
      </c>
      <c r="B1976" s="21">
        <v>818.33</v>
      </c>
      <c r="C1976" s="22" t="s">
        <v>3168</v>
      </c>
      <c r="D1976" s="22" t="s">
        <v>2</v>
      </c>
    </row>
    <row r="1977" spans="1:4">
      <c r="A1977" s="18" t="str">
        <f t="shared" si="30"/>
        <v>818.34 SIGNAL HEAD 1 WAY, FOUR SECTION 12 INCH RED LENS</v>
      </c>
      <c r="B1977" s="21">
        <v>818.34</v>
      </c>
      <c r="C1977" s="22" t="s">
        <v>3169</v>
      </c>
      <c r="D1977" s="22" t="s">
        <v>2</v>
      </c>
    </row>
    <row r="1978" spans="1:4" s="26" customFormat="1">
      <c r="A1978" s="18" t="str">
        <f t="shared" si="30"/>
        <v>818.35 SIGNAL HEAD 1 WAY, FIVE SECTION 12 INCH RED LENS</v>
      </c>
      <c r="B1978" s="21">
        <v>818.35</v>
      </c>
      <c r="C1978" s="22" t="s">
        <v>3170</v>
      </c>
      <c r="D1978" s="22" t="s">
        <v>2</v>
      </c>
    </row>
    <row r="1979" spans="1:4">
      <c r="A1979" s="18" t="str">
        <f t="shared" si="30"/>
        <v>818.4 SIGNAL HEAD 1 WAY, 1 SECTION 9 INCH SQUARE LENS</v>
      </c>
      <c r="B1979" s="19">
        <v>818.4</v>
      </c>
      <c r="C1979" s="20" t="s">
        <v>3171</v>
      </c>
      <c r="D1979" s="20" t="s">
        <v>2</v>
      </c>
    </row>
    <row r="1980" spans="1:4" s="26" customFormat="1">
      <c r="A1980" s="18" t="str">
        <f t="shared" si="30"/>
        <v>818.42 PEDESTRIAN SIGNAL HEAD</v>
      </c>
      <c r="B1980" s="21">
        <v>818.42</v>
      </c>
      <c r="C1980" s="22" t="s">
        <v>3172</v>
      </c>
      <c r="D1980" s="22" t="s">
        <v>2</v>
      </c>
    </row>
    <row r="1981" spans="1:4">
      <c r="A1981" s="18" t="str">
        <f t="shared" si="30"/>
        <v>818.51 1 WAY POST TOP MOUNTING ASSEMBLY</v>
      </c>
      <c r="B1981" s="21">
        <v>818.51</v>
      </c>
      <c r="C1981" s="22" t="s">
        <v>3173</v>
      </c>
      <c r="D1981" s="22" t="s">
        <v>2</v>
      </c>
    </row>
    <row r="1982" spans="1:4" s="26" customFormat="1">
      <c r="A1982" s="18" t="str">
        <f t="shared" si="30"/>
        <v>818.52 2 WAY POST TOP MOUNTING ASSEMBLY</v>
      </c>
      <c r="B1982" s="19">
        <v>818.52</v>
      </c>
      <c r="C1982" s="20" t="s">
        <v>3174</v>
      </c>
      <c r="D1982" s="20" t="s">
        <v>2</v>
      </c>
    </row>
    <row r="1983" spans="1:4">
      <c r="A1983" s="18" t="str">
        <f t="shared" si="30"/>
        <v>818.53 3 WAY POST TOP MOUNTING ASSEMBLY</v>
      </c>
      <c r="B1983" s="19">
        <v>818.53</v>
      </c>
      <c r="C1983" s="20" t="s">
        <v>3175</v>
      </c>
      <c r="D1983" s="20" t="s">
        <v>2</v>
      </c>
    </row>
    <row r="1984" spans="1:4" s="26" customFormat="1">
      <c r="A1984" s="18" t="str">
        <f t="shared" si="30"/>
        <v>818.54 4 WAY POST TOP MOUNTING ASSEMBLY</v>
      </c>
      <c r="B1984" s="19">
        <v>818.54</v>
      </c>
      <c r="C1984" s="20" t="s">
        <v>3176</v>
      </c>
      <c r="D1984" s="20" t="s">
        <v>2</v>
      </c>
    </row>
    <row r="1985" spans="1:4">
      <c r="A1985" s="18" t="str">
        <f t="shared" si="30"/>
        <v>818.55 MAST ARM MOUNTING ASSEMBLY 1 WAY</v>
      </c>
      <c r="B1985" s="21">
        <v>818.55</v>
      </c>
      <c r="C1985" s="22" t="s">
        <v>3177</v>
      </c>
      <c r="D1985" s="22" t="s">
        <v>2</v>
      </c>
    </row>
    <row r="1986" spans="1:4" s="26" customFormat="1">
      <c r="A1986" s="18" t="str">
        <f t="shared" ref="A1986:A2049" si="31">B1986&amp;" "&amp;C1986</f>
        <v>818.56 MAST ARM MOUNTING ASSEMBLY 2 WAY</v>
      </c>
      <c r="B1986" s="19">
        <v>818.56</v>
      </c>
      <c r="C1986" s="20" t="s">
        <v>3178</v>
      </c>
      <c r="D1986" s="20" t="s">
        <v>2</v>
      </c>
    </row>
    <row r="1987" spans="1:4">
      <c r="A1987" s="18" t="str">
        <f t="shared" si="31"/>
        <v>818.57 MAST ARM MOUNTING ASSEMBLY 3 WAY</v>
      </c>
      <c r="B1987" s="21">
        <v>818.57</v>
      </c>
      <c r="C1987" s="22" t="s">
        <v>3179</v>
      </c>
      <c r="D1987" s="22" t="s">
        <v>2</v>
      </c>
    </row>
    <row r="1988" spans="1:4" s="26" customFormat="1">
      <c r="A1988" s="18" t="str">
        <f t="shared" si="31"/>
        <v>818.58 MAST ARM MOUNTING ASSEMBLY 4 WAY</v>
      </c>
      <c r="B1988" s="21">
        <v>818.58</v>
      </c>
      <c r="C1988" s="22" t="s">
        <v>3180</v>
      </c>
      <c r="D1988" s="22" t="s">
        <v>2</v>
      </c>
    </row>
    <row r="1989" spans="1:4">
      <c r="A1989" s="18" t="str">
        <f t="shared" si="31"/>
        <v>818.59 POST SIDE MOUNTING ASSEMBLY 1 WAY</v>
      </c>
      <c r="B1989" s="19">
        <v>818.59</v>
      </c>
      <c r="C1989" s="20" t="s">
        <v>3181</v>
      </c>
      <c r="D1989" s="20" t="s">
        <v>2</v>
      </c>
    </row>
    <row r="1990" spans="1:4" s="26" customFormat="1">
      <c r="A1990" s="18" t="str">
        <f t="shared" si="31"/>
        <v>818.6 POST SIDE MOUNTING ASSEMBLY 2 WAY</v>
      </c>
      <c r="B1990" s="21">
        <v>818.6</v>
      </c>
      <c r="C1990" s="22" t="s">
        <v>3182</v>
      </c>
      <c r="D1990" s="22" t="s">
        <v>2</v>
      </c>
    </row>
    <row r="1991" spans="1:4">
      <c r="A1991" s="18" t="str">
        <f t="shared" si="31"/>
        <v>818.61 POST SIDE MOUNTING ASSEMBLY 3 WAY</v>
      </c>
      <c r="B1991" s="19">
        <v>818.61</v>
      </c>
      <c r="C1991" s="20" t="s">
        <v>3183</v>
      </c>
      <c r="D1991" s="20" t="s">
        <v>2</v>
      </c>
    </row>
    <row r="1992" spans="1:4" s="26" customFormat="1">
      <c r="A1992" s="18" t="str">
        <f t="shared" si="31"/>
        <v>818.62 POST SIDE MOUNTING ASSEMBLY 4 WAY</v>
      </c>
      <c r="B1992" s="19">
        <v>818.62</v>
      </c>
      <c r="C1992" s="20" t="s">
        <v>3184</v>
      </c>
      <c r="D1992" s="20" t="s">
        <v>2</v>
      </c>
    </row>
    <row r="1993" spans="1:4">
      <c r="A1993" s="18" t="str">
        <f t="shared" si="31"/>
        <v>818.63 SPAN WIRE MOUNTING ASSEMBLY 1 WAY</v>
      </c>
      <c r="B1993" s="21">
        <v>818.63</v>
      </c>
      <c r="C1993" s="22" t="s">
        <v>3185</v>
      </c>
      <c r="D1993" s="22" t="s">
        <v>2</v>
      </c>
    </row>
    <row r="1994" spans="1:4" s="26" customFormat="1">
      <c r="A1994" s="18" t="str">
        <f t="shared" si="31"/>
        <v>818.64 SPAN WIRE MOUNTING ASSEMBLY 2 WAY</v>
      </c>
      <c r="B1994" s="21">
        <v>818.64</v>
      </c>
      <c r="C1994" s="22" t="s">
        <v>3186</v>
      </c>
      <c r="D1994" s="22" t="s">
        <v>2</v>
      </c>
    </row>
    <row r="1995" spans="1:4">
      <c r="A1995" s="18" t="str">
        <f t="shared" si="31"/>
        <v>818.65 SPAN WIRE MOUNTING ASSEMBLY 3 WAY</v>
      </c>
      <c r="B1995" s="19">
        <v>818.65</v>
      </c>
      <c r="C1995" s="20" t="s">
        <v>3187</v>
      </c>
      <c r="D1995" s="20" t="s">
        <v>2</v>
      </c>
    </row>
    <row r="1996" spans="1:4" s="26" customFormat="1">
      <c r="A1996" s="18" t="str">
        <f t="shared" si="31"/>
        <v>818.66 SPAN WIRE MOUNTING ASSEMBLY 4 WAY</v>
      </c>
      <c r="B1996" s="19">
        <v>818.66</v>
      </c>
      <c r="C1996" s="20" t="s">
        <v>3188</v>
      </c>
      <c r="D1996" s="20" t="s">
        <v>2</v>
      </c>
    </row>
    <row r="1997" spans="1:4">
      <c r="A1997" s="18" t="str">
        <f t="shared" si="31"/>
        <v>818.7 LOUVERED HOOD FOR 8 INCH SIGNAL SECTION</v>
      </c>
      <c r="B1997" s="19">
        <v>818.7</v>
      </c>
      <c r="C1997" s="20" t="s">
        <v>3189</v>
      </c>
      <c r="D1997" s="20" t="s">
        <v>2</v>
      </c>
    </row>
    <row r="1998" spans="1:4" s="26" customFormat="1">
      <c r="A1998" s="18" t="str">
        <f t="shared" si="31"/>
        <v>818.71 LOUVERED HOOD FOR 12 INCH SIGNAL SECTION</v>
      </c>
      <c r="B1998" s="21">
        <v>818.71</v>
      </c>
      <c r="C1998" s="22" t="s">
        <v>3190</v>
      </c>
      <c r="D1998" s="22" t="s">
        <v>2</v>
      </c>
    </row>
    <row r="1999" spans="1:4">
      <c r="A1999" s="18" t="str">
        <f t="shared" si="31"/>
        <v>818.8 BACK-PLATES FOR 8 INCH SIGNAL HEAD</v>
      </c>
      <c r="B1999" s="21">
        <v>818.8</v>
      </c>
      <c r="C1999" s="22" t="s">
        <v>3191</v>
      </c>
      <c r="D1999" s="22" t="s">
        <v>2</v>
      </c>
    </row>
    <row r="2000" spans="1:4" s="26" customFormat="1">
      <c r="A2000" s="18" t="str">
        <f t="shared" si="31"/>
        <v>818.81 BACK-PLATES FOR 12 INCH SIGNAL HEAD</v>
      </c>
      <c r="B2000" s="21">
        <v>818.81</v>
      </c>
      <c r="C2000" s="22" t="s">
        <v>3192</v>
      </c>
      <c r="D2000" s="22" t="s">
        <v>2</v>
      </c>
    </row>
    <row r="2001" spans="1:4">
      <c r="A2001" s="18" t="str">
        <f t="shared" si="31"/>
        <v>818.82 BACK-PLATES FOR COMBINED 8 INCH AND 12 INCH SIGNAL HEAD</v>
      </c>
      <c r="B2001" s="21">
        <v>818.82</v>
      </c>
      <c r="C2001" s="22" t="s">
        <v>3193</v>
      </c>
      <c r="D2001" s="22" t="s">
        <v>2</v>
      </c>
    </row>
    <row r="2002" spans="1:4" s="26" customFormat="1">
      <c r="A2002" s="18" t="str">
        <f t="shared" si="31"/>
        <v>818.95 POLE CLAMP WITH WIRE ENTRANCE</v>
      </c>
      <c r="B2002" s="19">
        <v>818.95</v>
      </c>
      <c r="C2002" s="20" t="s">
        <v>3194</v>
      </c>
      <c r="D2002" s="20" t="s">
        <v>2</v>
      </c>
    </row>
    <row r="2003" spans="1:4">
      <c r="A2003" s="18" t="str">
        <f t="shared" si="31"/>
        <v>819 TRAFFIC SIGNAL CONTROLLER</v>
      </c>
      <c r="B2003" s="21">
        <v>819</v>
      </c>
      <c r="C2003" s="22" t="s">
        <v>3195</v>
      </c>
      <c r="D2003" s="22" t="s">
        <v>22</v>
      </c>
    </row>
    <row r="2004" spans="1:4" s="26" customFormat="1">
      <c r="A2004" s="18" t="str">
        <f t="shared" si="31"/>
        <v>819.1 TRAFFIC SIGNAL CONTROLLER  LOCATION NO. 1</v>
      </c>
      <c r="B2004" s="19">
        <v>819.1</v>
      </c>
      <c r="C2004" s="20" t="s">
        <v>3196</v>
      </c>
      <c r="D2004" s="20" t="s">
        <v>22</v>
      </c>
    </row>
    <row r="2005" spans="1:4">
      <c r="A2005" s="18" t="str">
        <f t="shared" si="31"/>
        <v>819.2 TRAFFIC SIGNAL CONTROLLER  LOCATION NO. 2</v>
      </c>
      <c r="B2005" s="19">
        <v>819.2</v>
      </c>
      <c r="C2005" s="20" t="s">
        <v>3197</v>
      </c>
      <c r="D2005" s="20" t="s">
        <v>22</v>
      </c>
    </row>
    <row r="2006" spans="1:4" s="26" customFormat="1">
      <c r="A2006" s="18" t="str">
        <f t="shared" si="31"/>
        <v>819.3 TRAFFIC SIGNAL CONTROLLER  LOCATION NO. 3</v>
      </c>
      <c r="B2006" s="19">
        <v>819.3</v>
      </c>
      <c r="C2006" s="20" t="s">
        <v>3198</v>
      </c>
      <c r="D2006" s="20" t="s">
        <v>22</v>
      </c>
    </row>
    <row r="2007" spans="1:4">
      <c r="A2007" s="18" t="str">
        <f t="shared" si="31"/>
        <v>819.39 8 PHASE, MENU-DRIVEN TRAFFIC CONTROL UNIT</v>
      </c>
      <c r="B2007" s="19">
        <v>819.39</v>
      </c>
      <c r="C2007" s="20" t="s">
        <v>3199</v>
      </c>
      <c r="D2007" s="20" t="s">
        <v>2</v>
      </c>
    </row>
    <row r="2008" spans="1:4" s="26" customFormat="1">
      <c r="A2008" s="18" t="str">
        <f t="shared" si="31"/>
        <v>819.4 TRAFFIC SIGNAL CONTROLLER  LOCATION NO. 4</v>
      </c>
      <c r="B2008" s="19">
        <v>819.4</v>
      </c>
      <c r="C2008" s="20" t="s">
        <v>3200</v>
      </c>
      <c r="D2008" s="20" t="s">
        <v>22</v>
      </c>
    </row>
    <row r="2009" spans="1:4">
      <c r="A2009" s="18" t="str">
        <f t="shared" si="31"/>
        <v>819.5 TRAFFIC SIGNAL CONTROLLER  LOCATION NO. 5</v>
      </c>
      <c r="B2009" s="19">
        <v>819.5</v>
      </c>
      <c r="C2009" s="20" t="s">
        <v>3201</v>
      </c>
      <c r="D2009" s="20" t="s">
        <v>22</v>
      </c>
    </row>
    <row r="2010" spans="1:4" s="26" customFormat="1">
      <c r="A2010" s="18" t="str">
        <f t="shared" si="31"/>
        <v>819.51 FIRE STATION PRE-EMPTOR</v>
      </c>
      <c r="B2010" s="21">
        <v>819.51</v>
      </c>
      <c r="C2010" s="22" t="s">
        <v>3202</v>
      </c>
      <c r="D2010" s="22" t="s">
        <v>2</v>
      </c>
    </row>
    <row r="2011" spans="1:4">
      <c r="A2011" s="18" t="str">
        <f t="shared" si="31"/>
        <v>819.52 RAILROAD PRE-EMPTOR</v>
      </c>
      <c r="B2011" s="21">
        <v>819.52</v>
      </c>
      <c r="C2011" s="22" t="s">
        <v>3203</v>
      </c>
      <c r="D2011" s="22" t="s">
        <v>2</v>
      </c>
    </row>
    <row r="2012" spans="1:4" s="26" customFormat="1">
      <c r="A2012" s="18" t="str">
        <f t="shared" si="31"/>
        <v>819.72 DETECTOR UNIT CONFLICTING GREEN</v>
      </c>
      <c r="B2012" s="21">
        <v>819.72</v>
      </c>
      <c r="C2012" s="22" t="s">
        <v>3204</v>
      </c>
      <c r="D2012" s="22" t="s">
        <v>2</v>
      </c>
    </row>
    <row r="2013" spans="1:4">
      <c r="A2013" s="18" t="str">
        <f t="shared" si="31"/>
        <v>819.8 MAGNETIC DETECTOR AMPLIFIER</v>
      </c>
      <c r="B2013" s="21">
        <v>819.8</v>
      </c>
      <c r="C2013" s="22" t="s">
        <v>3205</v>
      </c>
      <c r="D2013" s="22" t="s">
        <v>2</v>
      </c>
    </row>
    <row r="2014" spans="1:4" s="26" customFormat="1">
      <c r="A2014" s="18" t="str">
        <f t="shared" si="31"/>
        <v>819.801 VEHICLE DETECTOR (DIRECTIONAL) COMPENSATED MAGNETIC</v>
      </c>
      <c r="B2014" s="21">
        <v>819.80100000000004</v>
      </c>
      <c r="C2014" s="22" t="s">
        <v>3206</v>
      </c>
      <c r="D2014" s="22" t="s">
        <v>2</v>
      </c>
    </row>
    <row r="2015" spans="1:4">
      <c r="A2015" s="18" t="str">
        <f t="shared" si="31"/>
        <v>819.802 VEHICLE DETECTOR (MULTI-LANE) NON-COMPENSATED MAGNETIC</v>
      </c>
      <c r="B2015" s="21">
        <v>819.80200000000002</v>
      </c>
      <c r="C2015" s="22" t="s">
        <v>3207</v>
      </c>
      <c r="D2015" s="22" t="s">
        <v>2</v>
      </c>
    </row>
    <row r="2016" spans="1:4" s="26" customFormat="1">
      <c r="A2016" s="18" t="str">
        <f t="shared" si="31"/>
        <v>819.803 VEHICLE DETECTOR (SINGLE-LANE) NON-COMPENSATED MAGNETIC</v>
      </c>
      <c r="B2016" s="21">
        <v>819.803</v>
      </c>
      <c r="C2016" s="22" t="s">
        <v>3208</v>
      </c>
      <c r="D2016" s="22" t="s">
        <v>2</v>
      </c>
    </row>
    <row r="2017" spans="1:4">
      <c r="A2017" s="18" t="str">
        <f t="shared" si="31"/>
        <v>819.81 DETECTOR AMPLIFIER - MAGNETIC (SPECIAL)</v>
      </c>
      <c r="B2017" s="19">
        <v>819.81</v>
      </c>
      <c r="C2017" s="20" t="s">
        <v>3209</v>
      </c>
      <c r="D2017" s="20" t="s">
        <v>2</v>
      </c>
    </row>
    <row r="2018" spans="1:4" s="26" customFormat="1">
      <c r="A2018" s="18" t="str">
        <f t="shared" si="31"/>
        <v>819.811 DETECTOR SENSING HEAD - MAGNETIC (SPECIAL)</v>
      </c>
      <c r="B2018" s="19">
        <v>819.81100000000004</v>
      </c>
      <c r="C2018" s="20" t="s">
        <v>3210</v>
      </c>
      <c r="D2018" s="20" t="s">
        <v>2</v>
      </c>
    </row>
    <row r="2019" spans="1:4">
      <c r="A2019" s="18" t="str">
        <f t="shared" si="31"/>
        <v>819.82 VEHICLE PRESENCE DETECTOR - ULTRASONIC</v>
      </c>
      <c r="B2019" s="19">
        <v>819.82</v>
      </c>
      <c r="C2019" s="20" t="s">
        <v>3211</v>
      </c>
      <c r="D2019" s="20" t="s">
        <v>2</v>
      </c>
    </row>
    <row r="2020" spans="1:4" s="26" customFormat="1">
      <c r="A2020" s="18" t="str">
        <f t="shared" si="31"/>
        <v>819.821 VEHICLE MOTION DETECTOR - ULTRASONIC</v>
      </c>
      <c r="B2020" s="19">
        <v>819.82100000000003</v>
      </c>
      <c r="C2020" s="20" t="s">
        <v>3212</v>
      </c>
      <c r="D2020" s="20" t="s">
        <v>2</v>
      </c>
    </row>
    <row r="2021" spans="1:4">
      <c r="A2021" s="18" t="str">
        <f t="shared" si="31"/>
        <v>819.83 INDUCTIVE LOOP DETECTOR AMPLIFIER</v>
      </c>
      <c r="B2021" s="19">
        <v>819.83</v>
      </c>
      <c r="C2021" s="20" t="s">
        <v>3213</v>
      </c>
      <c r="D2021" s="20" t="s">
        <v>2</v>
      </c>
    </row>
    <row r="2022" spans="1:4" s="26" customFormat="1">
      <c r="A2022" s="18" t="str">
        <f t="shared" si="31"/>
        <v>819.831 WIRE LOOP INSTALLED IN ROADWAY</v>
      </c>
      <c r="B2022" s="21">
        <v>819.83100000000002</v>
      </c>
      <c r="C2022" s="22" t="s">
        <v>540</v>
      </c>
      <c r="D2022" s="22" t="s">
        <v>17</v>
      </c>
    </row>
    <row r="2023" spans="1:4">
      <c r="A2023" s="18" t="str">
        <f t="shared" si="31"/>
        <v>819.832 MICROLOOP INSTALLED IN ROADWAY</v>
      </c>
      <c r="B2023" s="21">
        <v>819.83199999999999</v>
      </c>
      <c r="C2023" s="22" t="s">
        <v>3214</v>
      </c>
      <c r="D2023" s="22" t="s">
        <v>2</v>
      </c>
    </row>
    <row r="2024" spans="1:4" s="26" customFormat="1">
      <c r="A2024" s="18" t="str">
        <f t="shared" si="31"/>
        <v>819.85 PEDESTRIAN PUSH BUTTON</v>
      </c>
      <c r="B2024" s="19">
        <v>819.85</v>
      </c>
      <c r="C2024" s="20" t="s">
        <v>3215</v>
      </c>
      <c r="D2024" s="20" t="s">
        <v>2</v>
      </c>
    </row>
    <row r="2025" spans="1:4">
      <c r="A2025" s="18" t="str">
        <f t="shared" si="31"/>
        <v>819.851 PUSH BUTTON FOR GREEN LIGHT (SIGN)</v>
      </c>
      <c r="B2025" s="21">
        <v>819.851</v>
      </c>
      <c r="C2025" s="22" t="s">
        <v>3216</v>
      </c>
      <c r="D2025" s="22" t="s">
        <v>2</v>
      </c>
    </row>
    <row r="2026" spans="1:4" s="26" customFormat="1">
      <c r="A2026" s="18" t="str">
        <f t="shared" si="31"/>
        <v>819.852 PUSH BUTTON FOR WALK SIGNAL (SIGN)</v>
      </c>
      <c r="B2026" s="21">
        <v>819.85199999999998</v>
      </c>
      <c r="C2026" s="22" t="s">
        <v>3217</v>
      </c>
      <c r="D2026" s="22" t="s">
        <v>2</v>
      </c>
    </row>
    <row r="2027" spans="1:4">
      <c r="A2027" s="18" t="str">
        <f t="shared" si="31"/>
        <v>820.1 HIGHWAY LIGHTING - ROADWAY</v>
      </c>
      <c r="B2027" s="19">
        <v>820.1</v>
      </c>
      <c r="C2027" s="20" t="s">
        <v>541</v>
      </c>
      <c r="D2027" s="20" t="s">
        <v>22</v>
      </c>
    </row>
    <row r="2028" spans="1:4" s="26" customFormat="1">
      <c r="A2028" s="18" t="str">
        <f t="shared" si="31"/>
        <v>820.11 HIGHWAY LIGHTING - UNDERPASS</v>
      </c>
      <c r="B2028" s="21">
        <v>820.11</v>
      </c>
      <c r="C2028" s="22" t="s">
        <v>1519</v>
      </c>
      <c r="D2028" s="22" t="s">
        <v>22</v>
      </c>
    </row>
    <row r="2029" spans="1:4">
      <c r="A2029" s="18" t="str">
        <f t="shared" si="31"/>
        <v>820.12 HIGHWAY LIGHTING - AREA</v>
      </c>
      <c r="B2029" s="19">
        <v>820.12</v>
      </c>
      <c r="C2029" s="20" t="s">
        <v>3218</v>
      </c>
      <c r="D2029" s="20" t="s">
        <v>22</v>
      </c>
    </row>
    <row r="2030" spans="1:4" s="26" customFormat="1">
      <c r="A2030" s="18" t="str">
        <f t="shared" si="31"/>
        <v>820.13 HIGHWAY LIGHTING - SIGN</v>
      </c>
      <c r="B2030" s="19">
        <v>820.13</v>
      </c>
      <c r="C2030" s="20" t="s">
        <v>3219</v>
      </c>
      <c r="D2030" s="20" t="s">
        <v>22</v>
      </c>
    </row>
    <row r="2031" spans="1:4">
      <c r="A2031" s="18" t="str">
        <f t="shared" si="31"/>
        <v>821.1 HIGHWAY LIGHTING POLE (ANCHOR BASE) 4 FOOT BRACKET</v>
      </c>
      <c r="B2031" s="21">
        <v>821.1</v>
      </c>
      <c r="C2031" s="22" t="s">
        <v>3220</v>
      </c>
      <c r="D2031" s="22" t="s">
        <v>2</v>
      </c>
    </row>
    <row r="2032" spans="1:4" s="26" customFormat="1">
      <c r="A2032" s="18" t="str">
        <f t="shared" si="31"/>
        <v>821.11 HIGHWAY LIGHTING POLE (ANCHOR BASE) 6 FOOT BRACKET</v>
      </c>
      <c r="B2032" s="19">
        <v>821.11</v>
      </c>
      <c r="C2032" s="20" t="s">
        <v>3221</v>
      </c>
      <c r="D2032" s="20" t="s">
        <v>2</v>
      </c>
    </row>
    <row r="2033" spans="1:4">
      <c r="A2033" s="18" t="str">
        <f t="shared" si="31"/>
        <v>821.12 HIGHWAY LIGHTING POLE (ANCHOR BASE) 8 FOOT BRACKET</v>
      </c>
      <c r="B2033" s="21">
        <v>821.12</v>
      </c>
      <c r="C2033" s="22" t="s">
        <v>3222</v>
      </c>
      <c r="D2033" s="22" t="s">
        <v>2</v>
      </c>
    </row>
    <row r="2034" spans="1:4" s="26" customFormat="1">
      <c r="A2034" s="18" t="str">
        <f t="shared" si="31"/>
        <v>821.13 HIGHWAY LIGHTING POLE (ANCHOR BASE) 10 FOOT BRACKET</v>
      </c>
      <c r="B2034" s="19">
        <v>821.13</v>
      </c>
      <c r="C2034" s="20" t="s">
        <v>3223</v>
      </c>
      <c r="D2034" s="20" t="s">
        <v>2</v>
      </c>
    </row>
    <row r="2035" spans="1:4">
      <c r="A2035" s="18" t="str">
        <f t="shared" si="31"/>
        <v>821.14 HIGHWAY LIGHTING POLE (ANCHOR BASE) 12 FOOT BRACKET</v>
      </c>
      <c r="B2035" s="21">
        <v>821.14</v>
      </c>
      <c r="C2035" s="22" t="s">
        <v>3224</v>
      </c>
      <c r="D2035" s="22" t="s">
        <v>2</v>
      </c>
    </row>
    <row r="2036" spans="1:4" s="26" customFormat="1">
      <c r="A2036" s="18" t="str">
        <f t="shared" si="31"/>
        <v>821.15 HIGHWAY LIGHTING POLE (ANCHOR BASE) 15 FOOT BRACKET</v>
      </c>
      <c r="B2036" s="19">
        <v>821.15</v>
      </c>
      <c r="C2036" s="20" t="s">
        <v>3225</v>
      </c>
      <c r="D2036" s="20" t="s">
        <v>2</v>
      </c>
    </row>
    <row r="2037" spans="1:4">
      <c r="A2037" s="18" t="str">
        <f t="shared" si="31"/>
        <v>821.2 HIGHWAY LIGHTING POLE (ANCHOR BASE) TWIN 4 FOOT BRACKET</v>
      </c>
      <c r="B2037" s="21">
        <v>821.2</v>
      </c>
      <c r="C2037" s="22" t="s">
        <v>3226</v>
      </c>
      <c r="D2037" s="22" t="s">
        <v>2</v>
      </c>
    </row>
    <row r="2038" spans="1:4" s="26" customFormat="1">
      <c r="A2038" s="18" t="str">
        <f t="shared" si="31"/>
        <v>821.21 HIGHWAY LIGHTING POLE (ANCHOR BASE) TWIN 6 FOOT BRACKET</v>
      </c>
      <c r="B2038" s="19">
        <v>821.21</v>
      </c>
      <c r="C2038" s="20" t="s">
        <v>542</v>
      </c>
      <c r="D2038" s="20" t="s">
        <v>2</v>
      </c>
    </row>
    <row r="2039" spans="1:4">
      <c r="A2039" s="18" t="str">
        <f t="shared" si="31"/>
        <v>821.22 HIGHWAY LIGHTING POLE (ANCHOR BASE) TWIN 8 FOOT BRACKET</v>
      </c>
      <c r="B2039" s="19">
        <v>821.22</v>
      </c>
      <c r="C2039" s="20" t="s">
        <v>3227</v>
      </c>
      <c r="D2039" s="20" t="s">
        <v>2</v>
      </c>
    </row>
    <row r="2040" spans="1:4" s="26" customFormat="1">
      <c r="A2040" s="18" t="str">
        <f t="shared" si="31"/>
        <v>821.23 HIGHWAY LIGHTING POLE (ANCHOR BASE) TWIN 10 FOOT BRACKET</v>
      </c>
      <c r="B2040" s="21">
        <v>821.23</v>
      </c>
      <c r="C2040" s="22" t="s">
        <v>3228</v>
      </c>
      <c r="D2040" s="22" t="s">
        <v>2</v>
      </c>
    </row>
    <row r="2041" spans="1:4">
      <c r="A2041" s="18" t="str">
        <f t="shared" si="31"/>
        <v>821.24 HIGHWAY LIGHTING POLE (ANCHOR BASE) TWIN 12 FOOT BRACKET</v>
      </c>
      <c r="B2041" s="19">
        <v>821.24</v>
      </c>
      <c r="C2041" s="20" t="s">
        <v>3229</v>
      </c>
      <c r="D2041" s="20" t="s">
        <v>2</v>
      </c>
    </row>
    <row r="2042" spans="1:4" s="26" customFormat="1">
      <c r="A2042" s="18" t="str">
        <f t="shared" si="31"/>
        <v>821.25 HIGHWAY LIGHTING POLE (ANCHOR BASE) TWIN 15 FOOT BRACKET</v>
      </c>
      <c r="B2042" s="21">
        <v>821.25</v>
      </c>
      <c r="C2042" s="22" t="s">
        <v>3230</v>
      </c>
      <c r="D2042" s="22" t="s">
        <v>2</v>
      </c>
    </row>
    <row r="2043" spans="1:4">
      <c r="A2043" s="18" t="str">
        <f t="shared" si="31"/>
        <v>822.1 HIGHWAY LIGHTING POLE (TRANSFORMER BASE) 4 FOOT BRACKET</v>
      </c>
      <c r="B2043" s="21">
        <v>822.1</v>
      </c>
      <c r="C2043" s="22" t="s">
        <v>3231</v>
      </c>
      <c r="D2043" s="22" t="s">
        <v>2</v>
      </c>
    </row>
    <row r="2044" spans="1:4" s="26" customFormat="1">
      <c r="A2044" s="18" t="str">
        <f t="shared" si="31"/>
        <v>822.11 HIGHWAY LIGHTING POLE (TRANSFORMER BASE) 6 FOOT BRACKET</v>
      </c>
      <c r="B2044" s="19">
        <v>822.11</v>
      </c>
      <c r="C2044" s="20" t="s">
        <v>3232</v>
      </c>
      <c r="D2044" s="20" t="s">
        <v>2</v>
      </c>
    </row>
    <row r="2045" spans="1:4">
      <c r="A2045" s="18" t="str">
        <f t="shared" si="31"/>
        <v>822.12 HIGHWAY LIGHTING POLE (TRANSFORMER BASE) 8 FOOT BRACKET</v>
      </c>
      <c r="B2045" s="21">
        <v>822.12</v>
      </c>
      <c r="C2045" s="22" t="s">
        <v>3233</v>
      </c>
      <c r="D2045" s="22" t="s">
        <v>2</v>
      </c>
    </row>
    <row r="2046" spans="1:4" s="26" customFormat="1">
      <c r="A2046" s="18" t="str">
        <f t="shared" si="31"/>
        <v>822.13 HIGHWAY LIGHTING POLE (TRANSFORMER BASE) 10 FOOT BRACKET</v>
      </c>
      <c r="B2046" s="21">
        <v>822.13</v>
      </c>
      <c r="C2046" s="22" t="s">
        <v>3234</v>
      </c>
      <c r="D2046" s="22" t="s">
        <v>2</v>
      </c>
    </row>
    <row r="2047" spans="1:4">
      <c r="A2047" s="18" t="str">
        <f t="shared" si="31"/>
        <v>822.14 HIGHWAY LIGHTING POLE (TRANSFORMER BASE) 12 FOOT BRACKET</v>
      </c>
      <c r="B2047" s="19">
        <v>822.14</v>
      </c>
      <c r="C2047" s="20" t="s">
        <v>3235</v>
      </c>
      <c r="D2047" s="20" t="s">
        <v>2</v>
      </c>
    </row>
    <row r="2048" spans="1:4" s="26" customFormat="1">
      <c r="A2048" s="18" t="str">
        <f t="shared" si="31"/>
        <v>822.15 HIGHWAY LIGHTING POLE (TRANSFORMER BASE) 15 FOOT BRACKET</v>
      </c>
      <c r="B2048" s="21">
        <v>822.15</v>
      </c>
      <c r="C2048" s="22" t="s">
        <v>3236</v>
      </c>
      <c r="D2048" s="22" t="s">
        <v>2</v>
      </c>
    </row>
    <row r="2049" spans="1:4">
      <c r="A2049" s="18" t="str">
        <f t="shared" si="31"/>
        <v>822.2 HIGHWAY LIGHTING POLE (TRANSFORMER BASE) TWIN 4 FOOT BRACKET</v>
      </c>
      <c r="B2049" s="19">
        <v>822.2</v>
      </c>
      <c r="C2049" s="20" t="s">
        <v>3237</v>
      </c>
      <c r="D2049" s="20" t="s">
        <v>2</v>
      </c>
    </row>
    <row r="2050" spans="1:4" s="26" customFormat="1">
      <c r="A2050" s="18" t="str">
        <f t="shared" ref="A2050:A2113" si="32">B2050&amp;" "&amp;C2050</f>
        <v>822.21 HIGHWAY LIGHTING POLE (TRANSFORMER BASE) TWIN 6 FOOT BRACKET</v>
      </c>
      <c r="B2050" s="19">
        <v>822.21</v>
      </c>
      <c r="C2050" s="20" t="s">
        <v>3238</v>
      </c>
      <c r="D2050" s="20" t="s">
        <v>2</v>
      </c>
    </row>
    <row r="2051" spans="1:4">
      <c r="A2051" s="18" t="str">
        <f t="shared" si="32"/>
        <v>822.22 HIGHWAY LIGHTING POLE (TRANSFORMER BASE) TWIN 8 FOOT BRACKET</v>
      </c>
      <c r="B2051" s="21">
        <v>822.22</v>
      </c>
      <c r="C2051" s="22" t="s">
        <v>3239</v>
      </c>
      <c r="D2051" s="22" t="s">
        <v>2</v>
      </c>
    </row>
    <row r="2052" spans="1:4" s="26" customFormat="1">
      <c r="A2052" s="18" t="str">
        <f t="shared" si="32"/>
        <v>822.23 HIGHWAY LIGHTING POLE (TRANSFORMER BASE) TWIN 10 FOOT BRACKET</v>
      </c>
      <c r="B2052" s="19">
        <v>822.23</v>
      </c>
      <c r="C2052" s="20" t="s">
        <v>3240</v>
      </c>
      <c r="D2052" s="20" t="s">
        <v>2</v>
      </c>
    </row>
    <row r="2053" spans="1:4">
      <c r="A2053" s="18" t="str">
        <f t="shared" si="32"/>
        <v>822.24 HIGHWAY LIGHTING POLE (TRANSFORMER BASE) TWIN 12 FOOT BRACKET</v>
      </c>
      <c r="B2053" s="19">
        <v>822.24</v>
      </c>
      <c r="C2053" s="20" t="s">
        <v>3241</v>
      </c>
      <c r="D2053" s="20" t="s">
        <v>2</v>
      </c>
    </row>
    <row r="2054" spans="1:4" s="26" customFormat="1">
      <c r="A2054" s="18" t="str">
        <f t="shared" si="32"/>
        <v>822.25 HIGHWAY LIGHTING POLE (TRANSFORMER BASE) TWIN 15 FOOT BRACKET</v>
      </c>
      <c r="B2054" s="19">
        <v>822.25</v>
      </c>
      <c r="C2054" s="20" t="s">
        <v>3242</v>
      </c>
      <c r="D2054" s="20" t="s">
        <v>2</v>
      </c>
    </row>
    <row r="2055" spans="1:4">
      <c r="A2055" s="18" t="str">
        <f t="shared" si="32"/>
        <v>822.83 HIGH MAST TOWER (40 FOOT MOUNTING HEIGHT)</v>
      </c>
      <c r="B2055" s="21">
        <v>822.83</v>
      </c>
      <c r="C2055" s="22" t="s">
        <v>3243</v>
      </c>
      <c r="D2055" s="22" t="s">
        <v>2</v>
      </c>
    </row>
    <row r="2056" spans="1:4" s="26" customFormat="1">
      <c r="A2056" s="18" t="str">
        <f t="shared" si="32"/>
        <v>822.84 HIGH MAST TOWER (45 FOOT MOUNTING HEIGHT)</v>
      </c>
      <c r="B2056" s="21">
        <v>822.84</v>
      </c>
      <c r="C2056" s="22" t="s">
        <v>3244</v>
      </c>
      <c r="D2056" s="22" t="s">
        <v>2</v>
      </c>
    </row>
    <row r="2057" spans="1:4">
      <c r="A2057" s="18" t="str">
        <f t="shared" si="32"/>
        <v>822.85 HIGH MAST TOWER (50 FOOT MOUNTING HEIGHT)</v>
      </c>
      <c r="B2057" s="19">
        <v>822.85</v>
      </c>
      <c r="C2057" s="20" t="s">
        <v>3245</v>
      </c>
      <c r="D2057" s="20" t="s">
        <v>2</v>
      </c>
    </row>
    <row r="2058" spans="1:4" s="26" customFormat="1">
      <c r="A2058" s="18" t="str">
        <f t="shared" si="32"/>
        <v>822.86 HIGH MAST TOWER (60 FOOT MOUNTING HEIGHT)</v>
      </c>
      <c r="B2058" s="21">
        <v>822.86</v>
      </c>
      <c r="C2058" s="22" t="s">
        <v>3246</v>
      </c>
      <c r="D2058" s="22" t="s">
        <v>2</v>
      </c>
    </row>
    <row r="2059" spans="1:4">
      <c r="A2059" s="18" t="str">
        <f t="shared" si="32"/>
        <v>822.87 HIGH MAST TOWER (80 FOOT MOUNTING HEIGHT)</v>
      </c>
      <c r="B2059" s="21">
        <v>822.87</v>
      </c>
      <c r="C2059" s="22" t="s">
        <v>3247</v>
      </c>
      <c r="D2059" s="22" t="s">
        <v>2</v>
      </c>
    </row>
    <row r="2060" spans="1:4" s="26" customFormat="1">
      <c r="A2060" s="18" t="str">
        <f t="shared" si="32"/>
        <v>822.88 HIGH MAST TOWER (100 FOOT MOUNTING HEIGHT)</v>
      </c>
      <c r="B2060" s="21">
        <v>822.88</v>
      </c>
      <c r="C2060" s="22" t="s">
        <v>543</v>
      </c>
      <c r="D2060" s="22" t="s">
        <v>2</v>
      </c>
    </row>
    <row r="2061" spans="1:4">
      <c r="A2061" s="18" t="str">
        <f t="shared" si="32"/>
        <v>822.89 HIGH MAST TOWER (110 FOOT MOUNTING HEIGHT)</v>
      </c>
      <c r="B2061" s="19">
        <v>822.89</v>
      </c>
      <c r="C2061" s="20" t="s">
        <v>3248</v>
      </c>
      <c r="D2061" s="20" t="s">
        <v>2</v>
      </c>
    </row>
    <row r="2062" spans="1:4" s="26" customFormat="1">
      <c r="A2062" s="18" t="str">
        <f t="shared" si="32"/>
        <v>822.9 HIGH MAST TOWER (120 FOOT MOUNTING HEIGHT)</v>
      </c>
      <c r="B2062" s="19">
        <v>822.9</v>
      </c>
      <c r="C2062" s="20" t="s">
        <v>3249</v>
      </c>
      <c r="D2062" s="20" t="s">
        <v>2</v>
      </c>
    </row>
    <row r="2063" spans="1:4">
      <c r="A2063" s="18" t="str">
        <f t="shared" si="32"/>
        <v>822.91 HIGH MAST TOWER (130 FOOT MOUNTING HEIGHT)</v>
      </c>
      <c r="B2063" s="19">
        <v>822.91</v>
      </c>
      <c r="C2063" s="20" t="s">
        <v>3250</v>
      </c>
      <c r="D2063" s="20" t="s">
        <v>2</v>
      </c>
    </row>
    <row r="2064" spans="1:4" s="26" customFormat="1">
      <c r="A2064" s="18" t="str">
        <f t="shared" si="32"/>
        <v>822.92 HIGH MAST TOWER (140 FOOT MOUNTING HEIGHT)</v>
      </c>
      <c r="B2064" s="21">
        <v>822.92</v>
      </c>
      <c r="C2064" s="22" t="s">
        <v>3251</v>
      </c>
      <c r="D2064" s="22" t="s">
        <v>2</v>
      </c>
    </row>
    <row r="2065" spans="1:4">
      <c r="A2065" s="18" t="str">
        <f t="shared" si="32"/>
        <v>822.93 HIGH MAST TOWER (150 FOOT MOUNTING HEIGHT)</v>
      </c>
      <c r="B2065" s="19">
        <v>822.93</v>
      </c>
      <c r="C2065" s="20" t="s">
        <v>3252</v>
      </c>
      <c r="D2065" s="20" t="s">
        <v>2</v>
      </c>
    </row>
    <row r="2066" spans="1:4" s="26" customFormat="1">
      <c r="A2066" s="18" t="str">
        <f t="shared" si="32"/>
        <v>822.94 HIGH MAST TOWER (160 FOOT MOUNTING HEIGHT)</v>
      </c>
      <c r="B2066" s="21">
        <v>822.94</v>
      </c>
      <c r="C2066" s="22" t="s">
        <v>3253</v>
      </c>
      <c r="D2066" s="22" t="s">
        <v>2</v>
      </c>
    </row>
    <row r="2067" spans="1:4">
      <c r="A2067" s="18" t="str">
        <f t="shared" si="32"/>
        <v>822.95 HIGH MAST TOWER (170 FOOT MOUNTING HEIGHT)</v>
      </c>
      <c r="B2067" s="19">
        <v>822.95</v>
      </c>
      <c r="C2067" s="20" t="s">
        <v>3254</v>
      </c>
      <c r="D2067" s="20" t="s">
        <v>2</v>
      </c>
    </row>
    <row r="2068" spans="1:4" s="26" customFormat="1">
      <c r="A2068" s="18" t="str">
        <f t="shared" si="32"/>
        <v>822.96 HIGH MAST TOWER (180 FOOT MOUNTING HEIGHT)</v>
      </c>
      <c r="B2068" s="21">
        <v>822.96</v>
      </c>
      <c r="C2068" s="22" t="s">
        <v>3255</v>
      </c>
      <c r="D2068" s="22" t="s">
        <v>2</v>
      </c>
    </row>
    <row r="2069" spans="1:4">
      <c r="A2069" s="18" t="str">
        <f t="shared" si="32"/>
        <v>822.97 HIGH MAST TOWER (190 FOOT MOUNTING HEIGHT)</v>
      </c>
      <c r="B2069" s="19">
        <v>822.97</v>
      </c>
      <c r="C2069" s="20" t="s">
        <v>3256</v>
      </c>
      <c r="D2069" s="20" t="s">
        <v>2</v>
      </c>
    </row>
    <row r="2070" spans="1:4" s="26" customFormat="1">
      <c r="A2070" s="18" t="str">
        <f t="shared" si="32"/>
        <v>822.98 HIGH MAST TOWER (200 FOOT MOUNTING HEIGHT)</v>
      </c>
      <c r="B2070" s="21">
        <v>822.98</v>
      </c>
      <c r="C2070" s="22" t="s">
        <v>3257</v>
      </c>
      <c r="D2070" s="22" t="s">
        <v>2</v>
      </c>
    </row>
    <row r="2071" spans="1:4">
      <c r="A2071" s="18" t="str">
        <f t="shared" si="32"/>
        <v>823.1 HIGHWAY LIGHTING LUMINAIRE 175 WATT</v>
      </c>
      <c r="B2071" s="21">
        <v>823.1</v>
      </c>
      <c r="C2071" s="22" t="s">
        <v>3258</v>
      </c>
      <c r="D2071" s="22" t="s">
        <v>2</v>
      </c>
    </row>
    <row r="2072" spans="1:4" s="26" customFormat="1">
      <c r="A2072" s="18" t="str">
        <f t="shared" si="32"/>
        <v>823.11 HIGHWAY LIGHTING LUMINAIRE 250 WATT</v>
      </c>
      <c r="B2072" s="21">
        <v>823.11</v>
      </c>
      <c r="C2072" s="22" t="s">
        <v>3259</v>
      </c>
      <c r="D2072" s="22" t="s">
        <v>2</v>
      </c>
    </row>
    <row r="2073" spans="1:4">
      <c r="A2073" s="18" t="str">
        <f t="shared" si="32"/>
        <v>823.12 HIGHWAY LIGHTING LUMINAIRE 400 WATT</v>
      </c>
      <c r="B2073" s="19">
        <v>823.12</v>
      </c>
      <c r="C2073" s="20" t="s">
        <v>3260</v>
      </c>
      <c r="D2073" s="20" t="s">
        <v>2</v>
      </c>
    </row>
    <row r="2074" spans="1:4" s="26" customFormat="1">
      <c r="A2074" s="18" t="str">
        <f t="shared" si="32"/>
        <v>823.13 HIGHWAY LIGHTING LUMINAIRE 750 WATT</v>
      </c>
      <c r="B2074" s="21">
        <v>823.13</v>
      </c>
      <c r="C2074" s="22" t="s">
        <v>3261</v>
      </c>
      <c r="D2074" s="22" t="s">
        <v>2</v>
      </c>
    </row>
    <row r="2075" spans="1:4">
      <c r="A2075" s="18" t="str">
        <f t="shared" si="32"/>
        <v>823.14 HIGHWAY LIGHTING LUMINAIRE 1000 WATT</v>
      </c>
      <c r="B2075" s="19">
        <v>823.14</v>
      </c>
      <c r="C2075" s="20" t="s">
        <v>3262</v>
      </c>
      <c r="D2075" s="20" t="s">
        <v>2</v>
      </c>
    </row>
    <row r="2076" spans="1:4" s="26" customFormat="1">
      <c r="A2076" s="18" t="str">
        <f t="shared" si="32"/>
        <v>823.15 AREA LIGHTING LUMINAIRE 175 WATT</v>
      </c>
      <c r="B2076" s="21">
        <v>823.15</v>
      </c>
      <c r="C2076" s="22" t="s">
        <v>3263</v>
      </c>
      <c r="D2076" s="22" t="s">
        <v>2</v>
      </c>
    </row>
    <row r="2077" spans="1:4">
      <c r="A2077" s="18" t="str">
        <f t="shared" si="32"/>
        <v>823.16 AREA LIGHTING LUMINAIRE 250 WATT</v>
      </c>
      <c r="B2077" s="19">
        <v>823.16</v>
      </c>
      <c r="C2077" s="20" t="s">
        <v>3264</v>
      </c>
      <c r="D2077" s="20" t="s">
        <v>2</v>
      </c>
    </row>
    <row r="2078" spans="1:4" s="26" customFormat="1">
      <c r="A2078" s="18" t="str">
        <f t="shared" si="32"/>
        <v>823.17 AREA LIGHTING LUMINAIRE 400 WATT</v>
      </c>
      <c r="B2078" s="19">
        <v>823.17</v>
      </c>
      <c r="C2078" s="20" t="s">
        <v>3265</v>
      </c>
      <c r="D2078" s="20" t="s">
        <v>2</v>
      </c>
    </row>
    <row r="2079" spans="1:4">
      <c r="A2079" s="18" t="str">
        <f t="shared" si="32"/>
        <v>823.18 AREA LIGHTING LUMINAIRE 750 WATT</v>
      </c>
      <c r="B2079" s="19">
        <v>823.18</v>
      </c>
      <c r="C2079" s="20" t="s">
        <v>3266</v>
      </c>
      <c r="D2079" s="20" t="s">
        <v>2</v>
      </c>
    </row>
    <row r="2080" spans="1:4" s="26" customFormat="1">
      <c r="A2080" s="18" t="str">
        <f t="shared" si="32"/>
        <v>823.19 AREA LIGHTING LUMINAIRE 1000 WATT</v>
      </c>
      <c r="B2080" s="21">
        <v>823.19</v>
      </c>
      <c r="C2080" s="22" t="s">
        <v>3267</v>
      </c>
      <c r="D2080" s="22" t="s">
        <v>2</v>
      </c>
    </row>
    <row r="2081" spans="1:4">
      <c r="A2081" s="18" t="str">
        <f t="shared" si="32"/>
        <v>823.2 AREA LIGHTING LUMINAIRE 1600 WATT</v>
      </c>
      <c r="B2081" s="19">
        <v>823.2</v>
      </c>
      <c r="C2081" s="20" t="s">
        <v>3268</v>
      </c>
      <c r="D2081" s="20" t="s">
        <v>2</v>
      </c>
    </row>
    <row r="2082" spans="1:4" s="26" customFormat="1">
      <c r="A2082" s="18" t="str">
        <f t="shared" si="32"/>
        <v>823.21 AREA LIGHTING LUMINAIRE 4000 WATT</v>
      </c>
      <c r="B2082" s="21">
        <v>823.21</v>
      </c>
      <c r="C2082" s="22" t="s">
        <v>3269</v>
      </c>
      <c r="D2082" s="22" t="s">
        <v>2</v>
      </c>
    </row>
    <row r="2083" spans="1:4">
      <c r="A2083" s="18" t="str">
        <f t="shared" si="32"/>
        <v>823.22 FLOOD LIGHTING LUMINAIRE LESS THAN 500 WATT</v>
      </c>
      <c r="B2083" s="19">
        <v>823.22</v>
      </c>
      <c r="C2083" s="20" t="s">
        <v>3270</v>
      </c>
      <c r="D2083" s="20" t="s">
        <v>2</v>
      </c>
    </row>
    <row r="2084" spans="1:4" s="26" customFormat="1">
      <c r="A2084" s="18" t="str">
        <f t="shared" si="32"/>
        <v>823.23 FLOOD LIGHTING LUMINAIRE 500 WATT AND OVER</v>
      </c>
      <c r="B2084" s="21">
        <v>823.23</v>
      </c>
      <c r="C2084" s="22" t="s">
        <v>3271</v>
      </c>
      <c r="D2084" s="22" t="s">
        <v>2</v>
      </c>
    </row>
    <row r="2085" spans="1:4">
      <c r="A2085" s="18" t="str">
        <f t="shared" si="32"/>
        <v>823.3 UNDERPASS LIGHTING LUMINAIRE 4 FOOT FLUORESCENT</v>
      </c>
      <c r="B2085" s="21">
        <v>823.3</v>
      </c>
      <c r="C2085" s="22" t="s">
        <v>3272</v>
      </c>
      <c r="D2085" s="22" t="s">
        <v>2</v>
      </c>
    </row>
    <row r="2086" spans="1:4" s="26" customFormat="1">
      <c r="A2086" s="18" t="str">
        <f t="shared" si="32"/>
        <v>823.31 UNDERPASS LIGHTING LUMINAIRE 6 FOOT FLUORESCENT</v>
      </c>
      <c r="B2086" s="21">
        <v>823.31</v>
      </c>
      <c r="C2086" s="22" t="s">
        <v>3273</v>
      </c>
      <c r="D2086" s="22" t="s">
        <v>2</v>
      </c>
    </row>
    <row r="2087" spans="1:4">
      <c r="A2087" s="18" t="str">
        <f t="shared" si="32"/>
        <v>823.32 UNDERPASS LIGHTING LUMINAIRE 8 FOOT FLUORESCENT</v>
      </c>
      <c r="B2087" s="19">
        <v>823.32</v>
      </c>
      <c r="C2087" s="20" t="s">
        <v>3274</v>
      </c>
      <c r="D2087" s="20" t="s">
        <v>2</v>
      </c>
    </row>
    <row r="2088" spans="1:4" s="26" customFormat="1">
      <c r="A2088" s="18" t="str">
        <f t="shared" si="32"/>
        <v>823.33 SIGN LIGHTING LUMINAIRE 4 FOOT FLUORESCENT</v>
      </c>
      <c r="B2088" s="19">
        <v>823.33</v>
      </c>
      <c r="C2088" s="20" t="s">
        <v>3275</v>
      </c>
      <c r="D2088" s="20" t="s">
        <v>2</v>
      </c>
    </row>
    <row r="2089" spans="1:4">
      <c r="A2089" s="18" t="str">
        <f t="shared" si="32"/>
        <v>823.34 SIGN LIGHTING LUMINAIRE 6 FOOT FLUORESCENT</v>
      </c>
      <c r="B2089" s="19">
        <v>823.34</v>
      </c>
      <c r="C2089" s="20" t="s">
        <v>3276</v>
      </c>
      <c r="D2089" s="20" t="s">
        <v>2</v>
      </c>
    </row>
    <row r="2090" spans="1:4" s="26" customFormat="1">
      <c r="A2090" s="18" t="str">
        <f t="shared" si="32"/>
        <v>823.35 SIGN LIGHTING LUMINAIRE 8 FOOT FLUORESCENT</v>
      </c>
      <c r="B2090" s="21">
        <v>823.35</v>
      </c>
      <c r="C2090" s="22" t="s">
        <v>3277</v>
      </c>
      <c r="D2090" s="22" t="s">
        <v>2</v>
      </c>
    </row>
    <row r="2091" spans="1:4">
      <c r="A2091" s="18" t="str">
        <f t="shared" si="32"/>
        <v>823.4 SIGN LIGHTING LUMINAIRE 175 WATT</v>
      </c>
      <c r="B2091" s="21">
        <v>823.4</v>
      </c>
      <c r="C2091" s="22" t="s">
        <v>3278</v>
      </c>
      <c r="D2091" s="22" t="s">
        <v>2</v>
      </c>
    </row>
    <row r="2092" spans="1:4" s="26" customFormat="1">
      <c r="A2092" s="18" t="str">
        <f t="shared" si="32"/>
        <v>823.41 SIGN LIGHTING LUMINAIRE 250 WATT</v>
      </c>
      <c r="B2092" s="21">
        <v>823.41</v>
      </c>
      <c r="C2092" s="22" t="s">
        <v>3279</v>
      </c>
      <c r="D2092" s="22" t="s">
        <v>2</v>
      </c>
    </row>
    <row r="2093" spans="1:4">
      <c r="A2093" s="18" t="str">
        <f t="shared" si="32"/>
        <v>823.5 PHOTO ELECTRIC CONTROL</v>
      </c>
      <c r="B2093" s="19">
        <v>823.5</v>
      </c>
      <c r="C2093" s="20" t="s">
        <v>3280</v>
      </c>
      <c r="D2093" s="20" t="s">
        <v>2</v>
      </c>
    </row>
    <row r="2094" spans="1:4" s="26" customFormat="1">
      <c r="A2094" s="18" t="str">
        <f t="shared" si="32"/>
        <v>823.51 MULTIPLE CONTROL SWITCH</v>
      </c>
      <c r="B2094" s="19">
        <v>823.51</v>
      </c>
      <c r="C2094" s="20" t="s">
        <v>3281</v>
      </c>
      <c r="D2094" s="20" t="s">
        <v>2</v>
      </c>
    </row>
    <row r="2095" spans="1:4">
      <c r="A2095" s="18" t="str">
        <f t="shared" si="32"/>
        <v>823.52 MULTIPLE CIRCUIT CONTACTOR</v>
      </c>
      <c r="B2095" s="21">
        <v>823.52</v>
      </c>
      <c r="C2095" s="22" t="s">
        <v>3282</v>
      </c>
      <c r="D2095" s="22" t="s">
        <v>2</v>
      </c>
    </row>
    <row r="2096" spans="1:4" s="26" customFormat="1">
      <c r="A2096" s="18" t="str">
        <f t="shared" si="32"/>
        <v>823.53 TIME CLOCK</v>
      </c>
      <c r="B2096" s="21">
        <v>823.53</v>
      </c>
      <c r="C2096" s="22" t="s">
        <v>3283</v>
      </c>
      <c r="D2096" s="22" t="s">
        <v>2</v>
      </c>
    </row>
    <row r="2097" spans="1:4">
      <c r="A2097" s="18" t="str">
        <f t="shared" si="32"/>
        <v>823.54 HYDRAULIC POWER UNIT</v>
      </c>
      <c r="B2097" s="19">
        <v>823.54</v>
      </c>
      <c r="C2097" s="20" t="s">
        <v>3284</v>
      </c>
      <c r="D2097" s="20" t="s">
        <v>2</v>
      </c>
    </row>
    <row r="2098" spans="1:4" s="26" customFormat="1">
      <c r="A2098" s="18" t="str">
        <f t="shared" si="32"/>
        <v>823.6 HIGHWAY LIGHTING LOAD CENTER</v>
      </c>
      <c r="B2098" s="21">
        <v>823.6</v>
      </c>
      <c r="C2098" s="22" t="s">
        <v>544</v>
      </c>
      <c r="D2098" s="22" t="s">
        <v>22</v>
      </c>
    </row>
    <row r="2099" spans="1:4">
      <c r="A2099" s="18" t="str">
        <f t="shared" si="32"/>
        <v>823.61 HIGHWAY LIGHTING LOAD CENTER NO.1</v>
      </c>
      <c r="B2099" s="21">
        <v>823.61</v>
      </c>
      <c r="C2099" s="22" t="s">
        <v>545</v>
      </c>
      <c r="D2099" s="22" t="s">
        <v>22</v>
      </c>
    </row>
    <row r="2100" spans="1:4" s="26" customFormat="1">
      <c r="A2100" s="18" t="str">
        <f t="shared" si="32"/>
        <v>823.62 HIGHWAY LIGHTING LOAD CENTER NO.2</v>
      </c>
      <c r="B2100" s="19">
        <v>823.62</v>
      </c>
      <c r="C2100" s="20" t="s">
        <v>546</v>
      </c>
      <c r="D2100" s="20" t="s">
        <v>22</v>
      </c>
    </row>
    <row r="2101" spans="1:4">
      <c r="A2101" s="18" t="str">
        <f t="shared" si="32"/>
        <v>823.7 HIGHWAY LIGHTING POLE AND LUMINAIRE REMOVED AND RESET</v>
      </c>
      <c r="B2101" s="19">
        <v>823.7</v>
      </c>
      <c r="C2101" s="20" t="s">
        <v>547</v>
      </c>
      <c r="D2101" s="20" t="s">
        <v>2</v>
      </c>
    </row>
    <row r="2102" spans="1:4" s="26" customFormat="1">
      <c r="A2102" s="18" t="str">
        <f t="shared" si="32"/>
        <v>823.71 HIGHWAY LIGHTING POLE AND LUMINAIRE REMOVED AND STACKED</v>
      </c>
      <c r="B2102" s="21">
        <v>823.71</v>
      </c>
      <c r="C2102" s="22" t="s">
        <v>548</v>
      </c>
      <c r="D2102" s="22" t="s">
        <v>2</v>
      </c>
    </row>
    <row r="2103" spans="1:4">
      <c r="A2103" s="18" t="str">
        <f t="shared" si="32"/>
        <v>823.8 LIGHTING AND TRAFFIC SIGNAL POLE</v>
      </c>
      <c r="B2103" s="21">
        <v>823.8</v>
      </c>
      <c r="C2103" s="22" t="s">
        <v>3285</v>
      </c>
      <c r="D2103" s="22" t="s">
        <v>2</v>
      </c>
    </row>
    <row r="2104" spans="1:4" s="26" customFormat="1">
      <c r="A2104" s="18" t="str">
        <f t="shared" si="32"/>
        <v>823.81 STEEL STRAIN POLE</v>
      </c>
      <c r="B2104" s="19">
        <v>823.81</v>
      </c>
      <c r="C2104" s="20" t="s">
        <v>3286</v>
      </c>
      <c r="D2104" s="20" t="s">
        <v>2</v>
      </c>
    </row>
    <row r="2105" spans="1:4">
      <c r="A2105" s="18" t="str">
        <f t="shared" si="32"/>
        <v>823.83 STRAIN POLE ASSEMBLY</v>
      </c>
      <c r="B2105" s="19">
        <v>823.83</v>
      </c>
      <c r="C2105" s="20" t="s">
        <v>3287</v>
      </c>
      <c r="D2105" s="20" t="s">
        <v>22</v>
      </c>
    </row>
    <row r="2106" spans="1:4" s="26" customFormat="1">
      <c r="A2106" s="18" t="str">
        <f t="shared" si="32"/>
        <v>824.1 FLASHING WARNING BEACON TYPE D</v>
      </c>
      <c r="B2106" s="19">
        <v>824.1</v>
      </c>
      <c r="C2106" s="20" t="s">
        <v>549</v>
      </c>
      <c r="D2106" s="20" t="s">
        <v>22</v>
      </c>
    </row>
    <row r="2107" spans="1:4">
      <c r="A2107" s="18" t="str">
        <f t="shared" si="32"/>
        <v>824.2 FLASHING WARNING BEACON TYPE A</v>
      </c>
      <c r="B2107" s="19">
        <v>824.2</v>
      </c>
      <c r="C2107" s="20" t="s">
        <v>3288</v>
      </c>
      <c r="D2107" s="20" t="s">
        <v>22</v>
      </c>
    </row>
    <row r="2108" spans="1:4" s="26" customFormat="1">
      <c r="A2108" s="18" t="str">
        <f t="shared" si="32"/>
        <v>824.3 FLASHING WARNING BEACON TYPE B</v>
      </c>
      <c r="B2108" s="19">
        <v>824.3</v>
      </c>
      <c r="C2108" s="20" t="s">
        <v>3289</v>
      </c>
      <c r="D2108" s="20" t="s">
        <v>22</v>
      </c>
    </row>
    <row r="2109" spans="1:4">
      <c r="A2109" s="18" t="str">
        <f t="shared" si="32"/>
        <v>824.4 FLASHING WARNING BEACON TYPE C</v>
      </c>
      <c r="B2109" s="19">
        <v>824.4</v>
      </c>
      <c r="C2109" s="20" t="s">
        <v>3290</v>
      </c>
      <c r="D2109" s="20" t="s">
        <v>22</v>
      </c>
    </row>
    <row r="2110" spans="1:4" s="26" customFormat="1">
      <c r="A2110" s="18" t="str">
        <f t="shared" si="32"/>
        <v>824.5 FLASHING WARNING BEACON REMOVED AND RESET</v>
      </c>
      <c r="B2110" s="21">
        <v>824.5</v>
      </c>
      <c r="C2110" s="22" t="s">
        <v>3291</v>
      </c>
      <c r="D2110" s="22" t="s">
        <v>22</v>
      </c>
    </row>
    <row r="2111" spans="1:4">
      <c r="A2111" s="18" t="str">
        <f t="shared" si="32"/>
        <v>824.51 FLASHING WARNING BEACON REMOVED AND STACKED</v>
      </c>
      <c r="B2111" s="21">
        <v>824.51</v>
      </c>
      <c r="C2111" s="22" t="s">
        <v>550</v>
      </c>
      <c r="D2111" s="22" t="s">
        <v>22</v>
      </c>
    </row>
    <row r="2112" spans="1:4" s="26" customFormat="1">
      <c r="A2112" s="18" t="str">
        <f t="shared" si="32"/>
        <v>824.52 FLASHING WARNING BEACON REMOVED AND TRANSPORTED</v>
      </c>
      <c r="B2112" s="21">
        <v>824.52</v>
      </c>
      <c r="C2112" s="22" t="s">
        <v>3292</v>
      </c>
      <c r="D2112" s="22" t="s">
        <v>22</v>
      </c>
    </row>
    <row r="2113" spans="1:4">
      <c r="A2113" s="18" t="str">
        <f t="shared" si="32"/>
        <v>824.6 HIGHWAY WARNING SIGN - ILLUMINATED</v>
      </c>
      <c r="B2113" s="21">
        <v>824.6</v>
      </c>
      <c r="C2113" s="22" t="s">
        <v>3293</v>
      </c>
      <c r="D2113" s="22" t="s">
        <v>2</v>
      </c>
    </row>
    <row r="2114" spans="1:4" s="26" customFormat="1">
      <c r="A2114" s="18" t="str">
        <f t="shared" ref="A2114:A2177" si="33">B2114&amp;" "&amp;C2114</f>
        <v>824.61 HIGHWAY WARNING SIGN - ILLUMINATED</v>
      </c>
      <c r="B2114" s="21">
        <v>824.61</v>
      </c>
      <c r="C2114" s="22" t="s">
        <v>3293</v>
      </c>
      <c r="D2114" s="22" t="s">
        <v>22</v>
      </c>
    </row>
    <row r="2115" spans="1:4">
      <c r="A2115" s="18" t="str">
        <f t="shared" si="33"/>
        <v>824.7 HIGHWAY WARNING SIGN - ILLUMINATED REMOVED AND RESET</v>
      </c>
      <c r="B2115" s="21">
        <v>824.7</v>
      </c>
      <c r="C2115" s="22" t="s">
        <v>3294</v>
      </c>
      <c r="D2115" s="22" t="s">
        <v>22</v>
      </c>
    </row>
    <row r="2116" spans="1:4" s="26" customFormat="1">
      <c r="A2116" s="18" t="str">
        <f t="shared" si="33"/>
        <v>824.71 HIGHWAY WARNING SIGN - ILLUMINATED REMOVED AND STACKED</v>
      </c>
      <c r="B2116" s="19">
        <v>824.71</v>
      </c>
      <c r="C2116" s="20" t="s">
        <v>1520</v>
      </c>
      <c r="D2116" s="20" t="s">
        <v>22</v>
      </c>
    </row>
    <row r="2117" spans="1:4">
      <c r="A2117" s="18" t="str">
        <f t="shared" si="33"/>
        <v>824.72 HIGHWAY WARNING SIGN - ILLUMINATED REMOVED AND TRANSPORTED</v>
      </c>
      <c r="B2117" s="19">
        <v>824.72</v>
      </c>
      <c r="C2117" s="20" t="s">
        <v>3295</v>
      </c>
      <c r="D2117" s="20" t="s">
        <v>22</v>
      </c>
    </row>
    <row r="2118" spans="1:4" s="26" customFormat="1">
      <c r="A2118" s="18" t="str">
        <f t="shared" si="33"/>
        <v>824.8 LIGHTED BARRIER ARROWS</v>
      </c>
      <c r="B2118" s="19">
        <v>824.8</v>
      </c>
      <c r="C2118" s="20" t="s">
        <v>3296</v>
      </c>
      <c r="D2118" s="20" t="s">
        <v>2</v>
      </c>
    </row>
    <row r="2119" spans="1:4">
      <c r="A2119" s="18" t="str">
        <f t="shared" si="33"/>
        <v>824.81 LIGHTED BARRIER ARROWS</v>
      </c>
      <c r="B2119" s="21">
        <v>824.81</v>
      </c>
      <c r="C2119" s="22" t="s">
        <v>3296</v>
      </c>
      <c r="D2119" s="22" t="s">
        <v>22</v>
      </c>
    </row>
    <row r="2120" spans="1:4" s="26" customFormat="1">
      <c r="A2120" s="18" t="str">
        <f t="shared" si="33"/>
        <v>824.9 LIGHTED BARRIER ARROWS REMOVED AND RESET</v>
      </c>
      <c r="B2120" s="19">
        <v>824.9</v>
      </c>
      <c r="C2120" s="20" t="s">
        <v>3297</v>
      </c>
      <c r="D2120" s="20" t="s">
        <v>22</v>
      </c>
    </row>
    <row r="2121" spans="1:4">
      <c r="A2121" s="18" t="str">
        <f t="shared" si="33"/>
        <v>824.91 LIGHTED BARRIER ARROWS REMOVED AND STACKED</v>
      </c>
      <c r="B2121" s="19">
        <v>824.91</v>
      </c>
      <c r="C2121" s="20" t="s">
        <v>3298</v>
      </c>
      <c r="D2121" s="20" t="s">
        <v>22</v>
      </c>
    </row>
    <row r="2122" spans="1:4" s="26" customFormat="1">
      <c r="A2122" s="18" t="str">
        <f t="shared" si="33"/>
        <v>824.92 LIGHTED BARRIER ARROWS REMOVED AND TRANSPORTED</v>
      </c>
      <c r="B2122" s="19">
        <v>824.92</v>
      </c>
      <c r="C2122" s="20" t="s">
        <v>3299</v>
      </c>
      <c r="D2122" s="20" t="s">
        <v>22</v>
      </c>
    </row>
    <row r="2123" spans="1:4">
      <c r="A2123" s="18" t="str">
        <f t="shared" si="33"/>
        <v>824.93 LIGHTED BARRIER ARROWS REMOVED TRANSPORTED AND RESET</v>
      </c>
      <c r="B2123" s="21">
        <v>824.93</v>
      </c>
      <c r="C2123" s="22" t="s">
        <v>3300</v>
      </c>
      <c r="D2123" s="22" t="s">
        <v>22</v>
      </c>
    </row>
    <row r="2124" spans="1:4" s="26" customFormat="1">
      <c r="A2124" s="18" t="str">
        <f t="shared" si="33"/>
        <v>826.51 FIRE ALARM BOX REMOVED AND RESET</v>
      </c>
      <c r="B2124" s="21">
        <v>826.51</v>
      </c>
      <c r="C2124" s="22" t="s">
        <v>3301</v>
      </c>
      <c r="D2124" s="22" t="s">
        <v>2</v>
      </c>
    </row>
    <row r="2125" spans="1:4">
      <c r="A2125" s="18" t="str">
        <f t="shared" si="33"/>
        <v>826.52 FIRE ALARM BOX REMOVED AND STACKED</v>
      </c>
      <c r="B2125" s="21">
        <v>826.52</v>
      </c>
      <c r="C2125" s="22" t="s">
        <v>3302</v>
      </c>
      <c r="D2125" s="22" t="s">
        <v>2</v>
      </c>
    </row>
    <row r="2126" spans="1:4" s="26" customFormat="1">
      <c r="A2126" s="18" t="str">
        <f t="shared" si="33"/>
        <v>826.53 FIRE ALARM BOX AND POST REMOVE AND RESET (EXCLUDING COST OF POST AND BASE)</v>
      </c>
      <c r="B2126" s="21">
        <v>826.53</v>
      </c>
      <c r="C2126" s="22" t="s">
        <v>3303</v>
      </c>
      <c r="D2126" s="22" t="s">
        <v>2</v>
      </c>
    </row>
    <row r="2127" spans="1:4">
      <c r="A2127" s="18" t="str">
        <f t="shared" si="33"/>
        <v>826.6 POLICE SIGNAL CALL BOX</v>
      </c>
      <c r="B2127" s="19">
        <v>826.6</v>
      </c>
      <c r="C2127" s="20" t="s">
        <v>3304</v>
      </c>
      <c r="D2127" s="20" t="s">
        <v>2</v>
      </c>
    </row>
    <row r="2128" spans="1:4" s="26" customFormat="1">
      <c r="A2128" s="18" t="str">
        <f t="shared" si="33"/>
        <v>826.61 POLICE SIGNAL CALL BOX REMOVED AND RESET</v>
      </c>
      <c r="B2128" s="19">
        <v>826.61</v>
      </c>
      <c r="C2128" s="20" t="s">
        <v>3305</v>
      </c>
      <c r="D2128" s="20" t="s">
        <v>2</v>
      </c>
    </row>
    <row r="2129" spans="1:4">
      <c r="A2129" s="18" t="str">
        <f t="shared" si="33"/>
        <v>826.62 POLICE SIGNAL CALL BOX REMOVED AND RESET</v>
      </c>
      <c r="B2129" s="19">
        <v>826.62</v>
      </c>
      <c r="C2129" s="20" t="s">
        <v>3305</v>
      </c>
      <c r="D2129" s="20" t="s">
        <v>2</v>
      </c>
    </row>
    <row r="2130" spans="1:4" s="26" customFormat="1">
      <c r="A2130" s="18" t="str">
        <f t="shared" si="33"/>
        <v>826.63 POLICE SIGNAL BOX AND POST REMOVE AND RESET (ECP AND BASE)</v>
      </c>
      <c r="B2130" s="21">
        <v>826.63</v>
      </c>
      <c r="C2130" s="22" t="s">
        <v>3306</v>
      </c>
      <c r="D2130" s="22" t="s">
        <v>2</v>
      </c>
    </row>
    <row r="2131" spans="1:4">
      <c r="A2131" s="18" t="str">
        <f t="shared" si="33"/>
        <v>827.21 24 INCH WARNING CLUSTER (H1-2) - ALUMINUM PANEL (TYPE A)</v>
      </c>
      <c r="B2131" s="21">
        <v>827.21</v>
      </c>
      <c r="C2131" s="22" t="s">
        <v>551</v>
      </c>
      <c r="D2131" s="22" t="s">
        <v>2</v>
      </c>
    </row>
    <row r="2132" spans="1:4" s="26" customFormat="1">
      <c r="A2132" s="18" t="str">
        <f t="shared" si="33"/>
        <v>827.22 36 INCH WARNING CLUSTER (H1-2) - ALUMINUM PANEL (TYPE A)</v>
      </c>
      <c r="B2132" s="21">
        <v>827.22</v>
      </c>
      <c r="C2132" s="22" t="s">
        <v>3307</v>
      </c>
      <c r="D2132" s="22" t="s">
        <v>2</v>
      </c>
    </row>
    <row r="2133" spans="1:4">
      <c r="A2133" s="18" t="str">
        <f t="shared" si="33"/>
        <v>828.01 OVERHEAD GUIDE SIGN REMOVED AND RESET</v>
      </c>
      <c r="B2133" s="19">
        <v>828.01</v>
      </c>
      <c r="C2133" s="20" t="s">
        <v>1521</v>
      </c>
      <c r="D2133" s="20" t="s">
        <v>3</v>
      </c>
    </row>
    <row r="2134" spans="1:4" s="26" customFormat="1">
      <c r="A2134" s="18" t="str">
        <f t="shared" si="33"/>
        <v>828.02 OVERHEAD GUIDE SIGN REMOVED AND STACKED</v>
      </c>
      <c r="B2134" s="19">
        <v>828.02</v>
      </c>
      <c r="C2134" s="20" t="s">
        <v>3308</v>
      </c>
      <c r="D2134" s="20" t="s">
        <v>2</v>
      </c>
    </row>
    <row r="2135" spans="1:4">
      <c r="A2135" s="18" t="str">
        <f t="shared" si="33"/>
        <v>828.03 OVERHEAD GUIDE SIGN REMOVED</v>
      </c>
      <c r="B2135" s="21">
        <v>828.03</v>
      </c>
      <c r="C2135" s="22" t="s">
        <v>552</v>
      </c>
      <c r="D2135" s="22" t="s">
        <v>2</v>
      </c>
    </row>
    <row r="2136" spans="1:4" s="26" customFormat="1">
      <c r="A2136" s="18" t="str">
        <f t="shared" si="33"/>
        <v>828.04 GROUND MOUNTED SIGN SUPPORT- CLEANED AND PAINTED</v>
      </c>
      <c r="B2136" s="21">
        <v>828.04</v>
      </c>
      <c r="C2136" s="22" t="s">
        <v>3309</v>
      </c>
      <c r="D2136" s="22" t="s">
        <v>2</v>
      </c>
    </row>
    <row r="2137" spans="1:4">
      <c r="A2137" s="18" t="str">
        <f t="shared" si="33"/>
        <v>828.05 GROUND MOUNTED SIGN PANEL- CLEANED AND PAINTED</v>
      </c>
      <c r="B2137" s="21">
        <v>828.05</v>
      </c>
      <c r="C2137" s="22" t="s">
        <v>3310</v>
      </c>
      <c r="D2137" s="22" t="s">
        <v>1</v>
      </c>
    </row>
    <row r="2138" spans="1:4" s="26" customFormat="1">
      <c r="A2138" s="18" t="str">
        <f t="shared" si="33"/>
        <v>828.1 OVERHEAD GUIDE SIGN - ALUMINUM PANEL (TYPE B)</v>
      </c>
      <c r="B2138" s="19">
        <v>828.1</v>
      </c>
      <c r="C2138" s="20" t="s">
        <v>553</v>
      </c>
      <c r="D2138" s="20" t="s">
        <v>3</v>
      </c>
    </row>
    <row r="2139" spans="1:4">
      <c r="A2139" s="18" t="str">
        <f t="shared" si="33"/>
        <v>829 ROADSIDE GUIDE SIGN (G) - ALUMINUM PANEL (TYPE B)</v>
      </c>
      <c r="B2139" s="19">
        <v>829</v>
      </c>
      <c r="C2139" s="20" t="s">
        <v>554</v>
      </c>
      <c r="D2139" s="20" t="s">
        <v>3</v>
      </c>
    </row>
    <row r="2140" spans="1:4" s="26" customFormat="1">
      <c r="A2140" s="18" t="str">
        <f t="shared" si="33"/>
        <v>830.211 PROJECT FUNDING SOURCE SIGN</v>
      </c>
      <c r="B2140" s="21">
        <v>830.21100000000001</v>
      </c>
      <c r="C2140" s="22" t="s">
        <v>3311</v>
      </c>
      <c r="D2140" s="22" t="s">
        <v>2</v>
      </c>
    </row>
    <row r="2141" spans="1:4">
      <c r="A2141" s="18" t="str">
        <f t="shared" si="33"/>
        <v>830.212 PROJECT FUNDING SOURCE SIGN - EXCLUDING FABRICATION</v>
      </c>
      <c r="B2141" s="19">
        <v>830.21199999999999</v>
      </c>
      <c r="C2141" s="20" t="s">
        <v>3312</v>
      </c>
      <c r="D2141" s="20" t="s">
        <v>2</v>
      </c>
    </row>
    <row r="2142" spans="1:4" s="26" customFormat="1">
      <c r="A2142" s="18" t="str">
        <f t="shared" si="33"/>
        <v>831 ROADSIDE GUIDE SIGN (D6/D8) - ALUMINUM PANEL (TYPE A)</v>
      </c>
      <c r="B2142" s="21">
        <v>831</v>
      </c>
      <c r="C2142" s="22" t="s">
        <v>555</v>
      </c>
      <c r="D2142" s="22" t="s">
        <v>3</v>
      </c>
    </row>
    <row r="2143" spans="1:4">
      <c r="A2143" s="18" t="str">
        <f t="shared" si="33"/>
        <v>832 WARNING-REGULATORY AND ROUTE MARKER - ALUMINUM PANEL (TYPE A)</v>
      </c>
      <c r="B2143" s="21">
        <v>832</v>
      </c>
      <c r="C2143" s="22" t="s">
        <v>556</v>
      </c>
      <c r="D2143" s="22" t="s">
        <v>3</v>
      </c>
    </row>
    <row r="2144" spans="1:4" s="26" customFormat="1">
      <c r="A2144" s="18" t="str">
        <f t="shared" si="33"/>
        <v>833.5 DEMOUNTABLE REFLECTORIZED DELINEATOR - GUARD RAIL</v>
      </c>
      <c r="B2144" s="19">
        <v>833.5</v>
      </c>
      <c r="C2144" s="20" t="s">
        <v>557</v>
      </c>
      <c r="D2144" s="20" t="s">
        <v>2</v>
      </c>
    </row>
    <row r="2145" spans="1:4">
      <c r="A2145" s="18" t="str">
        <f t="shared" si="33"/>
        <v>833.7 DELINEATION FOR GUARD RAIL TERMINI</v>
      </c>
      <c r="B2145" s="21">
        <v>833.7</v>
      </c>
      <c r="C2145" s="22" t="s">
        <v>558</v>
      </c>
      <c r="D2145" s="22" t="s">
        <v>2</v>
      </c>
    </row>
    <row r="2146" spans="1:4" s="26" customFormat="1">
      <c r="A2146" s="18" t="str">
        <f t="shared" si="33"/>
        <v>834 DEMOUNTABLE REFLECTORIZED REFERENCE LOCATION SIGN</v>
      </c>
      <c r="B2146" s="19">
        <v>834</v>
      </c>
      <c r="C2146" s="20" t="s">
        <v>559</v>
      </c>
      <c r="D2146" s="20" t="s">
        <v>2</v>
      </c>
    </row>
    <row r="2147" spans="1:4">
      <c r="A2147" s="18" t="str">
        <f t="shared" si="33"/>
        <v>834.17 REFLECTORIZED FLEXIBLE DELINEATOR POST (AMBER)</v>
      </c>
      <c r="B2147" s="19">
        <v>834.17</v>
      </c>
      <c r="C2147" s="20" t="s">
        <v>560</v>
      </c>
      <c r="D2147" s="20" t="s">
        <v>2</v>
      </c>
    </row>
    <row r="2148" spans="1:4" s="26" customFormat="1">
      <c r="A2148" s="18" t="str">
        <f t="shared" si="33"/>
        <v>834.18 REFLECTORIZED FLEXIBLE DELINEATOR POST (WHITE)</v>
      </c>
      <c r="B2148" s="19">
        <v>834.18</v>
      </c>
      <c r="C2148" s="20" t="s">
        <v>561</v>
      </c>
      <c r="D2148" s="20" t="s">
        <v>2</v>
      </c>
    </row>
    <row r="2149" spans="1:4">
      <c r="A2149" s="18" t="str">
        <f t="shared" si="33"/>
        <v>836 DEMOUNTABLE REFLECTORIZED PROJECT MARKER</v>
      </c>
      <c r="B2149" s="19">
        <v>836</v>
      </c>
      <c r="C2149" s="20" t="s">
        <v>3313</v>
      </c>
      <c r="D2149" s="20" t="s">
        <v>2</v>
      </c>
    </row>
    <row r="2150" spans="1:4" s="26" customFormat="1">
      <c r="A2150" s="18" t="str">
        <f t="shared" si="33"/>
        <v>836.5 DEMOUNTABLE REFLECTORIZED STATION MARKER</v>
      </c>
      <c r="B2150" s="19">
        <v>836.5</v>
      </c>
      <c r="C2150" s="20" t="s">
        <v>562</v>
      </c>
      <c r="D2150" s="20" t="s">
        <v>2</v>
      </c>
    </row>
    <row r="2151" spans="1:4">
      <c r="A2151" s="18" t="str">
        <f t="shared" si="33"/>
        <v>840.101 SUPPORTS FOR OVERHEAD GUIDE SIGN (OD-1) STEEL</v>
      </c>
      <c r="B2151" s="21">
        <v>840.101</v>
      </c>
      <c r="C2151" s="22" t="s">
        <v>1446</v>
      </c>
      <c r="D2151" s="22" t="s">
        <v>22</v>
      </c>
    </row>
    <row r="2152" spans="1:4" s="26" customFormat="1">
      <c r="A2152" s="18" t="str">
        <f t="shared" si="33"/>
        <v>840.102 SUPPORTS FOR OVERHEAD GUIDE SIGN (OD-2) STEEL</v>
      </c>
      <c r="B2152" s="21">
        <v>840.10199999999998</v>
      </c>
      <c r="C2152" s="22" t="s">
        <v>563</v>
      </c>
      <c r="D2152" s="22" t="s">
        <v>22</v>
      </c>
    </row>
    <row r="2153" spans="1:4">
      <c r="A2153" s="18" t="str">
        <f t="shared" si="33"/>
        <v>840.103 SUPPORTS FOR OVERHEAD GUIDE SIGN (OD-3) STEEL</v>
      </c>
      <c r="B2153" s="19">
        <v>840.10299999999995</v>
      </c>
      <c r="C2153" s="20" t="s">
        <v>564</v>
      </c>
      <c r="D2153" s="20" t="s">
        <v>22</v>
      </c>
    </row>
    <row r="2154" spans="1:4" s="26" customFormat="1">
      <c r="A2154" s="18" t="str">
        <f t="shared" si="33"/>
        <v>840.104 SUPPORTS FOR OVERHEAD GUIDE SIGN (OD-4) STEEL</v>
      </c>
      <c r="B2154" s="19">
        <v>840.10400000000004</v>
      </c>
      <c r="C2154" s="20" t="s">
        <v>565</v>
      </c>
      <c r="D2154" s="20" t="s">
        <v>22</v>
      </c>
    </row>
    <row r="2155" spans="1:4">
      <c r="A2155" s="18" t="str">
        <f t="shared" si="33"/>
        <v>840.105 SUPPORTS FOR OVERHEAD GUIDE SIGN (OD-5) STEEL</v>
      </c>
      <c r="B2155" s="21">
        <v>840.10500000000002</v>
      </c>
      <c r="C2155" s="22" t="s">
        <v>1447</v>
      </c>
      <c r="D2155" s="22" t="s">
        <v>22</v>
      </c>
    </row>
    <row r="2156" spans="1:4" s="26" customFormat="1">
      <c r="A2156" s="18" t="str">
        <f t="shared" si="33"/>
        <v>840.106 SUPPORTS FOR OVERHEAD GUIDE SIGN (OD-6) STEEL</v>
      </c>
      <c r="B2156" s="19">
        <v>840.10599999999999</v>
      </c>
      <c r="C2156" s="20" t="s">
        <v>1448</v>
      </c>
      <c r="D2156" s="20" t="s">
        <v>22</v>
      </c>
    </row>
    <row r="2157" spans="1:4">
      <c r="A2157" s="18" t="str">
        <f t="shared" si="33"/>
        <v>840.107 SUPPORTS FOR OVERHEAD GUIDE SIGN (OD-7) STEEL</v>
      </c>
      <c r="B2157" s="21">
        <v>840.10699999999997</v>
      </c>
      <c r="C2157" s="22" t="s">
        <v>1449</v>
      </c>
      <c r="D2157" s="22" t="s">
        <v>22</v>
      </c>
    </row>
    <row r="2158" spans="1:4" s="26" customFormat="1">
      <c r="A2158" s="18" t="str">
        <f t="shared" si="33"/>
        <v>840.108 SUPPORTS FOR OVERHEAD GUIDE SIGN (OD-8) STEEL</v>
      </c>
      <c r="B2158" s="21">
        <v>840.10799999999995</v>
      </c>
      <c r="C2158" s="22" t="s">
        <v>1450</v>
      </c>
      <c r="D2158" s="22" t="s">
        <v>22</v>
      </c>
    </row>
    <row r="2159" spans="1:4">
      <c r="A2159" s="18" t="str">
        <f t="shared" si="33"/>
        <v>840.109 SUPPORTS FOR OVERHEAD GUIDE SIGN (OD-9) STEEL</v>
      </c>
      <c r="B2159" s="21">
        <v>840.10900000000004</v>
      </c>
      <c r="C2159" s="22" t="s">
        <v>1451</v>
      </c>
      <c r="D2159" s="22" t="s">
        <v>22</v>
      </c>
    </row>
    <row r="2160" spans="1:4" s="26" customFormat="1">
      <c r="A2160" s="18" t="str">
        <f t="shared" si="33"/>
        <v>840.11 SUPPORTS FOR OVERHEAD GUIDE SIGN (OD-10) STEEL</v>
      </c>
      <c r="B2160" s="21">
        <v>840.11</v>
      </c>
      <c r="C2160" s="22" t="s">
        <v>1452</v>
      </c>
      <c r="D2160" s="22" t="s">
        <v>22</v>
      </c>
    </row>
    <row r="2161" spans="1:4">
      <c r="A2161" s="18" t="str">
        <f t="shared" si="33"/>
        <v>841.1 SUPPORTS FOR GUIDE SIGN (D6 W/ D8-5 INCH TUBULAR POST) STEEL</v>
      </c>
      <c r="B2161" s="21">
        <v>841.1</v>
      </c>
      <c r="C2161" s="22" t="s">
        <v>566</v>
      </c>
      <c r="D2161" s="22" t="s">
        <v>2</v>
      </c>
    </row>
    <row r="2162" spans="1:4" s="26" customFormat="1">
      <c r="A2162" s="18" t="str">
        <f t="shared" si="33"/>
        <v>841.2 SUPPORTS FOR GUIDE SIGN (D6-5 INCH TUBULAR POST) STEEL</v>
      </c>
      <c r="B2162" s="19">
        <v>841.2</v>
      </c>
      <c r="C2162" s="20" t="s">
        <v>567</v>
      </c>
      <c r="D2162" s="20" t="s">
        <v>2</v>
      </c>
    </row>
    <row r="2163" spans="1:4">
      <c r="A2163" s="18" t="str">
        <f t="shared" si="33"/>
        <v>841.3 SUPPORTS FOR GUIDE SIGN (D6-P5 POSTS) STEEL</v>
      </c>
      <c r="B2163" s="21">
        <v>841.3</v>
      </c>
      <c r="C2163" s="22" t="s">
        <v>3314</v>
      </c>
      <c r="D2163" s="22" t="s">
        <v>2</v>
      </c>
    </row>
    <row r="2164" spans="1:4" s="26" customFormat="1">
      <c r="A2164" s="18" t="str">
        <f t="shared" si="33"/>
        <v>841.4 SUPPORTS FOR GUIDE SIGN (D8-4 INCH TUBULAR POST) STEEL</v>
      </c>
      <c r="B2164" s="19">
        <v>841.4</v>
      </c>
      <c r="C2164" s="20" t="s">
        <v>568</v>
      </c>
      <c r="D2164" s="20" t="s">
        <v>2</v>
      </c>
    </row>
    <row r="2165" spans="1:4">
      <c r="A2165" s="18" t="str">
        <f t="shared" si="33"/>
        <v>841.5 SUPPORTS FOR GUIDE SIGN (D8-P5 POSTS) STEEL</v>
      </c>
      <c r="B2165" s="19">
        <v>841.5</v>
      </c>
      <c r="C2165" s="20" t="s">
        <v>3315</v>
      </c>
      <c r="D2165" s="20" t="s">
        <v>2</v>
      </c>
    </row>
    <row r="2166" spans="1:4" s="26" customFormat="1">
      <c r="A2166" s="18" t="str">
        <f t="shared" si="33"/>
        <v>841.6 SUPPORTS FOR GUIDE SIGN (I-2A-5 INCH TUBULAR POST) STEEL</v>
      </c>
      <c r="B2166" s="19">
        <v>841.6</v>
      </c>
      <c r="C2166" s="20" t="s">
        <v>569</v>
      </c>
      <c r="D2166" s="20" t="s">
        <v>2</v>
      </c>
    </row>
    <row r="2167" spans="1:4">
      <c r="A2167" s="18" t="str">
        <f t="shared" si="33"/>
        <v>841.7 SUPPORTS FOR GUIDE SIGN (D6 WITH D8 - SPECIAL DESIGN) STEEL</v>
      </c>
      <c r="B2167" s="19">
        <v>841.7</v>
      </c>
      <c r="C2167" s="20" t="s">
        <v>570</v>
      </c>
      <c r="D2167" s="20" t="s">
        <v>2</v>
      </c>
    </row>
    <row r="2168" spans="1:4" s="26" customFormat="1">
      <c r="A2168" s="18" t="str">
        <f t="shared" si="33"/>
        <v>841.8 SUPPORTS FOR GUIDE SIGN (D6 - SPECIAL DESIGN) STEEL</v>
      </c>
      <c r="B2168" s="19">
        <v>841.8</v>
      </c>
      <c r="C2168" s="20" t="s">
        <v>571</v>
      </c>
      <c r="D2168" s="20" t="s">
        <v>2</v>
      </c>
    </row>
    <row r="2169" spans="1:4">
      <c r="A2169" s="18" t="str">
        <f t="shared" si="33"/>
        <v>844.101 SUPPORTS FOR GUIDE SIGN (G1) STEEL</v>
      </c>
      <c r="B2169" s="21">
        <v>844.101</v>
      </c>
      <c r="C2169" s="22" t="s">
        <v>572</v>
      </c>
      <c r="D2169" s="22" t="s">
        <v>22</v>
      </c>
    </row>
    <row r="2170" spans="1:4" s="26" customFormat="1">
      <c r="A2170" s="18" t="str">
        <f t="shared" si="33"/>
        <v>844.102 SUPPORTS FOR GUIDE SIGN (G2) STEEL</v>
      </c>
      <c r="B2170" s="21">
        <v>844.10199999999998</v>
      </c>
      <c r="C2170" s="22" t="s">
        <v>573</v>
      </c>
      <c r="D2170" s="22" t="s">
        <v>22</v>
      </c>
    </row>
    <row r="2171" spans="1:4">
      <c r="A2171" s="18" t="str">
        <f t="shared" si="33"/>
        <v>844.103 SUPPORTS FOR GUIDE SIGN (G3) STEEL</v>
      </c>
      <c r="B2171" s="21">
        <v>844.10299999999995</v>
      </c>
      <c r="C2171" s="22" t="s">
        <v>574</v>
      </c>
      <c r="D2171" s="22" t="s">
        <v>22</v>
      </c>
    </row>
    <row r="2172" spans="1:4" s="26" customFormat="1">
      <c r="A2172" s="18" t="str">
        <f t="shared" si="33"/>
        <v>844.104 SUPPORTS FOR GUIDE SIGN (G4) STEEL</v>
      </c>
      <c r="B2172" s="19">
        <v>844.10400000000004</v>
      </c>
      <c r="C2172" s="20" t="s">
        <v>575</v>
      </c>
      <c r="D2172" s="20" t="s">
        <v>22</v>
      </c>
    </row>
    <row r="2173" spans="1:4">
      <c r="A2173" s="18" t="str">
        <f t="shared" si="33"/>
        <v>844.105 SUPPORTS FOR GUIDE SIGN (G5) STEEL</v>
      </c>
      <c r="B2173" s="19">
        <v>844.10500000000002</v>
      </c>
      <c r="C2173" s="20" t="s">
        <v>1522</v>
      </c>
      <c r="D2173" s="20" t="s">
        <v>22</v>
      </c>
    </row>
    <row r="2174" spans="1:4" s="26" customFormat="1">
      <c r="A2174" s="18" t="str">
        <f t="shared" si="33"/>
        <v>845.1 SUPPORT FOR GUIDE SIGN (E5-1) STEEL</v>
      </c>
      <c r="B2174" s="19">
        <v>845.1</v>
      </c>
      <c r="C2174" s="20" t="s">
        <v>576</v>
      </c>
      <c r="D2174" s="20" t="s">
        <v>2</v>
      </c>
    </row>
    <row r="2175" spans="1:4">
      <c r="A2175" s="18" t="str">
        <f t="shared" si="33"/>
        <v>846.1 SUPPORT FOR GUIDE SIGN (E5-1A) STEEL</v>
      </c>
      <c r="B2175" s="21">
        <v>846.1</v>
      </c>
      <c r="C2175" s="22" t="s">
        <v>577</v>
      </c>
      <c r="D2175" s="22" t="s">
        <v>2</v>
      </c>
    </row>
    <row r="2176" spans="1:4" s="26" customFormat="1">
      <c r="A2176" s="18" t="str">
        <f t="shared" si="33"/>
        <v>847.1 SIGN SUP (N/GUIDE)+RTE MKR W/1 BRKWAY POST ASSEMBLY - STEEL</v>
      </c>
      <c r="B2176" s="21">
        <v>847.1</v>
      </c>
      <c r="C2176" s="22" t="s">
        <v>578</v>
      </c>
      <c r="D2176" s="22" t="s">
        <v>2</v>
      </c>
    </row>
    <row r="2177" spans="1:4">
      <c r="A2177" s="18" t="str">
        <f t="shared" si="33"/>
        <v>848.1 SIGN SUP (N/GUIDE)+RTE MKR W/2 BRKWAY POST ASSEMBLIES-STEEL</v>
      </c>
      <c r="B2177" s="21">
        <v>848.1</v>
      </c>
      <c r="C2177" s="22" t="s">
        <v>579</v>
      </c>
      <c r="D2177" s="22" t="s">
        <v>2</v>
      </c>
    </row>
    <row r="2178" spans="1:4" s="26" customFormat="1">
      <c r="A2178" s="18" t="str">
        <f t="shared" ref="A2178:A2241" si="34">B2178&amp;" "&amp;C2178</f>
        <v>850.41 ROADWAY FLAGGER</v>
      </c>
      <c r="B2178" s="21">
        <v>850.41</v>
      </c>
      <c r="C2178" s="22" t="s">
        <v>580</v>
      </c>
      <c r="D2178" s="22" t="s">
        <v>24</v>
      </c>
    </row>
    <row r="2179" spans="1:4">
      <c r="A2179" s="18" t="str">
        <f t="shared" si="34"/>
        <v>851.1 TRAFFIC CONES FOR TRAFFIC MANAGEMENT</v>
      </c>
      <c r="B2179" s="21">
        <v>851.1</v>
      </c>
      <c r="C2179" s="22" t="s">
        <v>581</v>
      </c>
      <c r="D2179" s="22" t="s">
        <v>42</v>
      </c>
    </row>
    <row r="2180" spans="1:4" s="26" customFormat="1">
      <c r="A2180" s="18" t="str">
        <f t="shared" si="34"/>
        <v>852 SAFETY SIGNING FOR TRAFFIC MANAGEMENT</v>
      </c>
      <c r="B2180" s="19">
        <v>852</v>
      </c>
      <c r="C2180" s="20" t="s">
        <v>49</v>
      </c>
      <c r="D2180" s="20" t="s">
        <v>3</v>
      </c>
    </row>
    <row r="2181" spans="1:4">
      <c r="A2181" s="18" t="str">
        <f t="shared" si="34"/>
        <v>853.1 PORTABLE BREAKAWAY BARRICADE TYPE III</v>
      </c>
      <c r="B2181" s="21">
        <v>853.1</v>
      </c>
      <c r="C2181" s="22" t="s">
        <v>582</v>
      </c>
      <c r="D2181" s="22" t="s">
        <v>2</v>
      </c>
    </row>
    <row r="2182" spans="1:4" s="26" customFormat="1">
      <c r="A2182" s="18" t="str">
        <f t="shared" si="34"/>
        <v>853.2 TEMPORARY BARRIER (TL-2)</v>
      </c>
      <c r="B2182" s="19">
        <v>853.2</v>
      </c>
      <c r="C2182" s="20" t="s">
        <v>1453</v>
      </c>
      <c r="D2182" s="20" t="s">
        <v>17</v>
      </c>
    </row>
    <row r="2183" spans="1:4">
      <c r="A2183" s="18" t="str">
        <f t="shared" si="34"/>
        <v>853.21 TEMPORARY BARRIER REMOVED AND RESET</v>
      </c>
      <c r="B2183" s="19">
        <v>853.21</v>
      </c>
      <c r="C2183" s="20" t="s">
        <v>583</v>
      </c>
      <c r="D2183" s="20" t="s">
        <v>17</v>
      </c>
    </row>
    <row r="2184" spans="1:4" s="26" customFormat="1">
      <c r="A2184" s="18" t="str">
        <f t="shared" si="34"/>
        <v>853.23 TEMPORARY BARRIER (TL-3)</v>
      </c>
      <c r="B2184" s="19">
        <v>853.23</v>
      </c>
      <c r="C2184" s="20" t="s">
        <v>584</v>
      </c>
      <c r="D2184" s="20" t="s">
        <v>17</v>
      </c>
    </row>
    <row r="2185" spans="1:4">
      <c r="A2185" s="18" t="str">
        <f t="shared" si="34"/>
        <v>853.3 TEMPORARY RESTRAINED BARRIER</v>
      </c>
      <c r="B2185" s="19">
        <v>853.3</v>
      </c>
      <c r="C2185" s="20" t="s">
        <v>585</v>
      </c>
      <c r="D2185" s="20" t="s">
        <v>17</v>
      </c>
    </row>
    <row r="2186" spans="1:4" s="26" customFormat="1">
      <c r="A2186" s="18" t="str">
        <f t="shared" si="34"/>
        <v>853.31 TEMPORARY RESTRAINED BARRIER REMOVED AND RESET</v>
      </c>
      <c r="B2186" s="19">
        <v>853.31</v>
      </c>
      <c r="C2186" s="20" t="s">
        <v>586</v>
      </c>
      <c r="D2186" s="20" t="s">
        <v>17</v>
      </c>
    </row>
    <row r="2187" spans="1:4">
      <c r="A2187" s="18" t="str">
        <f t="shared" si="34"/>
        <v>853.33 TEMPORARY BARRIER - LIMITED DEFLECTION (TL-3)</v>
      </c>
      <c r="B2187" s="21">
        <v>853.33</v>
      </c>
      <c r="C2187" s="22" t="s">
        <v>587</v>
      </c>
      <c r="D2187" s="22" t="s">
        <v>17</v>
      </c>
    </row>
    <row r="2188" spans="1:4" s="26" customFormat="1">
      <c r="A2188" s="18" t="str">
        <f t="shared" si="34"/>
        <v>853.403 TRUCK MOUNTED ATTENUATOR</v>
      </c>
      <c r="B2188" s="19">
        <v>853.40300000000002</v>
      </c>
      <c r="C2188" s="20" t="s">
        <v>588</v>
      </c>
      <c r="D2188" s="20" t="s">
        <v>42</v>
      </c>
    </row>
    <row r="2189" spans="1:4">
      <c r="A2189" s="18" t="str">
        <f t="shared" si="34"/>
        <v>853.8 TEMPORARY ILLUMINATION FOR WORK ZONE</v>
      </c>
      <c r="B2189" s="21">
        <v>853.8</v>
      </c>
      <c r="C2189" s="22" t="s">
        <v>589</v>
      </c>
      <c r="D2189" s="22" t="s">
        <v>42</v>
      </c>
    </row>
    <row r="2190" spans="1:4" s="26" customFormat="1">
      <c r="A2190" s="18" t="str">
        <f t="shared" si="34"/>
        <v>854 TEMPORARY RAISED PAVEMENT MARKER</v>
      </c>
      <c r="B2190" s="21">
        <v>854</v>
      </c>
      <c r="C2190" s="22" t="s">
        <v>590</v>
      </c>
      <c r="D2190" s="22" t="s">
        <v>2</v>
      </c>
    </row>
    <row r="2191" spans="1:4">
      <c r="A2191" s="18" t="str">
        <f t="shared" si="34"/>
        <v>854.016 TEMPORARY PAVING MARKINGS - 6 INCH (PAINTED)</v>
      </c>
      <c r="B2191" s="21">
        <v>854.01599999999996</v>
      </c>
      <c r="C2191" s="22" t="s">
        <v>591</v>
      </c>
      <c r="D2191" s="22" t="s">
        <v>17</v>
      </c>
    </row>
    <row r="2192" spans="1:4" s="26" customFormat="1">
      <c r="A2192" s="18" t="str">
        <f t="shared" si="34"/>
        <v>854.036 TEMPORARY PAVING MARKINGS - 6 INCH (TAPE)</v>
      </c>
      <c r="B2192" s="21">
        <v>854.03599999999994</v>
      </c>
      <c r="C2192" s="22" t="s">
        <v>592</v>
      </c>
      <c r="D2192" s="22" t="s">
        <v>17</v>
      </c>
    </row>
    <row r="2193" spans="1:4">
      <c r="A2193" s="18" t="str">
        <f t="shared" si="34"/>
        <v>854.1 PAVEMENT MARKING REMOVAL</v>
      </c>
      <c r="B2193" s="21">
        <v>854.1</v>
      </c>
      <c r="C2193" s="22" t="s">
        <v>593</v>
      </c>
      <c r="D2193" s="22" t="s">
        <v>3</v>
      </c>
    </row>
    <row r="2194" spans="1:4" s="26" customFormat="1">
      <c r="A2194" s="18" t="str">
        <f t="shared" si="34"/>
        <v>854.5 RAISED PAVEMENT MARKER REMOVAL</v>
      </c>
      <c r="B2194" s="32">
        <v>854.5</v>
      </c>
      <c r="C2194" s="33" t="s">
        <v>594</v>
      </c>
      <c r="D2194" s="33" t="s">
        <v>2</v>
      </c>
    </row>
    <row r="2195" spans="1:4">
      <c r="A2195" s="18" t="str">
        <f t="shared" si="34"/>
        <v>854.6 TEMPORARY PORTABLE RUMBLE STRIP</v>
      </c>
      <c r="B2195" s="21">
        <v>854.6</v>
      </c>
      <c r="C2195" s="22" t="s">
        <v>1454</v>
      </c>
      <c r="D2195" s="22" t="s">
        <v>42</v>
      </c>
    </row>
    <row r="2196" spans="1:4" s="26" customFormat="1">
      <c r="A2196" s="18" t="str">
        <f t="shared" si="34"/>
        <v>856 ARROW BOARD</v>
      </c>
      <c r="B2196" s="19">
        <v>856</v>
      </c>
      <c r="C2196" s="20" t="s">
        <v>595</v>
      </c>
      <c r="D2196" s="20" t="s">
        <v>42</v>
      </c>
    </row>
    <row r="2197" spans="1:4">
      <c r="A2197" s="18" t="str">
        <f t="shared" si="34"/>
        <v>856.12 PORTABLE CHANGEABLE MESSAGE SIGN</v>
      </c>
      <c r="B2197" s="19">
        <v>856.12</v>
      </c>
      <c r="C2197" s="20" t="s">
        <v>596</v>
      </c>
      <c r="D2197" s="20" t="s">
        <v>42</v>
      </c>
    </row>
    <row r="2198" spans="1:4" s="26" customFormat="1">
      <c r="A2198" s="18" t="str">
        <f t="shared" si="34"/>
        <v>859 REFLECTORIZED DRUM</v>
      </c>
      <c r="B2198" s="19">
        <v>859</v>
      </c>
      <c r="C2198" s="20" t="s">
        <v>28</v>
      </c>
      <c r="D2198" s="20" t="s">
        <v>42</v>
      </c>
    </row>
    <row r="2199" spans="1:4">
      <c r="A2199" s="18" t="str">
        <f t="shared" si="34"/>
        <v>859.1 REFLECTORIZED DRUMS WITH SEQUENTIAL FLASHING WARNING LIGHTS</v>
      </c>
      <c r="B2199" s="19">
        <v>859.1</v>
      </c>
      <c r="C2199" s="20" t="s">
        <v>1455</v>
      </c>
      <c r="D2199" s="20" t="s">
        <v>42</v>
      </c>
    </row>
    <row r="2200" spans="1:4" s="26" customFormat="1">
      <c r="A2200" s="18" t="str">
        <f t="shared" si="34"/>
        <v>860.106 6 INCH REFLECTORIZED WHITE LINE (PAINTED)</v>
      </c>
      <c r="B2200" s="19">
        <v>860.10599999999999</v>
      </c>
      <c r="C2200" s="20" t="s">
        <v>597</v>
      </c>
      <c r="D2200" s="20" t="s">
        <v>17</v>
      </c>
    </row>
    <row r="2201" spans="1:4">
      <c r="A2201" s="18" t="str">
        <f t="shared" si="34"/>
        <v>860.112 12 INCH REFLECTORIZED WHITE LINE (PAINTED)</v>
      </c>
      <c r="B2201" s="21">
        <v>860.11199999999997</v>
      </c>
      <c r="C2201" s="22" t="s">
        <v>598</v>
      </c>
      <c r="D2201" s="22" t="s">
        <v>17</v>
      </c>
    </row>
    <row r="2202" spans="1:4" s="26" customFormat="1">
      <c r="A2202" s="18" t="str">
        <f t="shared" si="34"/>
        <v>861.106 6 INCH REFLECTORIZED YELLOW LINE (PAINTED)</v>
      </c>
      <c r="B2202" s="21">
        <v>861.10599999999999</v>
      </c>
      <c r="C2202" s="22" t="s">
        <v>599</v>
      </c>
      <c r="D2202" s="22" t="s">
        <v>17</v>
      </c>
    </row>
    <row r="2203" spans="1:4">
      <c r="A2203" s="18" t="str">
        <f t="shared" si="34"/>
        <v>861.112 12 INCH REFLECTORIZED YELLOW LINE (PAINTED)</v>
      </c>
      <c r="B2203" s="21">
        <v>861.11199999999997</v>
      </c>
      <c r="C2203" s="22" t="s">
        <v>600</v>
      </c>
      <c r="D2203" s="22" t="s">
        <v>17</v>
      </c>
    </row>
    <row r="2204" spans="1:4" s="26" customFormat="1">
      <c r="A2204" s="18" t="str">
        <f t="shared" si="34"/>
        <v>864 PAVEMENT ARROW REFLECTORIZED WHITE (PAINTED)</v>
      </c>
      <c r="B2204" s="19">
        <v>864</v>
      </c>
      <c r="C2204" s="20" t="s">
        <v>601</v>
      </c>
      <c r="D2204" s="20" t="s">
        <v>3</v>
      </c>
    </row>
    <row r="2205" spans="1:4">
      <c r="A2205" s="18" t="str">
        <f t="shared" si="34"/>
        <v>864.01 PAVEMENT ARROW AND LEGENDS REFLECTORIZED WHITE - INLAY TAPE</v>
      </c>
      <c r="B2205" s="19">
        <v>864.01</v>
      </c>
      <c r="C2205" s="20" t="s">
        <v>602</v>
      </c>
      <c r="D2205" s="20" t="s">
        <v>3</v>
      </c>
    </row>
    <row r="2206" spans="1:4" s="26" customFormat="1">
      <c r="A2206" s="18" t="str">
        <f t="shared" si="34"/>
        <v>864.02 PAVEMENT ARROW AND LEGENDS - TAPE</v>
      </c>
      <c r="B2206" s="21">
        <v>864.02</v>
      </c>
      <c r="C2206" s="22" t="s">
        <v>603</v>
      </c>
      <c r="D2206" s="22" t="s">
        <v>3</v>
      </c>
    </row>
    <row r="2207" spans="1:4">
      <c r="A2207" s="18" t="str">
        <f t="shared" si="34"/>
        <v>864.04 PAVEMENT ARROWS AND LEGENDS  REFLECTORIZED WHITE (THERMOPLASTIC)</v>
      </c>
      <c r="B2207" s="19">
        <v>864.04</v>
      </c>
      <c r="C2207" s="20" t="s">
        <v>3316</v>
      </c>
      <c r="D2207" s="20" t="s">
        <v>3</v>
      </c>
    </row>
    <row r="2208" spans="1:4" s="26" customFormat="1">
      <c r="A2208" s="18" t="str">
        <f t="shared" si="34"/>
        <v>864.07 PAVEMENT ARROW AND LEGENDS (EPOXY)</v>
      </c>
      <c r="B2208" s="19">
        <v>864.07</v>
      </c>
      <c r="C2208" s="20" t="s">
        <v>604</v>
      </c>
      <c r="D2208" s="20" t="s">
        <v>3</v>
      </c>
    </row>
    <row r="2209" spans="1:4">
      <c r="A2209" s="18" t="str">
        <f t="shared" si="34"/>
        <v>864.31 SLOTTED PAVEMENT MARKER ONE-WAY WHITE</v>
      </c>
      <c r="B2209" s="21">
        <v>864.31</v>
      </c>
      <c r="C2209" s="22" t="s">
        <v>605</v>
      </c>
      <c r="D2209" s="22" t="s">
        <v>2</v>
      </c>
    </row>
    <row r="2210" spans="1:4" s="26" customFormat="1">
      <c r="A2210" s="18" t="str">
        <f t="shared" si="34"/>
        <v>864.32 SLOTTED PAVEMENT MARKER ONE-WAY YELLOW</v>
      </c>
      <c r="B2210" s="19">
        <v>864.32</v>
      </c>
      <c r="C2210" s="20" t="s">
        <v>606</v>
      </c>
      <c r="D2210" s="20" t="s">
        <v>2</v>
      </c>
    </row>
    <row r="2211" spans="1:4">
      <c r="A2211" s="18" t="str">
        <f t="shared" si="34"/>
        <v>864.33 SLOTTED PAVEMENT MARKER TWO-WAY WHITE/RED</v>
      </c>
      <c r="B2211" s="21">
        <v>864.33</v>
      </c>
      <c r="C2211" s="22" t="s">
        <v>607</v>
      </c>
      <c r="D2211" s="22" t="s">
        <v>2</v>
      </c>
    </row>
    <row r="2212" spans="1:4" s="26" customFormat="1">
      <c r="A2212" s="18" t="str">
        <f t="shared" si="34"/>
        <v>864.34 SLOTTED PAVEMENT MARKER TWO-WAY YELLOW/RED</v>
      </c>
      <c r="B2212" s="21">
        <v>864.34</v>
      </c>
      <c r="C2212" s="22" t="s">
        <v>608</v>
      </c>
      <c r="D2212" s="22" t="s">
        <v>2</v>
      </c>
    </row>
    <row r="2213" spans="1:4">
      <c r="A2213" s="18" t="str">
        <f t="shared" si="34"/>
        <v>864.35 SLOTTED PAVEMENT MARKER TWO-WAY YELLOW/YELLOW</v>
      </c>
      <c r="B2213" s="19">
        <v>864.35</v>
      </c>
      <c r="C2213" s="20" t="s">
        <v>609</v>
      </c>
      <c r="D2213" s="20" t="s">
        <v>2</v>
      </c>
    </row>
    <row r="2214" spans="1:4" s="26" customFormat="1">
      <c r="A2214" s="18" t="str">
        <f t="shared" si="34"/>
        <v>866.106 6 INCH REFLECTORIZED WHITE LINE (THERMOPLASTIC)</v>
      </c>
      <c r="B2214" s="19">
        <v>866.10599999999999</v>
      </c>
      <c r="C2214" s="20" t="s">
        <v>25</v>
      </c>
      <c r="D2214" s="20" t="s">
        <v>17</v>
      </c>
    </row>
    <row r="2215" spans="1:4">
      <c r="A2215" s="18" t="str">
        <f t="shared" si="34"/>
        <v>866.112 12 INCH REFLECTORIZED WHITE LINE (THERMOPLASTIC)</v>
      </c>
      <c r="B2215" s="21">
        <v>866.11199999999997</v>
      </c>
      <c r="C2215" s="22" t="s">
        <v>610</v>
      </c>
      <c r="D2215" s="22" t="s">
        <v>17</v>
      </c>
    </row>
    <row r="2216" spans="1:4" s="26" customFormat="1">
      <c r="A2216" s="18" t="str">
        <f t="shared" si="34"/>
        <v>866.206 6 INCH REFLECTORIZED WHITE LINE (POLYUREA) (RECESSED)</v>
      </c>
      <c r="B2216" s="21">
        <v>866.20600000000002</v>
      </c>
      <c r="C2216" s="22" t="s">
        <v>611</v>
      </c>
      <c r="D2216" s="22" t="s">
        <v>17</v>
      </c>
    </row>
    <row r="2217" spans="1:4">
      <c r="A2217" s="18" t="str">
        <f t="shared" si="34"/>
        <v>866.212 12 INCH REFLECTORIZED WHITE LINE (POLYUREA) (RECESSED)</v>
      </c>
      <c r="B2217" s="21">
        <v>866.21199999999999</v>
      </c>
      <c r="C2217" s="22" t="s">
        <v>612</v>
      </c>
      <c r="D2217" s="22" t="s">
        <v>17</v>
      </c>
    </row>
    <row r="2218" spans="1:4" s="26" customFormat="1">
      <c r="A2218" s="18" t="str">
        <f t="shared" si="34"/>
        <v>867.106 6 INCH REFLECTORIZED YELLOW LINE (THERMOPLASTIC)</v>
      </c>
      <c r="B2218" s="21">
        <v>867.10599999999999</v>
      </c>
      <c r="C2218" s="22" t="s">
        <v>613</v>
      </c>
      <c r="D2218" s="22" t="s">
        <v>17</v>
      </c>
    </row>
    <row r="2219" spans="1:4">
      <c r="A2219" s="18" t="str">
        <f t="shared" si="34"/>
        <v>867.112 12 INCH REFLECTORIZED YELLOW LINE (THERMOPLASTIC)</v>
      </c>
      <c r="B2219" s="19">
        <v>867.11199999999997</v>
      </c>
      <c r="C2219" s="20" t="s">
        <v>50</v>
      </c>
      <c r="D2219" s="20" t="s">
        <v>17</v>
      </c>
    </row>
    <row r="2220" spans="1:4" s="26" customFormat="1">
      <c r="A2220" s="18" t="str">
        <f t="shared" si="34"/>
        <v>867.206 6 INCH REFLECTORIZED YELLOW LINE (POLYUREA) (RECESSED)</v>
      </c>
      <c r="B2220" s="21">
        <v>867.20600000000002</v>
      </c>
      <c r="C2220" s="22" t="s">
        <v>614</v>
      </c>
      <c r="D2220" s="22" t="s">
        <v>17</v>
      </c>
    </row>
    <row r="2221" spans="1:4">
      <c r="A2221" s="18" t="str">
        <f t="shared" si="34"/>
        <v>867.212 12 INCH REFLECTORIZED YELLOW LINE (POLYUREA) (RECESSED)</v>
      </c>
      <c r="B2221" s="19">
        <v>867.21199999999999</v>
      </c>
      <c r="C2221" s="20" t="s">
        <v>1523</v>
      </c>
      <c r="D2221" s="20" t="s">
        <v>17</v>
      </c>
    </row>
    <row r="2222" spans="1:4" s="26" customFormat="1">
      <c r="A2222" s="18" t="str">
        <f t="shared" si="34"/>
        <v>868.06 6 INCH REFLECTORIZED WHITE LINE (EPOXY)</v>
      </c>
      <c r="B2222" s="19">
        <v>868.06</v>
      </c>
      <c r="C2222" s="20" t="s">
        <v>3317</v>
      </c>
      <c r="D2222" s="20" t="s">
        <v>17</v>
      </c>
    </row>
    <row r="2223" spans="1:4">
      <c r="A2223" s="18" t="str">
        <f t="shared" si="34"/>
        <v>868.12 12 INCH REFLECTORIZED WHITE LINE (EPOXY)</v>
      </c>
      <c r="B2223" s="19">
        <v>868.12</v>
      </c>
      <c r="C2223" s="20" t="s">
        <v>615</v>
      </c>
      <c r="D2223" s="20" t="s">
        <v>17</v>
      </c>
    </row>
    <row r="2224" spans="1:4" s="26" customFormat="1">
      <c r="A2224" s="18" t="str">
        <f t="shared" si="34"/>
        <v>869.06 6 INCH REFLECTORIZED YELLOW LINE (EPOXY)</v>
      </c>
      <c r="B2224" s="21">
        <v>869.06</v>
      </c>
      <c r="C2224" s="22" t="s">
        <v>3318</v>
      </c>
      <c r="D2224" s="22" t="s">
        <v>17</v>
      </c>
    </row>
    <row r="2225" spans="1:4">
      <c r="A2225" s="18" t="str">
        <f t="shared" si="34"/>
        <v>869.12 12 INCH REFLECTORIZED YELLOW LINE (EPOXY)</v>
      </c>
      <c r="B2225" s="21">
        <v>869.12</v>
      </c>
      <c r="C2225" s="22" t="s">
        <v>616</v>
      </c>
      <c r="D2225" s="22" t="s">
        <v>17</v>
      </c>
    </row>
    <row r="2226" spans="1:4" s="26" customFormat="1">
      <c r="A2226" s="18" t="str">
        <f t="shared" si="34"/>
        <v>871.11 PORTABLE NTCS FOR INTERSECTIONS</v>
      </c>
      <c r="B2226" s="21">
        <v>871.11</v>
      </c>
      <c r="C2226" s="22" t="s">
        <v>3319</v>
      </c>
      <c r="D2226" s="22" t="s">
        <v>42</v>
      </c>
    </row>
    <row r="2227" spans="1:4">
      <c r="A2227" s="18" t="str">
        <f t="shared" si="34"/>
        <v>871.12 PORTABLE NTCS FOR TRAILS</v>
      </c>
      <c r="B2227" s="21">
        <v>871.12</v>
      </c>
      <c r="C2227" s="22" t="s">
        <v>3320</v>
      </c>
      <c r="D2227" s="22" t="s">
        <v>42</v>
      </c>
    </row>
    <row r="2228" spans="1:4" s="26" customFormat="1">
      <c r="A2228" s="18" t="str">
        <f t="shared" si="34"/>
        <v>871.21 PERMANENT NTCS FOR INTERSECTIONS</v>
      </c>
      <c r="B2228" s="19">
        <v>871.21</v>
      </c>
      <c r="C2228" s="20" t="s">
        <v>3321</v>
      </c>
      <c r="D2228" s="20" t="s">
        <v>2</v>
      </c>
    </row>
    <row r="2229" spans="1:4">
      <c r="A2229" s="18" t="str">
        <f t="shared" si="34"/>
        <v>871.22 PERMANENT NTCS FOR TRAILS</v>
      </c>
      <c r="B2229" s="19">
        <v>871.22</v>
      </c>
      <c r="C2229" s="20" t="s">
        <v>3322</v>
      </c>
      <c r="D2229" s="20" t="s">
        <v>2</v>
      </c>
    </row>
    <row r="2230" spans="1:4" s="26" customFormat="1">
      <c r="A2230" s="18" t="str">
        <f t="shared" si="34"/>
        <v>874 STREET NAME SIGN</v>
      </c>
      <c r="B2230" s="19">
        <v>874</v>
      </c>
      <c r="C2230" s="20" t="s">
        <v>23</v>
      </c>
      <c r="D2230" s="20" t="s">
        <v>2</v>
      </c>
    </row>
    <row r="2231" spans="1:4">
      <c r="A2231" s="18" t="str">
        <f t="shared" si="34"/>
        <v>874.1 STREET SIGN REMOVED AND RESET</v>
      </c>
      <c r="B2231" s="19">
        <v>874.1</v>
      </c>
      <c r="C2231" s="20" t="s">
        <v>617</v>
      </c>
      <c r="D2231" s="20" t="s">
        <v>2</v>
      </c>
    </row>
    <row r="2232" spans="1:4" s="26" customFormat="1">
      <c r="A2232" s="18" t="str">
        <f t="shared" si="34"/>
        <v>874.11 STREET SIGN WITHOUT POST</v>
      </c>
      <c r="B2232" s="19">
        <v>874.11</v>
      </c>
      <c r="C2232" s="20" t="s">
        <v>3323</v>
      </c>
      <c r="D2232" s="20" t="s">
        <v>2</v>
      </c>
    </row>
    <row r="2233" spans="1:4">
      <c r="A2233" s="18" t="str">
        <f t="shared" si="34"/>
        <v>874.2 TRAFFIC SIGN REMOVED AND RESET</v>
      </c>
      <c r="B2233" s="21">
        <v>874.2</v>
      </c>
      <c r="C2233" s="22" t="s">
        <v>618</v>
      </c>
      <c r="D2233" s="22" t="s">
        <v>2</v>
      </c>
    </row>
    <row r="2234" spans="1:4" s="26" customFormat="1">
      <c r="A2234" s="18" t="str">
        <f t="shared" si="34"/>
        <v>874.3 TRAFFIC SIGNS REMOVED AND STACKED</v>
      </c>
      <c r="B2234" s="19">
        <v>874.3</v>
      </c>
      <c r="C2234" s="20" t="s">
        <v>619</v>
      </c>
      <c r="D2234" s="20" t="s">
        <v>22</v>
      </c>
    </row>
    <row r="2235" spans="1:4">
      <c r="A2235" s="18" t="str">
        <f t="shared" si="34"/>
        <v>874.4 TRAFFIC SIGN REMOVED AND STACKED</v>
      </c>
      <c r="B2235" s="21">
        <v>874.4</v>
      </c>
      <c r="C2235" s="22" t="s">
        <v>620</v>
      </c>
      <c r="D2235" s="22" t="s">
        <v>2</v>
      </c>
    </row>
    <row r="2236" spans="1:4" s="26" customFormat="1">
      <c r="A2236" s="18" t="str">
        <f t="shared" si="34"/>
        <v>874.5 MISCELLANEOUS SIGNS REMOVED AND STACKED</v>
      </c>
      <c r="B2236" s="21">
        <v>874.5</v>
      </c>
      <c r="C2236" s="22" t="s">
        <v>46</v>
      </c>
      <c r="D2236" s="22" t="s">
        <v>22</v>
      </c>
    </row>
    <row r="2237" spans="1:4">
      <c r="A2237" s="18" t="str">
        <f t="shared" si="34"/>
        <v>874.6 TEMPORARY MASKING OF SIGNS</v>
      </c>
      <c r="B2237" s="21">
        <v>874.6</v>
      </c>
      <c r="C2237" s="22" t="s">
        <v>3324</v>
      </c>
      <c r="D2237" s="22" t="s">
        <v>3</v>
      </c>
    </row>
    <row r="2238" spans="1:4" s="26" customFormat="1">
      <c r="A2238" s="18" t="str">
        <f t="shared" si="34"/>
        <v>874.7 MISCELLANEOUS SIGNS REMOVED AND STACKED</v>
      </c>
      <c r="B2238" s="19">
        <v>874.7</v>
      </c>
      <c r="C2238" s="20" t="s">
        <v>46</v>
      </c>
      <c r="D2238" s="20" t="s">
        <v>2</v>
      </c>
    </row>
    <row r="2239" spans="1:4">
      <c r="A2239" s="18" t="str">
        <f t="shared" si="34"/>
        <v>875.1 PARKING METER REMOVED AND RESET</v>
      </c>
      <c r="B2239" s="21">
        <v>875.1</v>
      </c>
      <c r="C2239" s="22" t="s">
        <v>3325</v>
      </c>
      <c r="D2239" s="22" t="s">
        <v>2</v>
      </c>
    </row>
    <row r="2240" spans="1:4" s="26" customFormat="1">
      <c r="A2240" s="18" t="str">
        <f t="shared" si="34"/>
        <v>875.2 PARKING METER REMOVED AND STACKED</v>
      </c>
      <c r="B2240" s="19">
        <v>875.2</v>
      </c>
      <c r="C2240" s="20" t="s">
        <v>3326</v>
      </c>
      <c r="D2240" s="20" t="s">
        <v>2</v>
      </c>
    </row>
    <row r="2241" spans="1:4">
      <c r="A2241" s="18" t="str">
        <f t="shared" si="34"/>
        <v>875.21 PARKING METER REMOVED AND DISCARDED</v>
      </c>
      <c r="B2241" s="21">
        <v>875.21</v>
      </c>
      <c r="C2241" s="22" t="s">
        <v>3327</v>
      </c>
      <c r="D2241" s="22" t="s">
        <v>2</v>
      </c>
    </row>
    <row r="2242" spans="1:4" s="26" customFormat="1">
      <c r="A2242" s="18" t="str">
        <f t="shared" ref="A2242:A2305" si="35">B2242&amp;" "&amp;C2242</f>
        <v>876 ELECTRIC POLE REMOVED AND STACKED</v>
      </c>
      <c r="B2242" s="19">
        <v>876</v>
      </c>
      <c r="C2242" s="20" t="s">
        <v>3328</v>
      </c>
      <c r="D2242" s="20" t="s">
        <v>2</v>
      </c>
    </row>
    <row r="2243" spans="1:4">
      <c r="A2243" s="18" t="str">
        <f t="shared" si="35"/>
        <v>877 SIGN POST REMOVED AND RESET</v>
      </c>
      <c r="B2243" s="21">
        <v>877</v>
      </c>
      <c r="C2243" s="22" t="s">
        <v>621</v>
      </c>
      <c r="D2243" s="22" t="s">
        <v>2</v>
      </c>
    </row>
    <row r="2244" spans="1:4" s="26" customFormat="1">
      <c r="A2244" s="18" t="str">
        <f t="shared" si="35"/>
        <v>877.1 SIGN POST REMOVED AND DISCARDED</v>
      </c>
      <c r="B2244" s="19">
        <v>877.1</v>
      </c>
      <c r="C2244" s="20" t="s">
        <v>622</v>
      </c>
      <c r="D2244" s="20" t="s">
        <v>2</v>
      </c>
    </row>
    <row r="2245" spans="1:4">
      <c r="A2245" s="18" t="str">
        <f t="shared" si="35"/>
        <v>877.2 SIGN POST REMOVED AND STACKED</v>
      </c>
      <c r="B2245" s="21">
        <v>877.2</v>
      </c>
      <c r="C2245" s="22" t="s">
        <v>623</v>
      </c>
      <c r="D2245" s="22" t="s">
        <v>2</v>
      </c>
    </row>
    <row r="2246" spans="1:4" s="26" customFormat="1">
      <c r="A2246" s="18" t="str">
        <f t="shared" si="35"/>
        <v>877.3 SIGN POST 2 INCH STEEL</v>
      </c>
      <c r="B2246" s="19">
        <v>877.3</v>
      </c>
      <c r="C2246" s="20" t="s">
        <v>3329</v>
      </c>
      <c r="D2246" s="20" t="s">
        <v>2</v>
      </c>
    </row>
    <row r="2247" spans="1:4">
      <c r="A2247" s="18" t="str">
        <f t="shared" si="35"/>
        <v>877.4 SIGN POST 2-1/2 INCH STEEL</v>
      </c>
      <c r="B2247" s="19">
        <v>877.4</v>
      </c>
      <c r="C2247" s="20" t="s">
        <v>3330</v>
      </c>
      <c r="D2247" s="20" t="s">
        <v>2</v>
      </c>
    </row>
    <row r="2248" spans="1:4" s="26" customFormat="1">
      <c r="A2248" s="18" t="str">
        <f t="shared" si="35"/>
        <v>901 4000 PSI, 1.5 INCH, 565 CEMENT CONCRETE</v>
      </c>
      <c r="B2248" s="21">
        <v>901</v>
      </c>
      <c r="C2248" s="22" t="s">
        <v>624</v>
      </c>
      <c r="D2248" s="22" t="s">
        <v>4</v>
      </c>
    </row>
    <row r="2249" spans="1:4">
      <c r="A2249" s="18" t="str">
        <f t="shared" si="35"/>
        <v>901.3 4000 PSI, 1.5 INCH, 565 CEMENT CONCRETE FOR POST FOUNDATION</v>
      </c>
      <c r="B2249" s="19">
        <v>901.3</v>
      </c>
      <c r="C2249" s="20" t="s">
        <v>625</v>
      </c>
      <c r="D2249" s="20" t="s">
        <v>4</v>
      </c>
    </row>
    <row r="2250" spans="1:4" s="26" customFormat="1">
      <c r="A2250" s="18" t="str">
        <f t="shared" si="35"/>
        <v>901.7 CONTRACTOR QUALITY CONTROL - CEMENT CONCRETE</v>
      </c>
      <c r="B2250" s="21">
        <v>901.7</v>
      </c>
      <c r="C2250" s="22" t="s">
        <v>3331</v>
      </c>
      <c r="D2250" s="22" t="s">
        <v>22</v>
      </c>
    </row>
    <row r="2251" spans="1:4">
      <c r="A2251" s="18" t="str">
        <f t="shared" si="35"/>
        <v>902 3500 PSI, 1.5 INCH, 520 CEMENT CONCRETE</v>
      </c>
      <c r="B2251" s="21">
        <v>902</v>
      </c>
      <c r="C2251" s="22" t="s">
        <v>3332</v>
      </c>
      <c r="D2251" s="22" t="s">
        <v>4</v>
      </c>
    </row>
    <row r="2252" spans="1:4" s="26" customFormat="1">
      <c r="A2252" s="18" t="str">
        <f t="shared" si="35"/>
        <v>903 3000 PSI, 1.5 INCH, 470 CEMENT CONCRETE</v>
      </c>
      <c r="B2252" s="19">
        <v>903</v>
      </c>
      <c r="C2252" s="20" t="s">
        <v>626</v>
      </c>
      <c r="D2252" s="20" t="s">
        <v>4</v>
      </c>
    </row>
    <row r="2253" spans="1:4">
      <c r="A2253" s="18" t="str">
        <f t="shared" si="35"/>
        <v>904 4000 PSI, 3/4 INCH, 610 CEMENT CONCRETE</v>
      </c>
      <c r="B2253" s="21">
        <v>904</v>
      </c>
      <c r="C2253" s="22" t="s">
        <v>627</v>
      </c>
      <c r="D2253" s="22" t="s">
        <v>4</v>
      </c>
    </row>
    <row r="2254" spans="1:4" s="26" customFormat="1">
      <c r="A2254" s="18" t="str">
        <f t="shared" si="35"/>
        <v>904.1 5000 PSI, 3/4 INCH, 705 CEMENT CONCRETE</v>
      </c>
      <c r="B2254" s="19">
        <v>904.1</v>
      </c>
      <c r="C2254" s="20" t="s">
        <v>3333</v>
      </c>
      <c r="D2254" s="20" t="s">
        <v>4</v>
      </c>
    </row>
    <row r="2255" spans="1:4">
      <c r="A2255" s="18" t="str">
        <f t="shared" si="35"/>
        <v>904.3 5000 PSI, 3/4 INCH, 685 HP CEMENT CONCRETE</v>
      </c>
      <c r="B2255" s="21">
        <v>904.3</v>
      </c>
      <c r="C2255" s="22" t="s">
        <v>628</v>
      </c>
      <c r="D2255" s="22" t="s">
        <v>4</v>
      </c>
    </row>
    <row r="2256" spans="1:4" s="26" customFormat="1">
      <c r="A2256" s="18" t="str">
        <f t="shared" si="35"/>
        <v>904.4 4000 PSI, 3/4 INCH, 585 HP CEMENT CONCRETE</v>
      </c>
      <c r="B2256" s="19">
        <v>904.4</v>
      </c>
      <c r="C2256" s="20" t="s">
        <v>629</v>
      </c>
      <c r="D2256" s="20" t="s">
        <v>4</v>
      </c>
    </row>
    <row r="2257" spans="1:4">
      <c r="A2257" s="18" t="str">
        <f t="shared" si="35"/>
        <v>905 4000 PSI, 3/8 INCH, 660 CEMENT CONCRETE</v>
      </c>
      <c r="B2257" s="21">
        <v>905</v>
      </c>
      <c r="C2257" s="22" t="s">
        <v>630</v>
      </c>
      <c r="D2257" s="22" t="s">
        <v>4</v>
      </c>
    </row>
    <row r="2258" spans="1:4" s="26" customFormat="1">
      <c r="A2258" s="18" t="str">
        <f t="shared" si="35"/>
        <v>905.2 5000 PSI, 3/8 INCH, 710 HP CEMENT CONCRETE</v>
      </c>
      <c r="B2258" s="21">
        <v>905.2</v>
      </c>
      <c r="C2258" s="22" t="s">
        <v>631</v>
      </c>
      <c r="D2258" s="22" t="s">
        <v>4</v>
      </c>
    </row>
    <row r="2259" spans="1:4">
      <c r="A2259" s="18" t="str">
        <f t="shared" si="35"/>
        <v>906 5000 PSI, 1.5 INCH, 660 CEMENT CONCRETE</v>
      </c>
      <c r="B2259" s="19">
        <v>906</v>
      </c>
      <c r="C2259" s="20" t="s">
        <v>3334</v>
      </c>
      <c r="D2259" s="20" t="s">
        <v>4</v>
      </c>
    </row>
    <row r="2260" spans="1:4" s="26" customFormat="1">
      <c r="A2260" s="18" t="str">
        <f t="shared" si="35"/>
        <v>907 SAWCUT GROOVES IN CONCRETE BRIDGE DECK</v>
      </c>
      <c r="B2260" s="21">
        <v>907</v>
      </c>
      <c r="C2260" s="22" t="s">
        <v>632</v>
      </c>
      <c r="D2260" s="22" t="s">
        <v>1</v>
      </c>
    </row>
    <row r="2261" spans="1:4">
      <c r="A2261" s="18" t="str">
        <f t="shared" si="35"/>
        <v>908 CEMENT FOR POINTING</v>
      </c>
      <c r="B2261" s="21">
        <v>908</v>
      </c>
      <c r="C2261" s="22" t="s">
        <v>633</v>
      </c>
      <c r="D2261" s="22" t="s">
        <v>634</v>
      </c>
    </row>
    <row r="2262" spans="1:4" s="26" customFormat="1">
      <c r="A2262" s="18" t="str">
        <f t="shared" si="35"/>
        <v>908.1 CONCRETE PENETRANT</v>
      </c>
      <c r="B2262" s="19">
        <v>908.1</v>
      </c>
      <c r="C2262" s="20" t="s">
        <v>1457</v>
      </c>
      <c r="D2262" s="20" t="s">
        <v>3</v>
      </c>
    </row>
    <row r="2263" spans="1:4">
      <c r="A2263" s="18" t="str">
        <f t="shared" si="35"/>
        <v>908.2 CEMENT CONCRETE FORM LINER - FRACTURED FIN</v>
      </c>
      <c r="B2263" s="19">
        <v>908.2</v>
      </c>
      <c r="C2263" s="20" t="s">
        <v>3335</v>
      </c>
      <c r="D2263" s="20" t="s">
        <v>1</v>
      </c>
    </row>
    <row r="2264" spans="1:4" s="26" customFormat="1">
      <c r="A2264" s="18" t="str">
        <f t="shared" si="35"/>
        <v>908.3 CEMENT CONCETE ARCHITECTURAL TREATMENT - EXPOSED AGGREGATE F</v>
      </c>
      <c r="B2264" s="21">
        <v>908.3</v>
      </c>
      <c r="C2264" s="22" t="s">
        <v>3336</v>
      </c>
      <c r="D2264" s="22" t="s">
        <v>1</v>
      </c>
    </row>
    <row r="2265" spans="1:4">
      <c r="A2265" s="18" t="str">
        <f t="shared" si="35"/>
        <v>909 LIGHTWEIGHT CEMENT CONCRETE</v>
      </c>
      <c r="B2265" s="19">
        <v>909</v>
      </c>
      <c r="C2265" s="20" t="s">
        <v>3337</v>
      </c>
      <c r="D2265" s="20" t="s">
        <v>4</v>
      </c>
    </row>
    <row r="2266" spans="1:4" s="26" customFormat="1">
      <c r="A2266" s="18" t="str">
        <f t="shared" si="35"/>
        <v>909.12 POLYMER LATEX CONCRETE PATCH</v>
      </c>
      <c r="B2266" s="19">
        <v>909.12</v>
      </c>
      <c r="C2266" s="20" t="s">
        <v>3338</v>
      </c>
      <c r="D2266" s="20" t="s">
        <v>668</v>
      </c>
    </row>
    <row r="2267" spans="1:4">
      <c r="A2267" s="18" t="str">
        <f t="shared" si="35"/>
        <v>909.2 CEMENTITIOUS MORTAR FOR PATCHING</v>
      </c>
      <c r="B2267" s="19">
        <v>909.2</v>
      </c>
      <c r="C2267" s="20" t="s">
        <v>635</v>
      </c>
      <c r="D2267" s="20" t="s">
        <v>3</v>
      </c>
    </row>
    <row r="2268" spans="1:4" s="26" customFormat="1">
      <c r="A2268" s="18" t="str">
        <f t="shared" si="35"/>
        <v>909.9 UNDERWATER FOUNDATION INSPECTION</v>
      </c>
      <c r="B2268" s="19">
        <v>909.9</v>
      </c>
      <c r="C2268" s="20" t="s">
        <v>3339</v>
      </c>
      <c r="D2268" s="20" t="s">
        <v>3340</v>
      </c>
    </row>
    <row r="2269" spans="1:4">
      <c r="A2269" s="18" t="str">
        <f t="shared" si="35"/>
        <v>909.99 RAPID SET CEMENT</v>
      </c>
      <c r="B2269" s="21">
        <v>909.99</v>
      </c>
      <c r="C2269" s="22" t="s">
        <v>1458</v>
      </c>
      <c r="D2269" s="22" t="s">
        <v>634</v>
      </c>
    </row>
    <row r="2270" spans="1:4" s="26" customFormat="1">
      <c r="A2270" s="18" t="str">
        <f t="shared" si="35"/>
        <v>910 STEEL REINFORCEMENT FOR STRUCTURES</v>
      </c>
      <c r="B2270" s="21">
        <v>910</v>
      </c>
      <c r="C2270" s="22" t="s">
        <v>636</v>
      </c>
      <c r="D2270" s="22" t="s">
        <v>100</v>
      </c>
    </row>
    <row r="2271" spans="1:4">
      <c r="A2271" s="18" t="str">
        <f t="shared" si="35"/>
        <v>910.1 STEEL REINFORCEMENT FOR STRUCTURES - EPOXY COATED</v>
      </c>
      <c r="B2271" s="21">
        <v>910.1</v>
      </c>
      <c r="C2271" s="22" t="s">
        <v>637</v>
      </c>
      <c r="D2271" s="22" t="s">
        <v>100</v>
      </c>
    </row>
    <row r="2272" spans="1:4" s="26" customFormat="1">
      <c r="A2272" s="18" t="str">
        <f t="shared" si="35"/>
        <v>910.2 STEEL REINFORCEMENT FOR STRUCTURES - COATED</v>
      </c>
      <c r="B2272" s="21">
        <v>910.2</v>
      </c>
      <c r="C2272" s="22" t="s">
        <v>638</v>
      </c>
      <c r="D2272" s="22" t="s">
        <v>100</v>
      </c>
    </row>
    <row r="2273" spans="1:4">
      <c r="A2273" s="18" t="str">
        <f t="shared" si="35"/>
        <v>910.3 STEEL REINFORCEMENT FOR STRUCTURES - GALVANIZED</v>
      </c>
      <c r="B2273" s="19">
        <v>910.3</v>
      </c>
      <c r="C2273" s="20" t="s">
        <v>3341</v>
      </c>
      <c r="D2273" s="20" t="s">
        <v>100</v>
      </c>
    </row>
    <row r="2274" spans="1:4" s="26" customFormat="1">
      <c r="A2274" s="18" t="str">
        <f t="shared" si="35"/>
        <v>910.4 MECHANICAL REINFORCING BAR SPLICER</v>
      </c>
      <c r="B2274" s="21">
        <v>910.4</v>
      </c>
      <c r="C2274" s="22" t="s">
        <v>639</v>
      </c>
      <c r="D2274" s="22" t="s">
        <v>2</v>
      </c>
    </row>
    <row r="2275" spans="1:4">
      <c r="A2275" s="18" t="str">
        <f t="shared" si="35"/>
        <v>911 SHEAR CONNECTORS</v>
      </c>
      <c r="B2275" s="19">
        <v>911</v>
      </c>
      <c r="C2275" s="20" t="s">
        <v>640</v>
      </c>
      <c r="D2275" s="20" t="s">
        <v>22</v>
      </c>
    </row>
    <row r="2276" spans="1:4" s="26" customFormat="1">
      <c r="A2276" s="18" t="str">
        <f t="shared" si="35"/>
        <v>911.1 SHEAR CONNECTORS</v>
      </c>
      <c r="B2276" s="21">
        <v>911.1</v>
      </c>
      <c r="C2276" s="22" t="s">
        <v>640</v>
      </c>
      <c r="D2276" s="22" t="s">
        <v>2</v>
      </c>
    </row>
    <row r="2277" spans="1:4">
      <c r="A2277" s="18" t="str">
        <f t="shared" si="35"/>
        <v>911.504 1/2 INCH DIAMETER HIGH STRENGTH BOLTS</v>
      </c>
      <c r="B2277" s="19">
        <v>911.50400000000002</v>
      </c>
      <c r="C2277" s="20" t="s">
        <v>3342</v>
      </c>
      <c r="D2277" s="20" t="s">
        <v>22</v>
      </c>
    </row>
    <row r="2278" spans="1:4" s="26" customFormat="1">
      <c r="A2278" s="18" t="str">
        <f t="shared" si="35"/>
        <v>911.507 7/8 INCH DIAMETER HIGH STRENGTH BOLTS</v>
      </c>
      <c r="B2278" s="19">
        <v>911.50699999999995</v>
      </c>
      <c r="C2278" s="20" t="s">
        <v>3343</v>
      </c>
      <c r="D2278" s="20" t="s">
        <v>22</v>
      </c>
    </row>
    <row r="2279" spans="1:4">
      <c r="A2279" s="18" t="str">
        <f t="shared" si="35"/>
        <v>911.604 1/2 INCH DIAMETER HIGH STRENGTH BOLT</v>
      </c>
      <c r="B2279" s="19">
        <v>911.60400000000004</v>
      </c>
      <c r="C2279" s="20" t="s">
        <v>3344</v>
      </c>
      <c r="D2279" s="20" t="s">
        <v>2</v>
      </c>
    </row>
    <row r="2280" spans="1:4" s="26" customFormat="1">
      <c r="A2280" s="18" t="str">
        <f t="shared" si="35"/>
        <v>911.607 7/8 INCH DIAMETER HIGH STRENGTH BOLT</v>
      </c>
      <c r="B2280" s="21">
        <v>911.60699999999997</v>
      </c>
      <c r="C2280" s="22" t="s">
        <v>3345</v>
      </c>
      <c r="D2280" s="22" t="s">
        <v>2</v>
      </c>
    </row>
    <row r="2281" spans="1:4">
      <c r="A2281" s="18" t="str">
        <f t="shared" si="35"/>
        <v>911.907 7/8 INCH DIAMETER COUNTERSUNK BOLT</v>
      </c>
      <c r="B2281" s="21">
        <v>911.90700000000004</v>
      </c>
      <c r="C2281" s="22" t="s">
        <v>3346</v>
      </c>
      <c r="D2281" s="22" t="s">
        <v>2</v>
      </c>
    </row>
    <row r="2282" spans="1:4" s="26" customFormat="1">
      <c r="A2282" s="18" t="str">
        <f t="shared" si="35"/>
        <v>911.91 EXPANSION BOLTS</v>
      </c>
      <c r="B2282" s="21">
        <v>911.91</v>
      </c>
      <c r="C2282" s="22" t="s">
        <v>3347</v>
      </c>
      <c r="D2282" s="22" t="s">
        <v>2</v>
      </c>
    </row>
    <row r="2283" spans="1:4">
      <c r="A2283" s="18" t="str">
        <f t="shared" si="35"/>
        <v>912 DRILLING AND GROUTING DOWELS</v>
      </c>
      <c r="B2283" s="21">
        <v>912</v>
      </c>
      <c r="C2283" s="22" t="s">
        <v>641</v>
      </c>
      <c r="D2283" s="22" t="s">
        <v>2</v>
      </c>
    </row>
    <row r="2284" spans="1:4" s="26" customFormat="1">
      <c r="A2284" s="18" t="str">
        <f t="shared" si="35"/>
        <v>912.1 DRILLING AND GROUTING DOWELS</v>
      </c>
      <c r="B2284" s="19">
        <v>912.1</v>
      </c>
      <c r="C2284" s="20" t="s">
        <v>641</v>
      </c>
      <c r="D2284" s="20" t="s">
        <v>17</v>
      </c>
    </row>
    <row r="2285" spans="1:4">
      <c r="A2285" s="18" t="str">
        <f t="shared" si="35"/>
        <v>912.4 DRILLED AND GROUTED #4 DOWELS</v>
      </c>
      <c r="B2285" s="21">
        <v>912.4</v>
      </c>
      <c r="C2285" s="22" t="s">
        <v>3348</v>
      </c>
      <c r="D2285" s="22" t="s">
        <v>2</v>
      </c>
    </row>
    <row r="2286" spans="1:4" s="26" customFormat="1">
      <c r="A2286" s="18" t="str">
        <f t="shared" si="35"/>
        <v>912.5 DRILLED AND GROUTED #5 DOWELS</v>
      </c>
      <c r="B2286" s="19">
        <v>912.5</v>
      </c>
      <c r="C2286" s="20" t="s">
        <v>642</v>
      </c>
      <c r="D2286" s="20" t="s">
        <v>2</v>
      </c>
    </row>
    <row r="2287" spans="1:4">
      <c r="A2287" s="18" t="str">
        <f t="shared" si="35"/>
        <v>912.6 DRILLED AND GROUTED #6 DOWELS</v>
      </c>
      <c r="B2287" s="19">
        <v>912.6</v>
      </c>
      <c r="C2287" s="20" t="s">
        <v>643</v>
      </c>
      <c r="D2287" s="20" t="s">
        <v>2</v>
      </c>
    </row>
    <row r="2288" spans="1:4" s="26" customFormat="1">
      <c r="A2288" s="18" t="str">
        <f t="shared" si="35"/>
        <v>912.7 DRILLED AND GROUTED #7 DOWELS</v>
      </c>
      <c r="B2288" s="19">
        <v>912.7</v>
      </c>
      <c r="C2288" s="20" t="s">
        <v>3349</v>
      </c>
      <c r="D2288" s="20" t="s">
        <v>2</v>
      </c>
    </row>
    <row r="2289" spans="1:4">
      <c r="A2289" s="18" t="str">
        <f t="shared" si="35"/>
        <v>912.8 DRILLED AND GROUTED #8 DOWELS</v>
      </c>
      <c r="B2289" s="19">
        <v>912.8</v>
      </c>
      <c r="C2289" s="20" t="s">
        <v>3350</v>
      </c>
      <c r="D2289" s="20" t="s">
        <v>2</v>
      </c>
    </row>
    <row r="2290" spans="1:4" s="26" customFormat="1">
      <c r="A2290" s="18" t="str">
        <f t="shared" si="35"/>
        <v>912.9 DRILLED AND GROUTED #9 DOWELS</v>
      </c>
      <c r="B2290" s="19">
        <v>912.9</v>
      </c>
      <c r="C2290" s="20" t="s">
        <v>3351</v>
      </c>
      <c r="D2290" s="20" t="s">
        <v>2</v>
      </c>
    </row>
    <row r="2291" spans="1:4">
      <c r="A2291" s="18" t="str">
        <f t="shared" si="35"/>
        <v>913.2 CORING AND GROUTING ANCHOR BOLTS</v>
      </c>
      <c r="B2291" s="21">
        <v>913.2</v>
      </c>
      <c r="C2291" s="22" t="s">
        <v>644</v>
      </c>
      <c r="D2291" s="22" t="s">
        <v>2</v>
      </c>
    </row>
    <row r="2292" spans="1:4" s="26" customFormat="1">
      <c r="A2292" s="18" t="str">
        <f t="shared" si="35"/>
        <v>913.3 CORING AND GROUTING DOWELS</v>
      </c>
      <c r="B2292" s="19">
        <v>913.3</v>
      </c>
      <c r="C2292" s="20" t="s">
        <v>645</v>
      </c>
      <c r="D2292" s="20" t="s">
        <v>2</v>
      </c>
    </row>
    <row r="2293" spans="1:4">
      <c r="A2293" s="18" t="str">
        <f t="shared" si="35"/>
        <v>913.31 CORING AND GROUTING DOWELS</v>
      </c>
      <c r="B2293" s="21">
        <v>913.31</v>
      </c>
      <c r="C2293" s="22" t="s">
        <v>645</v>
      </c>
      <c r="D2293" s="22" t="s">
        <v>17</v>
      </c>
    </row>
    <row r="2294" spans="1:4" s="26" customFormat="1">
      <c r="A2294" s="18" t="str">
        <f t="shared" si="35"/>
        <v>913.4 CORING AND GROUTING SWEDGE BOLTS</v>
      </c>
      <c r="B2294" s="21">
        <v>913.4</v>
      </c>
      <c r="C2294" s="22" t="s">
        <v>3352</v>
      </c>
      <c r="D2294" s="22" t="s">
        <v>2</v>
      </c>
    </row>
    <row r="2295" spans="1:4">
      <c r="A2295" s="18" t="str">
        <f t="shared" si="35"/>
        <v>915.13 ARCH FRAME UNIT (4 FEET OR LESS WIDE - 20 TO 24.99 FOOT SPAN)</v>
      </c>
      <c r="B2295" s="21">
        <v>915.13</v>
      </c>
      <c r="C2295" s="22" t="s">
        <v>3353</v>
      </c>
      <c r="D2295" s="22" t="s">
        <v>2</v>
      </c>
    </row>
    <row r="2296" spans="1:4" s="26" customFormat="1">
      <c r="A2296" s="18" t="str">
        <f t="shared" si="35"/>
        <v>915.14 ARCH FRAME UNIT (4.01 TO 5 FEET WIDE - 20 TO 24.99 FOOT SPAN)</v>
      </c>
      <c r="B2296" s="21">
        <v>915.14</v>
      </c>
      <c r="C2296" s="22" t="s">
        <v>3354</v>
      </c>
      <c r="D2296" s="22" t="s">
        <v>2</v>
      </c>
    </row>
    <row r="2297" spans="1:4">
      <c r="A2297" s="18" t="str">
        <f t="shared" si="35"/>
        <v>915.15 ARCH FRAME UNIT (5.01 TO 6 FEET WIDE - 20 TO 24.99 FOOT SPAN)</v>
      </c>
      <c r="B2297" s="19">
        <v>915.15</v>
      </c>
      <c r="C2297" s="20" t="s">
        <v>3355</v>
      </c>
      <c r="D2297" s="20" t="s">
        <v>2</v>
      </c>
    </row>
    <row r="2298" spans="1:4" s="26" customFormat="1">
      <c r="A2298" s="18" t="str">
        <f t="shared" si="35"/>
        <v>915.16 ARCH FRAME UNIT (OVER 6 FEET WIDE - 20 TO 24.99 FOOT SPAN)</v>
      </c>
      <c r="B2298" s="21">
        <v>915.16</v>
      </c>
      <c r="C2298" s="22" t="s">
        <v>3356</v>
      </c>
      <c r="D2298" s="22" t="s">
        <v>2</v>
      </c>
    </row>
    <row r="2299" spans="1:4">
      <c r="A2299" s="18" t="str">
        <f t="shared" si="35"/>
        <v>915.23 ARCH FRAME UNIT (4 FEET OR LESS WIDE - 25 TO 29.99 FOOT SPAN)</v>
      </c>
      <c r="B2299" s="19">
        <v>915.23</v>
      </c>
      <c r="C2299" s="20" t="s">
        <v>3357</v>
      </c>
      <c r="D2299" s="20" t="s">
        <v>2</v>
      </c>
    </row>
    <row r="2300" spans="1:4" s="26" customFormat="1">
      <c r="A2300" s="18" t="str">
        <f t="shared" si="35"/>
        <v>915.24 ARCH FRAME UNIT (4.01 TO 5 FEET WIDE - 25 TO 29.99 FOOT SPAN)</v>
      </c>
      <c r="B2300" s="19">
        <v>915.24</v>
      </c>
      <c r="C2300" s="20" t="s">
        <v>3358</v>
      </c>
      <c r="D2300" s="20" t="s">
        <v>2</v>
      </c>
    </row>
    <row r="2301" spans="1:4">
      <c r="A2301" s="18" t="str">
        <f t="shared" si="35"/>
        <v>915.25 ARCH FRAME UNIT (5.01 TO 6 FEET WIDE - 25 TO 29.99 FOOT SPAN)</v>
      </c>
      <c r="B2301" s="19">
        <v>915.25</v>
      </c>
      <c r="C2301" s="20" t="s">
        <v>3359</v>
      </c>
      <c r="D2301" s="20" t="s">
        <v>2</v>
      </c>
    </row>
    <row r="2302" spans="1:4" s="26" customFormat="1">
      <c r="A2302" s="18" t="str">
        <f t="shared" si="35"/>
        <v>915.26 ARCH FRAME UNIT (OVER 6 FEET WIDE - 25 TO 29.99 FOOT SPAN)</v>
      </c>
      <c r="B2302" s="19">
        <v>915.26</v>
      </c>
      <c r="C2302" s="20" t="s">
        <v>3360</v>
      </c>
      <c r="D2302" s="20" t="s">
        <v>2</v>
      </c>
    </row>
    <row r="2303" spans="1:4">
      <c r="A2303" s="18" t="str">
        <f t="shared" si="35"/>
        <v>915.33 ARCH FRAME UNIT (4 FEET OR LESS WIDE - 30 TO 34.99 FOOT SPAN)</v>
      </c>
      <c r="B2303" s="21">
        <v>915.33</v>
      </c>
      <c r="C2303" s="22" t="s">
        <v>3361</v>
      </c>
      <c r="D2303" s="22" t="s">
        <v>2</v>
      </c>
    </row>
    <row r="2304" spans="1:4" s="26" customFormat="1">
      <c r="A2304" s="18" t="str">
        <f t="shared" si="35"/>
        <v>915.34 ARCH FRAME UNIT (4.01 TO 5 FEET WIDE - 30 TO 34.99 FOOT SPAN)</v>
      </c>
      <c r="B2304" s="21">
        <v>915.34</v>
      </c>
      <c r="C2304" s="22" t="s">
        <v>3362</v>
      </c>
      <c r="D2304" s="22" t="s">
        <v>2</v>
      </c>
    </row>
    <row r="2305" spans="1:4">
      <c r="A2305" s="18" t="str">
        <f t="shared" si="35"/>
        <v>915.35 ARCH FRAME UNIT (5.01 TO 6 FEET WIDE - 30 TO 34.99 FOOT SPAN)</v>
      </c>
      <c r="B2305" s="19">
        <v>915.35</v>
      </c>
      <c r="C2305" s="20" t="s">
        <v>3363</v>
      </c>
      <c r="D2305" s="20" t="s">
        <v>2</v>
      </c>
    </row>
    <row r="2306" spans="1:4" s="26" customFormat="1">
      <c r="A2306" s="18" t="str">
        <f t="shared" ref="A2306:A2369" si="36">B2306&amp;" "&amp;C2306</f>
        <v>915.36 ARCH FRAME UNIT (OVER 6 FEET WIDE - 30 TO 34.99 FOOT SPAN)</v>
      </c>
      <c r="B2306" s="21">
        <v>915.36</v>
      </c>
      <c r="C2306" s="22" t="s">
        <v>3364</v>
      </c>
      <c r="D2306" s="22" t="s">
        <v>2</v>
      </c>
    </row>
    <row r="2307" spans="1:4">
      <c r="A2307" s="18" t="str">
        <f t="shared" si="36"/>
        <v>915.4 BRICK MASONRY</v>
      </c>
      <c r="B2307" s="21">
        <v>915.4</v>
      </c>
      <c r="C2307" s="22" t="s">
        <v>3365</v>
      </c>
      <c r="D2307" s="22" t="s">
        <v>3</v>
      </c>
    </row>
    <row r="2308" spans="1:4" s="26" customFormat="1">
      <c r="A2308" s="18" t="str">
        <f t="shared" si="36"/>
        <v>915.43 ARCH FRAME UNIT (4 FEET OR LESS WIDE - 35 TO 39.99 FOOT SPAN)</v>
      </c>
      <c r="B2308" s="21">
        <v>915.43</v>
      </c>
      <c r="C2308" s="22" t="s">
        <v>3366</v>
      </c>
      <c r="D2308" s="22" t="s">
        <v>2</v>
      </c>
    </row>
    <row r="2309" spans="1:4">
      <c r="A2309" s="18" t="str">
        <f t="shared" si="36"/>
        <v>915.44 ARCH FRAME UNIT (4.01 TO 5 FEET WIDE - 35 TO 39.99 FOOT SPAN)</v>
      </c>
      <c r="B2309" s="21">
        <v>915.44</v>
      </c>
      <c r="C2309" s="22" t="s">
        <v>3367</v>
      </c>
      <c r="D2309" s="22" t="s">
        <v>2</v>
      </c>
    </row>
    <row r="2310" spans="1:4" s="26" customFormat="1">
      <c r="A2310" s="18" t="str">
        <f t="shared" si="36"/>
        <v>915.45 ARCH FRAME UNIT (5.01 TO 6 FEET WIDE - 35 TO 39.99 FOOT SPAN)</v>
      </c>
      <c r="B2310" s="19">
        <v>915.45</v>
      </c>
      <c r="C2310" s="20" t="s">
        <v>3368</v>
      </c>
      <c r="D2310" s="20" t="s">
        <v>2</v>
      </c>
    </row>
    <row r="2311" spans="1:4">
      <c r="A2311" s="18" t="str">
        <f t="shared" si="36"/>
        <v>915.46 ARCH FRAME UNIT (OVER 6 FEET WIDE - 35 TO 39.99 FOOT SPAN)</v>
      </c>
      <c r="B2311" s="19">
        <v>915.46</v>
      </c>
      <c r="C2311" s="20" t="s">
        <v>3369</v>
      </c>
      <c r="D2311" s="20" t="s">
        <v>2</v>
      </c>
    </row>
    <row r="2312" spans="1:4" s="26" customFormat="1">
      <c r="A2312" s="18" t="str">
        <f t="shared" si="36"/>
        <v>915.53 ARCH FRAME UNIT (4 FEET OR LESS WIDE - 40 TO 44.99 FOOT SPAN)</v>
      </c>
      <c r="B2312" s="19">
        <v>915.53</v>
      </c>
      <c r="C2312" s="20" t="s">
        <v>3370</v>
      </c>
      <c r="D2312" s="20" t="s">
        <v>2</v>
      </c>
    </row>
    <row r="2313" spans="1:4">
      <c r="A2313" s="18" t="str">
        <f t="shared" si="36"/>
        <v>915.54 ARCH FRAME UNIT (4.01 TO 5 FEET WIDE - 40 TO 44.99 FOOT SPAN)</v>
      </c>
      <c r="B2313" s="19">
        <v>915.54</v>
      </c>
      <c r="C2313" s="20" t="s">
        <v>3371</v>
      </c>
      <c r="D2313" s="20" t="s">
        <v>2</v>
      </c>
    </row>
    <row r="2314" spans="1:4" s="26" customFormat="1">
      <c r="A2314" s="18" t="str">
        <f t="shared" si="36"/>
        <v>915.55 ARCH FRAME UNIT (5.01 TO 6 FEET WIDE - 40 TO 44.99 FOOT SPAN)</v>
      </c>
      <c r="B2314" s="21">
        <v>915.55</v>
      </c>
      <c r="C2314" s="22" t="s">
        <v>3372</v>
      </c>
      <c r="D2314" s="22" t="s">
        <v>2</v>
      </c>
    </row>
    <row r="2315" spans="1:4">
      <c r="A2315" s="18" t="str">
        <f t="shared" si="36"/>
        <v>915.56 ARCH FRAME UNIT (OVER 6 FEET WIDE - 40 TO 44.99 FOOT SPAN)</v>
      </c>
      <c r="B2315" s="21">
        <v>915.56</v>
      </c>
      <c r="C2315" s="22" t="s">
        <v>3373</v>
      </c>
      <c r="D2315" s="22" t="s">
        <v>2</v>
      </c>
    </row>
    <row r="2316" spans="1:4" s="26" customFormat="1">
      <c r="A2316" s="18" t="str">
        <f t="shared" si="36"/>
        <v>915.63 ARCH FRAME UNIT (4 FEET OR LESS WIDE - 45 TO 49.99 FOOT SPAN)</v>
      </c>
      <c r="B2316" s="19">
        <v>915.63</v>
      </c>
      <c r="C2316" s="20" t="s">
        <v>3374</v>
      </c>
      <c r="D2316" s="20" t="s">
        <v>2</v>
      </c>
    </row>
    <row r="2317" spans="1:4">
      <c r="A2317" s="18" t="str">
        <f t="shared" si="36"/>
        <v>915.64 ARCH FRAME UNIT (4.01 TO 5 FEET WIDE - 45 TO 49.99 FOOT SPAN)</v>
      </c>
      <c r="B2317" s="19">
        <v>915.64</v>
      </c>
      <c r="C2317" s="20" t="s">
        <v>3375</v>
      </c>
      <c r="D2317" s="20" t="s">
        <v>2</v>
      </c>
    </row>
    <row r="2318" spans="1:4" s="26" customFormat="1">
      <c r="A2318" s="18" t="str">
        <f t="shared" si="36"/>
        <v>915.65 ARCH FRAME UNIT (5.01 TO 6 FEET WIDE - 45 TO 49.99 FOOT SPAN)</v>
      </c>
      <c r="B2318" s="21">
        <v>915.65</v>
      </c>
      <c r="C2318" s="22" t="s">
        <v>3376</v>
      </c>
      <c r="D2318" s="22" t="s">
        <v>2</v>
      </c>
    </row>
    <row r="2319" spans="1:4">
      <c r="A2319" s="18" t="str">
        <f t="shared" si="36"/>
        <v>915.66 ARCH FRAME UNIT (OVER 6 FEET WIDE - 45 TO 49.99 FOOT SPAN)</v>
      </c>
      <c r="B2319" s="21">
        <v>915.66</v>
      </c>
      <c r="C2319" s="22" t="s">
        <v>3377</v>
      </c>
      <c r="D2319" s="22" t="s">
        <v>2</v>
      </c>
    </row>
    <row r="2320" spans="1:4" s="26" customFormat="1">
      <c r="A2320" s="18" t="str">
        <f t="shared" si="36"/>
        <v>915.73 ARCH FRAME UNIT (4 FEET OR LESS WIDE - 50 TO 54.99 FOOT SPAN)</v>
      </c>
      <c r="B2320" s="21">
        <v>915.73</v>
      </c>
      <c r="C2320" s="22" t="s">
        <v>3378</v>
      </c>
      <c r="D2320" s="22" t="s">
        <v>2</v>
      </c>
    </row>
    <row r="2321" spans="1:4">
      <c r="A2321" s="18" t="str">
        <f t="shared" si="36"/>
        <v>915.74 ARCH FRAME UNIT (4.01 TO 5 FEET WIDE - 50 TO 54.99 FOOT SPAN)</v>
      </c>
      <c r="B2321" s="19">
        <v>915.74</v>
      </c>
      <c r="C2321" s="20" t="s">
        <v>3379</v>
      </c>
      <c r="D2321" s="20" t="s">
        <v>2</v>
      </c>
    </row>
    <row r="2322" spans="1:4" s="26" customFormat="1">
      <c r="A2322" s="18" t="str">
        <f t="shared" si="36"/>
        <v>915.75 ARCH FRAME UNIT (5.01 TO 6 FEET WIDE - 50 TO 54.99 FOOT SPAN)</v>
      </c>
      <c r="B2322" s="19">
        <v>915.75</v>
      </c>
      <c r="C2322" s="20" t="s">
        <v>3380</v>
      </c>
      <c r="D2322" s="20" t="s">
        <v>2</v>
      </c>
    </row>
    <row r="2323" spans="1:4">
      <c r="A2323" s="18" t="str">
        <f t="shared" si="36"/>
        <v>915.76 ARCH FRAME UNIT (OVER 6 FEET WIDE - 50 TO 54.99 FOOT SPAN)</v>
      </c>
      <c r="B2323" s="21">
        <v>915.76</v>
      </c>
      <c r="C2323" s="22" t="s">
        <v>3381</v>
      </c>
      <c r="D2323" s="22" t="s">
        <v>2</v>
      </c>
    </row>
    <row r="2324" spans="1:4" s="26" customFormat="1">
      <c r="A2324" s="18" t="str">
        <f t="shared" si="36"/>
        <v>915.83 ARCH FRAME UNIT (4 FEET OR LESS WIDE - 55 TO 59.99 FOOT SPAN)</v>
      </c>
      <c r="B2324" s="21">
        <v>915.83</v>
      </c>
      <c r="C2324" s="22" t="s">
        <v>3382</v>
      </c>
      <c r="D2324" s="22" t="s">
        <v>2</v>
      </c>
    </row>
    <row r="2325" spans="1:4">
      <c r="A2325" s="18" t="str">
        <f t="shared" si="36"/>
        <v>915.84 ARCH FRAME UNIT (4.01 TO 5 FEET WIDE - 55 TO 59.99 FOOT SPAN)</v>
      </c>
      <c r="B2325" s="19">
        <v>915.84</v>
      </c>
      <c r="C2325" s="20" t="s">
        <v>3383</v>
      </c>
      <c r="D2325" s="20" t="s">
        <v>2</v>
      </c>
    </row>
    <row r="2326" spans="1:4" s="26" customFormat="1">
      <c r="A2326" s="18" t="str">
        <f t="shared" si="36"/>
        <v>915.85 ARCH FRAME UNIT (5.01 TO 6 FEET WIDE - 55 TO 59.99 FOOT SPAN)</v>
      </c>
      <c r="B2326" s="19">
        <v>915.85</v>
      </c>
      <c r="C2326" s="20" t="s">
        <v>3384</v>
      </c>
      <c r="D2326" s="20" t="s">
        <v>2</v>
      </c>
    </row>
    <row r="2327" spans="1:4">
      <c r="A2327" s="18" t="str">
        <f t="shared" si="36"/>
        <v>915.86 ARCH FRAME UNIT (OVER 6 FEET WIDE - 55 TO 59.99 FOOT SPAN)</v>
      </c>
      <c r="B2327" s="19">
        <v>915.86</v>
      </c>
      <c r="C2327" s="20" t="s">
        <v>3385</v>
      </c>
      <c r="D2327" s="20" t="s">
        <v>2</v>
      </c>
    </row>
    <row r="2328" spans="1:4" s="26" customFormat="1">
      <c r="A2328" s="18" t="str">
        <f t="shared" si="36"/>
        <v>915.93 ARCH FRAME UNIT (4 FEET OR LESS WIDE - 60 OR MORE FOOT SPAN)</v>
      </c>
      <c r="B2328" s="21">
        <v>915.93</v>
      </c>
      <c r="C2328" s="22" t="s">
        <v>3386</v>
      </c>
      <c r="D2328" s="22" t="s">
        <v>2</v>
      </c>
    </row>
    <row r="2329" spans="1:4">
      <c r="A2329" s="18" t="str">
        <f t="shared" si="36"/>
        <v>915.94 ARCH FRAME UNIT (4.01 TO 5 FEET WIDE - 60 OR MORE FOOT SPAN)</v>
      </c>
      <c r="B2329" s="21">
        <v>915.94</v>
      </c>
      <c r="C2329" s="22" t="s">
        <v>3387</v>
      </c>
      <c r="D2329" s="22" t="s">
        <v>2</v>
      </c>
    </row>
    <row r="2330" spans="1:4" s="26" customFormat="1">
      <c r="A2330" s="18" t="str">
        <f t="shared" si="36"/>
        <v>915.95 ARCH FRAME UNIT (5.01 TO 6 FEET WIDE - -60 OR MORE FOOT SPAN)</v>
      </c>
      <c r="B2330" s="19">
        <v>915.95</v>
      </c>
      <c r="C2330" s="20" t="s">
        <v>3388</v>
      </c>
      <c r="D2330" s="20" t="s">
        <v>2</v>
      </c>
    </row>
    <row r="2331" spans="1:4">
      <c r="A2331" s="18" t="str">
        <f t="shared" si="36"/>
        <v>915.96 ARCH FRAME UNIT (OVER 6 FEET WIDE - 60 OR MORE FOOT SPAN)</v>
      </c>
      <c r="B2331" s="19">
        <v>915.96</v>
      </c>
      <c r="C2331" s="20" t="s">
        <v>3389</v>
      </c>
      <c r="D2331" s="20" t="s">
        <v>2</v>
      </c>
    </row>
    <row r="2332" spans="1:4" s="26" customFormat="1">
      <c r="A2332" s="18" t="str">
        <f t="shared" si="36"/>
        <v>917 QUARRY FACED GRANITE</v>
      </c>
      <c r="B2332" s="21">
        <v>917</v>
      </c>
      <c r="C2332" s="22" t="s">
        <v>3390</v>
      </c>
      <c r="D2332" s="22" t="s">
        <v>3</v>
      </c>
    </row>
    <row r="2333" spans="1:4">
      <c r="A2333" s="18" t="str">
        <f t="shared" si="36"/>
        <v>920 GRANITE CAPSTONE</v>
      </c>
      <c r="B2333" s="21">
        <v>920</v>
      </c>
      <c r="C2333" s="22" t="s">
        <v>1524</v>
      </c>
      <c r="D2333" s="22" t="s">
        <v>17</v>
      </c>
    </row>
    <row r="2334" spans="1:4" s="26" customFormat="1">
      <c r="A2334" s="18" t="str">
        <f t="shared" si="36"/>
        <v>921.1 LAMINATED  ELASTOMERIC BEARING W/ ANCHOR BOLTS (0-50)</v>
      </c>
      <c r="B2334" s="19">
        <v>921.1</v>
      </c>
      <c r="C2334" s="20" t="s">
        <v>3391</v>
      </c>
      <c r="D2334" s="20" t="s">
        <v>2</v>
      </c>
    </row>
    <row r="2335" spans="1:4">
      <c r="A2335" s="18" t="str">
        <f t="shared" si="36"/>
        <v>921.2 LAMINATED  ELASTOMERIC BEARING W/ ANCHOR BOLTS (51-100)</v>
      </c>
      <c r="B2335" s="21">
        <v>921.2</v>
      </c>
      <c r="C2335" s="22" t="s">
        <v>3392</v>
      </c>
      <c r="D2335" s="22" t="s">
        <v>2</v>
      </c>
    </row>
    <row r="2336" spans="1:4" s="26" customFormat="1">
      <c r="A2336" s="18" t="str">
        <f t="shared" si="36"/>
        <v>921.3 LAMINATED  ELASTOMERIC BEARING W/ ANCHOR BOLTS (101-150)</v>
      </c>
      <c r="B2336" s="19">
        <v>921.3</v>
      </c>
      <c r="C2336" s="20" t="s">
        <v>3393</v>
      </c>
      <c r="D2336" s="20" t="s">
        <v>2</v>
      </c>
    </row>
    <row r="2337" spans="1:4">
      <c r="A2337" s="18" t="str">
        <f t="shared" si="36"/>
        <v>921.4 LAMINATED  ELASTOMERIC BEARING W/ ANCHOR BOLTS (151-200)</v>
      </c>
      <c r="B2337" s="21">
        <v>921.4</v>
      </c>
      <c r="C2337" s="22" t="s">
        <v>3394</v>
      </c>
      <c r="D2337" s="22" t="s">
        <v>2</v>
      </c>
    </row>
    <row r="2338" spans="1:4" s="26" customFormat="1">
      <c r="A2338" s="18" t="str">
        <f t="shared" si="36"/>
        <v>921.5 LAMINATED  ELASTOMERIC BEARING W/ ANCHOR BOLTS (&gt;200)</v>
      </c>
      <c r="B2338" s="21">
        <v>921.5</v>
      </c>
      <c r="C2338" s="22" t="s">
        <v>3395</v>
      </c>
      <c r="D2338" s="22" t="s">
        <v>2</v>
      </c>
    </row>
    <row r="2339" spans="1:4">
      <c r="A2339" s="18" t="str">
        <f t="shared" si="36"/>
        <v>922.1 LAMINATED  ELASTOMERIC BEARING W/O ANCHOR BOLTS (0-50)</v>
      </c>
      <c r="B2339" s="19">
        <v>922.1</v>
      </c>
      <c r="C2339" s="20" t="s">
        <v>3396</v>
      </c>
      <c r="D2339" s="20" t="s">
        <v>2</v>
      </c>
    </row>
    <row r="2340" spans="1:4" s="26" customFormat="1">
      <c r="A2340" s="18" t="str">
        <f t="shared" si="36"/>
        <v>922.2 LAMINATED  ELASTOMERIC BEARING W/O ANCHOR BOLTS (51-100)</v>
      </c>
      <c r="B2340" s="19">
        <v>922.2</v>
      </c>
      <c r="C2340" s="20" t="s">
        <v>3397</v>
      </c>
      <c r="D2340" s="20" t="s">
        <v>2</v>
      </c>
    </row>
    <row r="2341" spans="1:4">
      <c r="A2341" s="18" t="str">
        <f t="shared" si="36"/>
        <v>922.3 LAMINATED  ELASTOMERIC BEARING W/O ANCHOR BOLTS (101-150)</v>
      </c>
      <c r="B2341" s="21">
        <v>922.3</v>
      </c>
      <c r="C2341" s="22" t="s">
        <v>3398</v>
      </c>
      <c r="D2341" s="22" t="s">
        <v>2</v>
      </c>
    </row>
    <row r="2342" spans="1:4" s="26" customFormat="1">
      <c r="A2342" s="18" t="str">
        <f t="shared" si="36"/>
        <v>922.4 LAMINATED  ELASTOMERIC BEARING W/O ANCHOR BOLTS (151-200)</v>
      </c>
      <c r="B2342" s="21">
        <v>922.4</v>
      </c>
      <c r="C2342" s="22" t="s">
        <v>3399</v>
      </c>
      <c r="D2342" s="22" t="s">
        <v>2</v>
      </c>
    </row>
    <row r="2343" spans="1:4">
      <c r="A2343" s="18" t="str">
        <f t="shared" si="36"/>
        <v>922.5 LAMINATED  ELASTOMERIC BEARING W/O ANCHOR BOLTS (&gt;200)</v>
      </c>
      <c r="B2343" s="19">
        <v>922.5</v>
      </c>
      <c r="C2343" s="20" t="s">
        <v>3400</v>
      </c>
      <c r="D2343" s="20" t="s">
        <v>2</v>
      </c>
    </row>
    <row r="2344" spans="1:4" s="26" customFormat="1">
      <c r="A2344" s="18" t="str">
        <f t="shared" si="36"/>
        <v>923.1 LAMINATED SLIDING ELASTOMERIC BEARING W/ ANCHOR BOLTS (0-50)</v>
      </c>
      <c r="B2344" s="19">
        <v>923.1</v>
      </c>
      <c r="C2344" s="20" t="s">
        <v>3401</v>
      </c>
      <c r="D2344" s="20" t="s">
        <v>2</v>
      </c>
    </row>
    <row r="2345" spans="1:4">
      <c r="A2345" s="18" t="str">
        <f t="shared" si="36"/>
        <v>923.2 LAMINATED SLIDING ELASTOMERIC BEARING W/ ANCHOR BOLTS (51-100)</v>
      </c>
      <c r="B2345" s="19">
        <v>923.2</v>
      </c>
      <c r="C2345" s="20" t="s">
        <v>3402</v>
      </c>
      <c r="D2345" s="20" t="s">
        <v>2</v>
      </c>
    </row>
    <row r="2346" spans="1:4" s="26" customFormat="1">
      <c r="A2346" s="18" t="str">
        <f t="shared" si="36"/>
        <v>923.3 LAMINATED SLIDING ELASTOMERIC BEARING W/ ANCHOR BOLTS (101-150)</v>
      </c>
      <c r="B2346" s="21">
        <v>923.3</v>
      </c>
      <c r="C2346" s="22" t="s">
        <v>3403</v>
      </c>
      <c r="D2346" s="22" t="s">
        <v>2</v>
      </c>
    </row>
    <row r="2347" spans="1:4">
      <c r="A2347" s="18" t="str">
        <f t="shared" si="36"/>
        <v>923.4 LAMINATED SLIDING ELASTOMERIC BEARING W/ ANCHOR BOLTS (151-200)</v>
      </c>
      <c r="B2347" s="21">
        <v>923.4</v>
      </c>
      <c r="C2347" s="22" t="s">
        <v>3404</v>
      </c>
      <c r="D2347" s="22" t="s">
        <v>2</v>
      </c>
    </row>
    <row r="2348" spans="1:4" s="26" customFormat="1">
      <c r="A2348" s="18" t="str">
        <f t="shared" si="36"/>
        <v>923.5 LAMINATED SLIDING ELASTOMERIC BEARING W/ ANCHOR BOLTS (&gt;200)</v>
      </c>
      <c r="B2348" s="19">
        <v>923.5</v>
      </c>
      <c r="C2348" s="20" t="s">
        <v>3405</v>
      </c>
      <c r="D2348" s="20" t="s">
        <v>2</v>
      </c>
    </row>
    <row r="2349" spans="1:4">
      <c r="A2349" s="18" t="str">
        <f t="shared" si="36"/>
        <v>924.1 LAMINATED SLIDING ELASTOMERIC BEARING W/O ANCHOR BOLTS (0-50)</v>
      </c>
      <c r="B2349" s="19">
        <v>924.1</v>
      </c>
      <c r="C2349" s="20" t="s">
        <v>3406</v>
      </c>
      <c r="D2349" s="20" t="s">
        <v>2</v>
      </c>
    </row>
    <row r="2350" spans="1:4" s="26" customFormat="1">
      <c r="A2350" s="18" t="str">
        <f t="shared" si="36"/>
        <v>924.2 LAMINATED SLIDING ELASTOMERIC BEARING W/O ANCHOR BOLTS (51-100)</v>
      </c>
      <c r="B2350" s="21">
        <v>924.2</v>
      </c>
      <c r="C2350" s="22" t="s">
        <v>3407</v>
      </c>
      <c r="D2350" s="22" t="s">
        <v>2</v>
      </c>
    </row>
    <row r="2351" spans="1:4">
      <c r="A2351" s="18" t="str">
        <f t="shared" si="36"/>
        <v>924.3 LAMINATED SLIDING ELASTOMERIC BEARING W/O ANCHOR BOLTS (101-150)</v>
      </c>
      <c r="B2351" s="21">
        <v>924.3</v>
      </c>
      <c r="C2351" s="22" t="s">
        <v>3408</v>
      </c>
      <c r="D2351" s="22" t="s">
        <v>2</v>
      </c>
    </row>
    <row r="2352" spans="1:4" s="26" customFormat="1">
      <c r="A2352" s="18" t="str">
        <f t="shared" si="36"/>
        <v>924.4 LAMINATED SLIDING ELASTOMERIC BEARING W/O ANCHOR BOLTS (151-200)</v>
      </c>
      <c r="B2352" s="21">
        <v>924.4</v>
      </c>
      <c r="C2352" s="22" t="s">
        <v>3409</v>
      </c>
      <c r="D2352" s="22" t="s">
        <v>2</v>
      </c>
    </row>
    <row r="2353" spans="1:4">
      <c r="A2353" s="18" t="str">
        <f t="shared" si="36"/>
        <v>924.5 LAMINATED SLIDING ELASTOMERIC BEARING W/O ANCHOR BOLTS (&gt;200)</v>
      </c>
      <c r="B2353" s="19">
        <v>924.5</v>
      </c>
      <c r="C2353" s="20" t="s">
        <v>3410</v>
      </c>
      <c r="D2353" s="20" t="s">
        <v>2</v>
      </c>
    </row>
    <row r="2354" spans="1:4" s="26" customFormat="1">
      <c r="A2354" s="18" t="str">
        <f t="shared" si="36"/>
        <v>930.301 PRESTRESSED CONCRETE DECK BEAMS (S36-12)</v>
      </c>
      <c r="B2354" s="21">
        <v>930.30100000000004</v>
      </c>
      <c r="C2354" s="22" t="s">
        <v>3411</v>
      </c>
      <c r="D2354" s="22" t="s">
        <v>17</v>
      </c>
    </row>
    <row r="2355" spans="1:4">
      <c r="A2355" s="18" t="str">
        <f t="shared" si="36"/>
        <v>930.302 PRESTRESSED CONCRETE DECK BEAMS (S36-15)</v>
      </c>
      <c r="B2355" s="21">
        <v>930.30200000000002</v>
      </c>
      <c r="C2355" s="22" t="s">
        <v>3412</v>
      </c>
      <c r="D2355" s="22" t="s">
        <v>17</v>
      </c>
    </row>
    <row r="2356" spans="1:4" s="26" customFormat="1">
      <c r="A2356" s="18" t="str">
        <f t="shared" si="36"/>
        <v>930.303 PRESTRESSED CONCRETE DECK BEAMS (S36-18)</v>
      </c>
      <c r="B2356" s="19">
        <v>930.303</v>
      </c>
      <c r="C2356" s="20" t="s">
        <v>3413</v>
      </c>
      <c r="D2356" s="20" t="s">
        <v>17</v>
      </c>
    </row>
    <row r="2357" spans="1:4">
      <c r="A2357" s="18" t="str">
        <f t="shared" si="36"/>
        <v>930.304 PRESTRESSED CONCRETE DECK BEAMS (S36-21)</v>
      </c>
      <c r="B2357" s="19">
        <v>930.30399999999997</v>
      </c>
      <c r="C2357" s="20" t="s">
        <v>3414</v>
      </c>
      <c r="D2357" s="20" t="s">
        <v>17</v>
      </c>
    </row>
    <row r="2358" spans="1:4" s="26" customFormat="1">
      <c r="A2358" s="18" t="str">
        <f t="shared" si="36"/>
        <v>930.305 PRESTRESSED CONCRETE DECK BEAMS (S48-12)</v>
      </c>
      <c r="B2358" s="19">
        <v>930.30499999999995</v>
      </c>
      <c r="C2358" s="20" t="s">
        <v>3415</v>
      </c>
      <c r="D2358" s="20" t="s">
        <v>17</v>
      </c>
    </row>
    <row r="2359" spans="1:4">
      <c r="A2359" s="18" t="str">
        <f t="shared" si="36"/>
        <v>930.306 PRESTRESSED CONCRETE DECK BEAMS (S48-15)</v>
      </c>
      <c r="B2359" s="21">
        <v>930.30600000000004</v>
      </c>
      <c r="C2359" s="22" t="s">
        <v>3416</v>
      </c>
      <c r="D2359" s="22" t="s">
        <v>17</v>
      </c>
    </row>
    <row r="2360" spans="1:4" s="26" customFormat="1">
      <c r="A2360" s="18" t="str">
        <f t="shared" si="36"/>
        <v>930.307 PRESTRESSED CONCRETE DECK BEAMS (S48-18)</v>
      </c>
      <c r="B2360" s="19">
        <v>930.30700000000002</v>
      </c>
      <c r="C2360" s="20" t="s">
        <v>3417</v>
      </c>
      <c r="D2360" s="20" t="s">
        <v>17</v>
      </c>
    </row>
    <row r="2361" spans="1:4">
      <c r="A2361" s="18" t="str">
        <f t="shared" si="36"/>
        <v>930.308 PRESTRESSED CONCRETE DECK BEAMS (S48-21)</v>
      </c>
      <c r="B2361" s="19">
        <v>930.30799999999999</v>
      </c>
      <c r="C2361" s="20" t="s">
        <v>3418</v>
      </c>
      <c r="D2361" s="20" t="s">
        <v>17</v>
      </c>
    </row>
    <row r="2362" spans="1:4" s="26" customFormat="1">
      <c r="A2362" s="18" t="str">
        <f t="shared" si="36"/>
        <v>930.401 PRESTRESSED CONCRETE BOX BEAMS (B36-24)</v>
      </c>
      <c r="B2362" s="21">
        <v>930.40099999999995</v>
      </c>
      <c r="C2362" s="22" t="s">
        <v>3419</v>
      </c>
      <c r="D2362" s="22" t="s">
        <v>17</v>
      </c>
    </row>
    <row r="2363" spans="1:4">
      <c r="A2363" s="18" t="str">
        <f t="shared" si="36"/>
        <v>930.402 PRESTRESSED CONCRETE BOX BEAMS (B36-27)</v>
      </c>
      <c r="B2363" s="19">
        <v>930.40200000000004</v>
      </c>
      <c r="C2363" s="20" t="s">
        <v>3420</v>
      </c>
      <c r="D2363" s="20" t="s">
        <v>17</v>
      </c>
    </row>
    <row r="2364" spans="1:4" s="26" customFormat="1">
      <c r="A2364" s="18" t="str">
        <f t="shared" si="36"/>
        <v>930.403 PRESTRESSED CONCRETE BOX BEAMS (B36-30)</v>
      </c>
      <c r="B2364" s="21">
        <v>930.40300000000002</v>
      </c>
      <c r="C2364" s="22" t="s">
        <v>3421</v>
      </c>
      <c r="D2364" s="22" t="s">
        <v>17</v>
      </c>
    </row>
    <row r="2365" spans="1:4">
      <c r="A2365" s="18" t="str">
        <f t="shared" si="36"/>
        <v>930.404 PRESTRESSED CONCRETE BOX BEAMS (B36-33)</v>
      </c>
      <c r="B2365" s="21">
        <v>930.404</v>
      </c>
      <c r="C2365" s="22" t="s">
        <v>3422</v>
      </c>
      <c r="D2365" s="22" t="s">
        <v>17</v>
      </c>
    </row>
    <row r="2366" spans="1:4" s="26" customFormat="1">
      <c r="A2366" s="18" t="str">
        <f t="shared" si="36"/>
        <v>930.405 PRESTRESSED CONCRETE BOX BEAMS (B36-36)</v>
      </c>
      <c r="B2366" s="19">
        <v>930.40499999999997</v>
      </c>
      <c r="C2366" s="20" t="s">
        <v>3423</v>
      </c>
      <c r="D2366" s="20" t="s">
        <v>17</v>
      </c>
    </row>
    <row r="2367" spans="1:4">
      <c r="A2367" s="18" t="str">
        <f t="shared" si="36"/>
        <v>930.406 PRESTRESSED CONCRETE BOX BEAMS (B36-39)</v>
      </c>
      <c r="B2367" s="19">
        <v>930.40599999999995</v>
      </c>
      <c r="C2367" s="20" t="s">
        <v>3424</v>
      </c>
      <c r="D2367" s="20" t="s">
        <v>17</v>
      </c>
    </row>
    <row r="2368" spans="1:4" s="26" customFormat="1">
      <c r="A2368" s="18" t="str">
        <f t="shared" si="36"/>
        <v>930.407 PRESTRESSED CONCRETE BOX BEAMS (B36-42)</v>
      </c>
      <c r="B2368" s="21">
        <v>930.40700000000004</v>
      </c>
      <c r="C2368" s="22" t="s">
        <v>3425</v>
      </c>
      <c r="D2368" s="22" t="s">
        <v>17</v>
      </c>
    </row>
    <row r="2369" spans="1:4">
      <c r="A2369" s="18" t="str">
        <f t="shared" si="36"/>
        <v>930.408 PRESTRESSED CONCRETE BOX BEAMS (B36-45)</v>
      </c>
      <c r="B2369" s="19">
        <v>930.40800000000002</v>
      </c>
      <c r="C2369" s="20" t="s">
        <v>3426</v>
      </c>
      <c r="D2369" s="20" t="s">
        <v>17</v>
      </c>
    </row>
    <row r="2370" spans="1:4" s="26" customFormat="1">
      <c r="A2370" s="18" t="str">
        <f t="shared" ref="A2370:A2433" si="37">B2370&amp;" "&amp;C2370</f>
        <v>930.409 PRESTRESSED CONCRETE BOX BEAMS (B36-48)</v>
      </c>
      <c r="B2370" s="19">
        <v>930.40899999999999</v>
      </c>
      <c r="C2370" s="20" t="s">
        <v>3427</v>
      </c>
      <c r="D2370" s="20" t="s">
        <v>17</v>
      </c>
    </row>
    <row r="2371" spans="1:4">
      <c r="A2371" s="18" t="str">
        <f t="shared" si="37"/>
        <v>930.41 PRESTRESSED CONCRETE BOX BEAMS (B48-24)</v>
      </c>
      <c r="B2371" s="21">
        <v>930.41</v>
      </c>
      <c r="C2371" s="22" t="s">
        <v>3428</v>
      </c>
      <c r="D2371" s="22" t="s">
        <v>17</v>
      </c>
    </row>
    <row r="2372" spans="1:4" s="26" customFormat="1">
      <c r="A2372" s="18" t="str">
        <f t="shared" si="37"/>
        <v>930.411 PRESTRESSED CONCRETE BOX BEAMS (B48-27)</v>
      </c>
      <c r="B2372" s="21">
        <v>930.41099999999994</v>
      </c>
      <c r="C2372" s="22" t="s">
        <v>3429</v>
      </c>
      <c r="D2372" s="22" t="s">
        <v>17</v>
      </c>
    </row>
    <row r="2373" spans="1:4">
      <c r="A2373" s="18" t="str">
        <f t="shared" si="37"/>
        <v>930.412 PRESTRESSED CONCRETE BOX BEAMS (B48-30)</v>
      </c>
      <c r="B2373" s="21">
        <v>930.41200000000003</v>
      </c>
      <c r="C2373" s="22" t="s">
        <v>3430</v>
      </c>
      <c r="D2373" s="22" t="s">
        <v>17</v>
      </c>
    </row>
    <row r="2374" spans="1:4" s="26" customFormat="1">
      <c r="A2374" s="18" t="str">
        <f t="shared" si="37"/>
        <v>930.413 PRESTRESSED CONCRETE BOX BEAMS (B48-33)</v>
      </c>
      <c r="B2374" s="19">
        <v>930.41300000000001</v>
      </c>
      <c r="C2374" s="20" t="s">
        <v>3431</v>
      </c>
      <c r="D2374" s="20" t="s">
        <v>17</v>
      </c>
    </row>
    <row r="2375" spans="1:4">
      <c r="A2375" s="18" t="str">
        <f t="shared" si="37"/>
        <v>930.414 PRESTRESSED CONCRETE BOX BEAMS (B48-36)</v>
      </c>
      <c r="B2375" s="21">
        <v>930.41399999999999</v>
      </c>
      <c r="C2375" s="22" t="s">
        <v>3432</v>
      </c>
      <c r="D2375" s="22" t="s">
        <v>17</v>
      </c>
    </row>
    <row r="2376" spans="1:4" s="26" customFormat="1">
      <c r="A2376" s="18" t="str">
        <f t="shared" si="37"/>
        <v>930.415 PRESTRESSED CONCRETE BOX BEAMS (B48-39)</v>
      </c>
      <c r="B2376" s="19">
        <v>930.41499999999996</v>
      </c>
      <c r="C2376" s="20" t="s">
        <v>3433</v>
      </c>
      <c r="D2376" s="20" t="s">
        <v>17</v>
      </c>
    </row>
    <row r="2377" spans="1:4">
      <c r="A2377" s="18" t="str">
        <f t="shared" si="37"/>
        <v>930.416 PRESTRESSED CONCRETE BOX BEAMS (B48-42)</v>
      </c>
      <c r="B2377" s="21">
        <v>930.41600000000005</v>
      </c>
      <c r="C2377" s="22" t="s">
        <v>3434</v>
      </c>
      <c r="D2377" s="22" t="s">
        <v>17</v>
      </c>
    </row>
    <row r="2378" spans="1:4" s="26" customFormat="1">
      <c r="A2378" s="18" t="str">
        <f t="shared" si="37"/>
        <v>930.417 PRESTRESSED CONCRETE BOX BEAMS (B48-45)</v>
      </c>
      <c r="B2378" s="19">
        <v>930.41700000000003</v>
      </c>
      <c r="C2378" s="20" t="s">
        <v>3435</v>
      </c>
      <c r="D2378" s="20" t="s">
        <v>17</v>
      </c>
    </row>
    <row r="2379" spans="1:4">
      <c r="A2379" s="18" t="str">
        <f t="shared" si="37"/>
        <v>930.418 PRESTRESSED CONCRETE BOX BEAMS (B48-48)</v>
      </c>
      <c r="B2379" s="21">
        <v>930.41800000000001</v>
      </c>
      <c r="C2379" s="22" t="s">
        <v>3436</v>
      </c>
      <c r="D2379" s="22" t="s">
        <v>17</v>
      </c>
    </row>
    <row r="2380" spans="1:4" s="26" customFormat="1">
      <c r="A2380" s="18" t="str">
        <f t="shared" si="37"/>
        <v>930.501 HIGH PERFORMANCE PRESTRESSED CONCRETE BOX BEAMS (B36-24)</v>
      </c>
      <c r="B2380" s="21">
        <v>930.50099999999998</v>
      </c>
      <c r="C2380" s="22" t="s">
        <v>3437</v>
      </c>
      <c r="D2380" s="22" t="s">
        <v>17</v>
      </c>
    </row>
    <row r="2381" spans="1:4">
      <c r="A2381" s="18" t="str">
        <f t="shared" si="37"/>
        <v>930.502 HIGH PERFORMANCE PRESTRESSED CONCRETE BOX BEAMS (B36-27)</v>
      </c>
      <c r="B2381" s="19">
        <v>930.50199999999995</v>
      </c>
      <c r="C2381" s="20" t="s">
        <v>3438</v>
      </c>
      <c r="D2381" s="20" t="s">
        <v>17</v>
      </c>
    </row>
    <row r="2382" spans="1:4" s="26" customFormat="1">
      <c r="A2382" s="18" t="str">
        <f t="shared" si="37"/>
        <v>930.503 HIGH PERFORMANCE PRESTRESSED CONCRETE BOX BEAMS (B36-30)</v>
      </c>
      <c r="B2382" s="19">
        <v>930.50300000000004</v>
      </c>
      <c r="C2382" s="20" t="s">
        <v>3439</v>
      </c>
      <c r="D2382" s="20" t="s">
        <v>17</v>
      </c>
    </row>
    <row r="2383" spans="1:4">
      <c r="A2383" s="18" t="str">
        <f t="shared" si="37"/>
        <v>930.504 HIGH PERFORMANCE PRESTRESSED CONCRETE BOX BEAMS (B36-33)</v>
      </c>
      <c r="B2383" s="21">
        <v>930.50400000000002</v>
      </c>
      <c r="C2383" s="22" t="s">
        <v>3440</v>
      </c>
      <c r="D2383" s="22" t="s">
        <v>17</v>
      </c>
    </row>
    <row r="2384" spans="1:4" s="26" customFormat="1">
      <c r="A2384" s="18" t="str">
        <f t="shared" si="37"/>
        <v>930.505 HIGH PERFORMANCE PRESTRESSED CONCRETE BOX BEAMS (B36-36)</v>
      </c>
      <c r="B2384" s="21">
        <v>930.505</v>
      </c>
      <c r="C2384" s="22" t="s">
        <v>3441</v>
      </c>
      <c r="D2384" s="22" t="s">
        <v>17</v>
      </c>
    </row>
    <row r="2385" spans="1:4">
      <c r="A2385" s="18" t="str">
        <f t="shared" si="37"/>
        <v>930.506 HIGH PERFORMANCE PRESTRESSED CONCRETE BOX BEAMS (B36-39)</v>
      </c>
      <c r="B2385" s="19">
        <v>930.50599999999997</v>
      </c>
      <c r="C2385" s="20" t="s">
        <v>3442</v>
      </c>
      <c r="D2385" s="20" t="s">
        <v>17</v>
      </c>
    </row>
    <row r="2386" spans="1:4" s="26" customFormat="1">
      <c r="A2386" s="18" t="str">
        <f t="shared" si="37"/>
        <v>930.507 HIGH PERFORMANCE PRESTRESSED CONCRETE BOX BEAMS (B36-42)</v>
      </c>
      <c r="B2386" s="19">
        <v>930.50699999999995</v>
      </c>
      <c r="C2386" s="20" t="s">
        <v>3443</v>
      </c>
      <c r="D2386" s="20" t="s">
        <v>17</v>
      </c>
    </row>
    <row r="2387" spans="1:4">
      <c r="A2387" s="18" t="str">
        <f t="shared" si="37"/>
        <v>930.508 HIGH PERFORMANCE PRESTRESSED CONCRETE BOX BEAMS (B36-45)</v>
      </c>
      <c r="B2387" s="21">
        <v>930.50800000000004</v>
      </c>
      <c r="C2387" s="22" t="s">
        <v>3444</v>
      </c>
      <c r="D2387" s="22" t="s">
        <v>17</v>
      </c>
    </row>
    <row r="2388" spans="1:4" s="26" customFormat="1">
      <c r="A2388" s="18" t="str">
        <f t="shared" si="37"/>
        <v>930.509 HIGH PERFORMANCE PRESTRESSED CONCRETE BOX BEAMS (B36-48)</v>
      </c>
      <c r="B2388" s="21">
        <v>930.50900000000001</v>
      </c>
      <c r="C2388" s="22" t="s">
        <v>3445</v>
      </c>
      <c r="D2388" s="22" t="s">
        <v>17</v>
      </c>
    </row>
    <row r="2389" spans="1:4">
      <c r="A2389" s="18" t="str">
        <f t="shared" si="37"/>
        <v>930.51 HIGH PERFORMANCE PRESTRESSED CONCRETE BOX BEAMS (B48-24)</v>
      </c>
      <c r="B2389" s="19">
        <v>930.51</v>
      </c>
      <c r="C2389" s="20" t="s">
        <v>3446</v>
      </c>
      <c r="D2389" s="20" t="s">
        <v>17</v>
      </c>
    </row>
    <row r="2390" spans="1:4" s="26" customFormat="1">
      <c r="A2390" s="18" t="str">
        <f t="shared" si="37"/>
        <v>930.511 HIGH PERFORMANCE PRESTRESSED CONCRETE BOX BEAMS (B48-27)</v>
      </c>
      <c r="B2390" s="19">
        <v>930.51099999999997</v>
      </c>
      <c r="C2390" s="20" t="s">
        <v>3447</v>
      </c>
      <c r="D2390" s="20" t="s">
        <v>17</v>
      </c>
    </row>
    <row r="2391" spans="1:4">
      <c r="A2391" s="18" t="str">
        <f t="shared" si="37"/>
        <v>930.512 HIGH PERFORMANCE PRESTRESSED CONCRETE BOX BEAMS (B48-30)</v>
      </c>
      <c r="B2391" s="21">
        <v>930.51199999999994</v>
      </c>
      <c r="C2391" s="22" t="s">
        <v>3448</v>
      </c>
      <c r="D2391" s="22" t="s">
        <v>17</v>
      </c>
    </row>
    <row r="2392" spans="1:4" s="26" customFormat="1">
      <c r="A2392" s="18" t="str">
        <f t="shared" si="37"/>
        <v>930.513 HIGH PERFORMANCE PRESTRESSED CONCRETE BOX BEAMS (B48-33)</v>
      </c>
      <c r="B2392" s="21">
        <v>930.51300000000003</v>
      </c>
      <c r="C2392" s="22" t="s">
        <v>3449</v>
      </c>
      <c r="D2392" s="22" t="s">
        <v>17</v>
      </c>
    </row>
    <row r="2393" spans="1:4">
      <c r="A2393" s="18" t="str">
        <f t="shared" si="37"/>
        <v>930.514 HIGH PERFORMANCE PRESTRESSED CONCRETE BOX BEAMS (B48-36)</v>
      </c>
      <c r="B2393" s="19">
        <v>930.51400000000001</v>
      </c>
      <c r="C2393" s="20" t="s">
        <v>3450</v>
      </c>
      <c r="D2393" s="20" t="s">
        <v>17</v>
      </c>
    </row>
    <row r="2394" spans="1:4" s="26" customFormat="1">
      <c r="A2394" s="18" t="str">
        <f t="shared" si="37"/>
        <v>930.515 HIGH PERFORMANCE PRESTRESSED CONCRETE BOX BEAMS (B48-39)</v>
      </c>
      <c r="B2394" s="19">
        <v>930.51499999999999</v>
      </c>
      <c r="C2394" s="20" t="s">
        <v>3451</v>
      </c>
      <c r="D2394" s="20" t="s">
        <v>17</v>
      </c>
    </row>
    <row r="2395" spans="1:4">
      <c r="A2395" s="18" t="str">
        <f t="shared" si="37"/>
        <v>930.516 HIGH PERFORMANCE PRESTRESSED CONCRETE BOX BEAMS (B48-42)</v>
      </c>
      <c r="B2395" s="21">
        <v>930.51599999999996</v>
      </c>
      <c r="C2395" s="22" t="s">
        <v>3452</v>
      </c>
      <c r="D2395" s="22" t="s">
        <v>17</v>
      </c>
    </row>
    <row r="2396" spans="1:4" s="26" customFormat="1">
      <c r="A2396" s="18" t="str">
        <f t="shared" si="37"/>
        <v>930.517 HIGH PERFORMANCE PRESTRESSED CONCRETE BOX BEAMS (B48-45)</v>
      </c>
      <c r="B2396" s="19">
        <v>930.51700000000005</v>
      </c>
      <c r="C2396" s="20" t="s">
        <v>3453</v>
      </c>
      <c r="D2396" s="20" t="s">
        <v>17</v>
      </c>
    </row>
    <row r="2397" spans="1:4">
      <c r="A2397" s="18" t="str">
        <f t="shared" si="37"/>
        <v>930.518 HIGH PERFORMANCE PRESTRESSED CONCRETE BOX BEAMS (B48-48)</v>
      </c>
      <c r="B2397" s="19">
        <v>930.51800000000003</v>
      </c>
      <c r="C2397" s="20" t="s">
        <v>3454</v>
      </c>
      <c r="D2397" s="20" t="s">
        <v>17</v>
      </c>
    </row>
    <row r="2398" spans="1:4" s="26" customFormat="1">
      <c r="A2398" s="18" t="str">
        <f t="shared" si="37"/>
        <v>931.01 PRESTRESSED CONCRETE BULB TEE BEAMS (NEBT 1000)</v>
      </c>
      <c r="B2398" s="19">
        <v>931.01</v>
      </c>
      <c r="C2398" s="20" t="s">
        <v>3455</v>
      </c>
      <c r="D2398" s="20" t="s">
        <v>17</v>
      </c>
    </row>
    <row r="2399" spans="1:4">
      <c r="A2399" s="18" t="str">
        <f t="shared" si="37"/>
        <v>931.02 PRESTRESSED CONCRETE BULB TEE BEAMS (NEBT 1200)</v>
      </c>
      <c r="B2399" s="21">
        <v>931.02</v>
      </c>
      <c r="C2399" s="22" t="s">
        <v>3456</v>
      </c>
      <c r="D2399" s="22" t="s">
        <v>17</v>
      </c>
    </row>
    <row r="2400" spans="1:4" s="26" customFormat="1">
      <c r="A2400" s="18" t="str">
        <f t="shared" si="37"/>
        <v>931.03 PRESTRESSED CONCRETE BULB TEE BEAMS (NEBT 1400)</v>
      </c>
      <c r="B2400" s="21">
        <v>931.03</v>
      </c>
      <c r="C2400" s="22" t="s">
        <v>3457</v>
      </c>
      <c r="D2400" s="22" t="s">
        <v>17</v>
      </c>
    </row>
    <row r="2401" spans="1:4">
      <c r="A2401" s="18" t="str">
        <f t="shared" si="37"/>
        <v>931.04 PRESTRESSED CONCRETE BULB TEE BEAMS (NEBT 1600)</v>
      </c>
      <c r="B2401" s="21">
        <v>931.04</v>
      </c>
      <c r="C2401" s="22" t="s">
        <v>3458</v>
      </c>
      <c r="D2401" s="22" t="s">
        <v>17</v>
      </c>
    </row>
    <row r="2402" spans="1:4" s="26" customFormat="1">
      <c r="A2402" s="18" t="str">
        <f t="shared" si="37"/>
        <v>931.05 PRESTRESSED CONCRETE BULB TEE BEAMS (NEBT 1800)</v>
      </c>
      <c r="B2402" s="19">
        <v>931.05</v>
      </c>
      <c r="C2402" s="20" t="s">
        <v>3459</v>
      </c>
      <c r="D2402" s="20" t="s">
        <v>17</v>
      </c>
    </row>
    <row r="2403" spans="1:4">
      <c r="A2403" s="18" t="str">
        <f t="shared" si="37"/>
        <v>931.11 HIGH PERFORM. PRESTRESSED CONCRETE BULB TEE BEAMS (NEBT1000)</v>
      </c>
      <c r="B2403" s="19">
        <v>931.11</v>
      </c>
      <c r="C2403" s="20" t="s">
        <v>3460</v>
      </c>
      <c r="D2403" s="20" t="s">
        <v>17</v>
      </c>
    </row>
    <row r="2404" spans="1:4" s="26" customFormat="1">
      <c r="A2404" s="18" t="str">
        <f t="shared" si="37"/>
        <v>931.12 HIGH PERFORM. PRESTRESSED CONCRETE BULB TEE BEAMS (NEBT1200)</v>
      </c>
      <c r="B2404" s="21">
        <v>931.12</v>
      </c>
      <c r="C2404" s="22" t="s">
        <v>3461</v>
      </c>
      <c r="D2404" s="22" t="s">
        <v>17</v>
      </c>
    </row>
    <row r="2405" spans="1:4">
      <c r="A2405" s="18" t="str">
        <f t="shared" si="37"/>
        <v>931.13 HIGH PERFORM. PRESTRESSED CONCRETE BULB TEE BEAMS (NEBT1400)</v>
      </c>
      <c r="B2405" s="21">
        <v>931.13</v>
      </c>
      <c r="C2405" s="22" t="s">
        <v>3462</v>
      </c>
      <c r="D2405" s="22" t="s">
        <v>17</v>
      </c>
    </row>
    <row r="2406" spans="1:4" s="26" customFormat="1">
      <c r="A2406" s="18" t="str">
        <f t="shared" si="37"/>
        <v>931.14 HIGH PERFORM. PRESTRESSED CONCRETE BULB TEE BEAMS (NEBT1600)</v>
      </c>
      <c r="B2406" s="19">
        <v>931.14</v>
      </c>
      <c r="C2406" s="20" t="s">
        <v>3463</v>
      </c>
      <c r="D2406" s="20" t="s">
        <v>17</v>
      </c>
    </row>
    <row r="2407" spans="1:4">
      <c r="A2407" s="18" t="str">
        <f t="shared" si="37"/>
        <v>931.15 HIGH PERFORM. PRESTRESSED CONCRETE BULB TEE BEAMS (NEBT1800)</v>
      </c>
      <c r="B2407" s="21">
        <v>931.15</v>
      </c>
      <c r="C2407" s="22" t="s">
        <v>3464</v>
      </c>
      <c r="D2407" s="22" t="s">
        <v>17</v>
      </c>
    </row>
    <row r="2408" spans="1:4" s="26" customFormat="1">
      <c r="A2408" s="18" t="str">
        <f t="shared" si="37"/>
        <v>932 ELASTOMERIC BRIDGE BEARING PAD</v>
      </c>
      <c r="B2408" s="19">
        <v>932</v>
      </c>
      <c r="C2408" s="20" t="s">
        <v>3465</v>
      </c>
      <c r="D2408" s="20" t="s">
        <v>3</v>
      </c>
    </row>
    <row r="2409" spans="1:4">
      <c r="A2409" s="18" t="str">
        <f t="shared" si="37"/>
        <v>933 ELASTOMERIC BRIDGE BEARING PAD</v>
      </c>
      <c r="B2409" s="21">
        <v>933</v>
      </c>
      <c r="C2409" s="22" t="s">
        <v>3465</v>
      </c>
      <c r="D2409" s="22" t="s">
        <v>2</v>
      </c>
    </row>
    <row r="2410" spans="1:4" s="26" customFormat="1">
      <c r="A2410" s="18" t="str">
        <f t="shared" si="37"/>
        <v>940 UNTREATED TIMBER PILES</v>
      </c>
      <c r="B2410" s="21">
        <v>940</v>
      </c>
      <c r="C2410" s="22" t="s">
        <v>3466</v>
      </c>
      <c r="D2410" s="22" t="s">
        <v>17</v>
      </c>
    </row>
    <row r="2411" spans="1:4">
      <c r="A2411" s="18" t="str">
        <f t="shared" si="37"/>
        <v>941 TREATED TIMBER PILES</v>
      </c>
      <c r="B2411" s="19">
        <v>941</v>
      </c>
      <c r="C2411" s="20" t="s">
        <v>3467</v>
      </c>
      <c r="D2411" s="20" t="s">
        <v>17</v>
      </c>
    </row>
    <row r="2412" spans="1:4" s="26" customFormat="1">
      <c r="A2412" s="18" t="str">
        <f t="shared" si="37"/>
        <v>942.101 STEEL PILE HP 10 X 42</v>
      </c>
      <c r="B2412" s="19">
        <v>942.101</v>
      </c>
      <c r="C2412" s="20" t="s">
        <v>3468</v>
      </c>
      <c r="D2412" s="20" t="s">
        <v>17</v>
      </c>
    </row>
    <row r="2413" spans="1:4">
      <c r="A2413" s="18" t="str">
        <f t="shared" si="37"/>
        <v>942.102 STEEL PILE HP 10 X 57</v>
      </c>
      <c r="B2413" s="21">
        <v>942.10199999999998</v>
      </c>
      <c r="C2413" s="22" t="s">
        <v>646</v>
      </c>
      <c r="D2413" s="22" t="s">
        <v>17</v>
      </c>
    </row>
    <row r="2414" spans="1:4" s="26" customFormat="1">
      <c r="A2414" s="18" t="str">
        <f t="shared" si="37"/>
        <v>942.121 STEEL PILE HP 12 X 53</v>
      </c>
      <c r="B2414" s="19">
        <v>942.12099999999998</v>
      </c>
      <c r="C2414" s="20" t="s">
        <v>3469</v>
      </c>
      <c r="D2414" s="20" t="s">
        <v>17</v>
      </c>
    </row>
    <row r="2415" spans="1:4">
      <c r="A2415" s="18" t="str">
        <f t="shared" si="37"/>
        <v>942.122 STEEL PILE HP 12 X 63.</v>
      </c>
      <c r="B2415" s="21">
        <v>942.12199999999996</v>
      </c>
      <c r="C2415" s="22" t="s">
        <v>3470</v>
      </c>
      <c r="D2415" s="22" t="s">
        <v>17</v>
      </c>
    </row>
    <row r="2416" spans="1:4" s="26" customFormat="1">
      <c r="A2416" s="18" t="str">
        <f t="shared" si="37"/>
        <v>942.123 STEEL PILE HP 12 X 74</v>
      </c>
      <c r="B2416" s="19">
        <v>942.12300000000005</v>
      </c>
      <c r="C2416" s="20" t="s">
        <v>3471</v>
      </c>
      <c r="D2416" s="20" t="s">
        <v>17</v>
      </c>
    </row>
    <row r="2417" spans="1:4">
      <c r="A2417" s="18" t="str">
        <f t="shared" si="37"/>
        <v>942.124 STEEL PILE HP 12 X 84</v>
      </c>
      <c r="B2417" s="21">
        <v>942.12400000000002</v>
      </c>
      <c r="C2417" s="22" t="s">
        <v>647</v>
      </c>
      <c r="D2417" s="22" t="s">
        <v>17</v>
      </c>
    </row>
    <row r="2418" spans="1:4" s="26" customFormat="1">
      <c r="A2418" s="18" t="str">
        <f t="shared" si="37"/>
        <v>942.141 STEEL PILE HP 14 X 73</v>
      </c>
      <c r="B2418" s="19">
        <v>942.14099999999996</v>
      </c>
      <c r="C2418" s="20" t="s">
        <v>3472</v>
      </c>
      <c r="D2418" s="20" t="s">
        <v>17</v>
      </c>
    </row>
    <row r="2419" spans="1:4">
      <c r="A2419" s="18" t="str">
        <f t="shared" si="37"/>
        <v>942.142 STEEL PILE HP 14 X 89</v>
      </c>
      <c r="B2419" s="21">
        <v>942.14200000000005</v>
      </c>
      <c r="C2419" s="22" t="s">
        <v>1459</v>
      </c>
      <c r="D2419" s="22" t="s">
        <v>17</v>
      </c>
    </row>
    <row r="2420" spans="1:4" s="26" customFormat="1">
      <c r="A2420" s="18" t="str">
        <f t="shared" si="37"/>
        <v>942.143 STEEL PILE HP 14 X 102</v>
      </c>
      <c r="B2420" s="19">
        <v>942.14300000000003</v>
      </c>
      <c r="C2420" s="20" t="s">
        <v>3473</v>
      </c>
      <c r="D2420" s="20" t="s">
        <v>17</v>
      </c>
    </row>
    <row r="2421" spans="1:4">
      <c r="A2421" s="18" t="str">
        <f t="shared" si="37"/>
        <v>942.144 STEEL PILE HP 14 X 117</v>
      </c>
      <c r="B2421" s="21">
        <v>942.14400000000001</v>
      </c>
      <c r="C2421" s="22" t="s">
        <v>3474</v>
      </c>
      <c r="D2421" s="22" t="s">
        <v>17</v>
      </c>
    </row>
    <row r="2422" spans="1:4" s="26" customFormat="1">
      <c r="A2422" s="18" t="str">
        <f t="shared" si="37"/>
        <v>943.09 STEEL PIPE PILE 8-5/8 INCH OUTSIDE DIAMETER</v>
      </c>
      <c r="B2422" s="19">
        <v>943.09</v>
      </c>
      <c r="C2422" s="20" t="s">
        <v>3475</v>
      </c>
      <c r="D2422" s="20" t="s">
        <v>17</v>
      </c>
    </row>
    <row r="2423" spans="1:4">
      <c r="A2423" s="18" t="str">
        <f t="shared" si="37"/>
        <v>943.1 STEEL PIPE PILE 10 INCH OUTSIDE DIAMETER</v>
      </c>
      <c r="B2423" s="19">
        <v>943.1</v>
      </c>
      <c r="C2423" s="20" t="s">
        <v>3476</v>
      </c>
      <c r="D2423" s="20" t="s">
        <v>17</v>
      </c>
    </row>
    <row r="2424" spans="1:4" s="26" customFormat="1">
      <c r="A2424" s="18" t="str">
        <f t="shared" si="37"/>
        <v>943.11 STEEL PIPE PILE 10-3/4 INCH OUTSIDE DIAMETER</v>
      </c>
      <c r="B2424" s="21">
        <v>943.11</v>
      </c>
      <c r="C2424" s="22" t="s">
        <v>3477</v>
      </c>
      <c r="D2424" s="22" t="s">
        <v>17</v>
      </c>
    </row>
    <row r="2425" spans="1:4">
      <c r="A2425" s="18" t="str">
        <f t="shared" si="37"/>
        <v>943.12 STEEL PIPE PILE 12 INCH OUTSIDE DIAMETER</v>
      </c>
      <c r="B2425" s="21">
        <v>943.12</v>
      </c>
      <c r="C2425" s="22" t="s">
        <v>3478</v>
      </c>
      <c r="D2425" s="22" t="s">
        <v>17</v>
      </c>
    </row>
    <row r="2426" spans="1:4" s="26" customFormat="1">
      <c r="A2426" s="18" t="str">
        <f t="shared" si="37"/>
        <v>943.13 STEEL PIPE PILE 12-3/4 INCH OUTSIDE DIAMETER</v>
      </c>
      <c r="B2426" s="19">
        <v>943.13</v>
      </c>
      <c r="C2426" s="20" t="s">
        <v>3479</v>
      </c>
      <c r="D2426" s="20" t="s">
        <v>17</v>
      </c>
    </row>
    <row r="2427" spans="1:4">
      <c r="A2427" s="18" t="str">
        <f t="shared" si="37"/>
        <v>943.14 STEEL PIPE PILE 14 INCH OUTSIDE DIAMETER</v>
      </c>
      <c r="B2427" s="21">
        <v>943.14</v>
      </c>
      <c r="C2427" s="22" t="s">
        <v>3480</v>
      </c>
      <c r="D2427" s="22" t="s">
        <v>17</v>
      </c>
    </row>
    <row r="2428" spans="1:4" s="26" customFormat="1">
      <c r="A2428" s="18" t="str">
        <f t="shared" si="37"/>
        <v>943.16 STEEL PIPE PILE 16 INCH OUTSIDE DIAMETER</v>
      </c>
      <c r="B2428" s="19">
        <v>943.16</v>
      </c>
      <c r="C2428" s="20" t="s">
        <v>3481</v>
      </c>
      <c r="D2428" s="20" t="s">
        <v>17</v>
      </c>
    </row>
    <row r="2429" spans="1:4">
      <c r="A2429" s="18" t="str">
        <f t="shared" si="37"/>
        <v>944.101 STEEL PILE SPLICE HP 10 X 42</v>
      </c>
      <c r="B2429" s="21">
        <v>944.101</v>
      </c>
      <c r="C2429" s="22" t="s">
        <v>3482</v>
      </c>
      <c r="D2429" s="22" t="s">
        <v>2</v>
      </c>
    </row>
    <row r="2430" spans="1:4" s="26" customFormat="1">
      <c r="A2430" s="18" t="str">
        <f t="shared" si="37"/>
        <v>944.102 STEEL PILE SPLICE HP 10 X 57</v>
      </c>
      <c r="B2430" s="19">
        <v>944.10199999999998</v>
      </c>
      <c r="C2430" s="20" t="s">
        <v>3483</v>
      </c>
      <c r="D2430" s="20" t="s">
        <v>2</v>
      </c>
    </row>
    <row r="2431" spans="1:4">
      <c r="A2431" s="18" t="str">
        <f t="shared" si="37"/>
        <v>944.121 STEEL PILE SPLICE HP 12 X 53</v>
      </c>
      <c r="B2431" s="19">
        <v>944.12099999999998</v>
      </c>
      <c r="C2431" s="20" t="s">
        <v>3484</v>
      </c>
      <c r="D2431" s="20" t="s">
        <v>2</v>
      </c>
    </row>
    <row r="2432" spans="1:4" s="26" customFormat="1">
      <c r="A2432" s="18" t="str">
        <f t="shared" si="37"/>
        <v>944.122 STEEL PILE SPLICE HP 12 X 63</v>
      </c>
      <c r="B2432" s="21">
        <v>944.12199999999996</v>
      </c>
      <c r="C2432" s="22" t="s">
        <v>3485</v>
      </c>
      <c r="D2432" s="22" t="s">
        <v>2</v>
      </c>
    </row>
    <row r="2433" spans="1:4">
      <c r="A2433" s="18" t="str">
        <f t="shared" si="37"/>
        <v>944.123 STEEL PILE SPLICE HP 12 X 74</v>
      </c>
      <c r="B2433" s="19">
        <v>944.12300000000005</v>
      </c>
      <c r="C2433" s="20" t="s">
        <v>3486</v>
      </c>
      <c r="D2433" s="20" t="s">
        <v>2</v>
      </c>
    </row>
    <row r="2434" spans="1:4" s="26" customFormat="1">
      <c r="A2434" s="18" t="str">
        <f t="shared" ref="A2434:A2497" si="38">B2434&amp;" "&amp;C2434</f>
        <v>944.124 STEEL PILE SPLICE HP 12 X 84</v>
      </c>
      <c r="B2434" s="19">
        <v>944.12400000000002</v>
      </c>
      <c r="C2434" s="20" t="s">
        <v>648</v>
      </c>
      <c r="D2434" s="20" t="s">
        <v>2</v>
      </c>
    </row>
    <row r="2435" spans="1:4">
      <c r="A2435" s="18" t="str">
        <f t="shared" si="38"/>
        <v>944.141 STEEL PILE SPLICE HP 14 X 73</v>
      </c>
      <c r="B2435" s="21">
        <v>944.14099999999996</v>
      </c>
      <c r="C2435" s="22" t="s">
        <v>3487</v>
      </c>
      <c r="D2435" s="22" t="s">
        <v>2</v>
      </c>
    </row>
    <row r="2436" spans="1:4" s="26" customFormat="1">
      <c r="A2436" s="18" t="str">
        <f t="shared" si="38"/>
        <v>944.142 STEEL PILE SPLICE HP 14 X 89</v>
      </c>
      <c r="B2436" s="21">
        <v>944.14200000000005</v>
      </c>
      <c r="C2436" s="22" t="s">
        <v>1525</v>
      </c>
      <c r="D2436" s="22" t="s">
        <v>2</v>
      </c>
    </row>
    <row r="2437" spans="1:4">
      <c r="A2437" s="18" t="str">
        <f t="shared" si="38"/>
        <v>944.143 STEEL PILE SPLICE HP 14 X 102</v>
      </c>
      <c r="B2437" s="21">
        <v>944.14300000000003</v>
      </c>
      <c r="C2437" s="22" t="s">
        <v>3488</v>
      </c>
      <c r="D2437" s="22" t="s">
        <v>2</v>
      </c>
    </row>
    <row r="2438" spans="1:4" s="26" customFormat="1">
      <c r="A2438" s="18" t="str">
        <f t="shared" si="38"/>
        <v>944.144 STEEL PILE SPLICE HP 14 X 117</v>
      </c>
      <c r="B2438" s="21">
        <v>944.14400000000001</v>
      </c>
      <c r="C2438" s="22" t="s">
        <v>3489</v>
      </c>
      <c r="D2438" s="22" t="s">
        <v>2</v>
      </c>
    </row>
    <row r="2439" spans="1:4">
      <c r="A2439" s="18" t="str">
        <f t="shared" si="38"/>
        <v>945 CAST-IN-PLACE CONCRETE PILES</v>
      </c>
      <c r="B2439" s="19">
        <v>945</v>
      </c>
      <c r="C2439" s="20" t="s">
        <v>3490</v>
      </c>
      <c r="D2439" s="20" t="s">
        <v>17</v>
      </c>
    </row>
    <row r="2440" spans="1:4" s="26" customFormat="1">
      <c r="A2440" s="18" t="str">
        <f t="shared" si="38"/>
        <v>945.101 DRILLED SHAFT EXCAVATION 3.0 FOOT DIAMETER</v>
      </c>
      <c r="B2440" s="19">
        <v>945.101</v>
      </c>
      <c r="C2440" s="20" t="s">
        <v>3491</v>
      </c>
      <c r="D2440" s="20" t="s">
        <v>17</v>
      </c>
    </row>
    <row r="2441" spans="1:4">
      <c r="A2441" s="18" t="str">
        <f t="shared" si="38"/>
        <v>945.102 DRILLED SHAFT EXCAVATION 3.5 FOOT DIAMETER</v>
      </c>
      <c r="B2441" s="19">
        <v>945.10199999999998</v>
      </c>
      <c r="C2441" s="20" t="s">
        <v>1526</v>
      </c>
      <c r="D2441" s="20" t="s">
        <v>17</v>
      </c>
    </row>
    <row r="2442" spans="1:4" s="26" customFormat="1">
      <c r="A2442" s="18" t="str">
        <f t="shared" si="38"/>
        <v>945.103 DRILLED SHAFT EXCAVATION 4.0 FOOT DIAMETER</v>
      </c>
      <c r="B2442" s="19">
        <v>945.10299999999995</v>
      </c>
      <c r="C2442" s="20" t="s">
        <v>3492</v>
      </c>
      <c r="D2442" s="20" t="s">
        <v>17</v>
      </c>
    </row>
    <row r="2443" spans="1:4">
      <c r="A2443" s="18" t="str">
        <f t="shared" si="38"/>
        <v>945.104 DRILLED SHAFT EXCAVATION 4.5 FOOT DIAMETER</v>
      </c>
      <c r="B2443" s="21">
        <v>945.10400000000004</v>
      </c>
      <c r="C2443" s="22" t="s">
        <v>3493</v>
      </c>
      <c r="D2443" s="22" t="s">
        <v>17</v>
      </c>
    </row>
    <row r="2444" spans="1:4" s="26" customFormat="1">
      <c r="A2444" s="18" t="str">
        <f t="shared" si="38"/>
        <v>945.105 DRILLED SHAFT EXCAVATION 5.0 FOOT DIAMETER</v>
      </c>
      <c r="B2444" s="19">
        <v>945.10500000000002</v>
      </c>
      <c r="C2444" s="20" t="s">
        <v>1460</v>
      </c>
      <c r="D2444" s="20" t="s">
        <v>17</v>
      </c>
    </row>
    <row r="2445" spans="1:4">
      <c r="A2445" s="18" t="str">
        <f t="shared" si="38"/>
        <v>945.106 DRILLED SHAFT EXCAVATION 5.5 FOOT DIAMETER</v>
      </c>
      <c r="B2445" s="21">
        <v>945.10599999999999</v>
      </c>
      <c r="C2445" s="22" t="s">
        <v>3494</v>
      </c>
      <c r="D2445" s="22" t="s">
        <v>17</v>
      </c>
    </row>
    <row r="2446" spans="1:4" s="26" customFormat="1">
      <c r="A2446" s="18" t="str">
        <f t="shared" si="38"/>
        <v>945.107 DRILLED SHAFT EXCAVATION 6.0 FOOT DIAMETER</v>
      </c>
      <c r="B2446" s="21">
        <v>945.10699999999997</v>
      </c>
      <c r="C2446" s="22" t="s">
        <v>3495</v>
      </c>
      <c r="D2446" s="22" t="s">
        <v>17</v>
      </c>
    </row>
    <row r="2447" spans="1:4">
      <c r="A2447" s="18" t="str">
        <f t="shared" si="38"/>
        <v>945.108 DRILLED SHAFT EXCAVATION 6.5 FOOT DIAMETER</v>
      </c>
      <c r="B2447" s="21">
        <v>945.10799999999995</v>
      </c>
      <c r="C2447" s="22" t="s">
        <v>3496</v>
      </c>
      <c r="D2447" s="22" t="s">
        <v>17</v>
      </c>
    </row>
    <row r="2448" spans="1:4" s="26" customFormat="1">
      <c r="A2448" s="18" t="str">
        <f t="shared" si="38"/>
        <v>945.109 DRILLED SHAFT EXCAVATION 7.0 FOOT DIAMETER</v>
      </c>
      <c r="B2448" s="21">
        <v>945.10900000000004</v>
      </c>
      <c r="C2448" s="22" t="s">
        <v>3497</v>
      </c>
      <c r="D2448" s="22" t="s">
        <v>17</v>
      </c>
    </row>
    <row r="2449" spans="1:4">
      <c r="A2449" s="18" t="str">
        <f t="shared" si="38"/>
        <v>945.11 DRILLED SHAFT EXCAVATION 7.5 FOOT DIAMETER</v>
      </c>
      <c r="B2449" s="21">
        <v>945.11</v>
      </c>
      <c r="C2449" s="22" t="s">
        <v>3498</v>
      </c>
      <c r="D2449" s="22" t="s">
        <v>17</v>
      </c>
    </row>
    <row r="2450" spans="1:4" s="26" customFormat="1">
      <c r="A2450" s="18" t="str">
        <f t="shared" si="38"/>
        <v>945.111 DRILLED SHAFT EXCAVATION 8.0 FOOT DIAMETER</v>
      </c>
      <c r="B2450" s="19">
        <v>945.11099999999999</v>
      </c>
      <c r="C2450" s="20" t="s">
        <v>3499</v>
      </c>
      <c r="D2450" s="20" t="s">
        <v>17</v>
      </c>
    </row>
    <row r="2451" spans="1:4">
      <c r="A2451" s="18" t="str">
        <f t="shared" si="38"/>
        <v>945.112 DRILLED SHAFT EXCAVATION 8.5 FOOT DIAMETER</v>
      </c>
      <c r="B2451" s="19">
        <v>945.11199999999997</v>
      </c>
      <c r="C2451" s="20" t="s">
        <v>3500</v>
      </c>
      <c r="D2451" s="20" t="s">
        <v>17</v>
      </c>
    </row>
    <row r="2452" spans="1:4" s="26" customFormat="1">
      <c r="A2452" s="18" t="str">
        <f t="shared" si="38"/>
        <v>945.113 DRILLED SHAFT EXCAVATION 9.0 FOOT DIAMETER</v>
      </c>
      <c r="B2452" s="19">
        <v>945.11300000000006</v>
      </c>
      <c r="C2452" s="20" t="s">
        <v>3501</v>
      </c>
      <c r="D2452" s="20" t="s">
        <v>17</v>
      </c>
    </row>
    <row r="2453" spans="1:4">
      <c r="A2453" s="18" t="str">
        <f t="shared" si="38"/>
        <v>945.201 ROCK SOCKET EXCAVATION 3.0 FOOT DIAMETER</v>
      </c>
      <c r="B2453" s="19">
        <v>945.20100000000002</v>
      </c>
      <c r="C2453" s="20" t="s">
        <v>3502</v>
      </c>
      <c r="D2453" s="20" t="s">
        <v>17</v>
      </c>
    </row>
    <row r="2454" spans="1:4" s="26" customFormat="1">
      <c r="A2454" s="18" t="str">
        <f t="shared" si="38"/>
        <v>945.202 ROCK SOCKET EXCAVATION 3.5 FOOT DIAMETER</v>
      </c>
      <c r="B2454" s="19">
        <v>945.202</v>
      </c>
      <c r="C2454" s="20" t="s">
        <v>649</v>
      </c>
      <c r="D2454" s="20" t="s">
        <v>17</v>
      </c>
    </row>
    <row r="2455" spans="1:4">
      <c r="A2455" s="18" t="str">
        <f t="shared" si="38"/>
        <v>945.203 ROCK SOCKET EXCAVATION 4.0 FOOT DIAMETER</v>
      </c>
      <c r="B2455" s="21">
        <v>945.20299999999997</v>
      </c>
      <c r="C2455" s="22" t="s">
        <v>3503</v>
      </c>
      <c r="D2455" s="22" t="s">
        <v>17</v>
      </c>
    </row>
    <row r="2456" spans="1:4" s="26" customFormat="1">
      <c r="A2456" s="18" t="str">
        <f t="shared" si="38"/>
        <v>945.204 ROCK SOCKET EXCAVATION 4.5 FOOT DIAMETER</v>
      </c>
      <c r="B2456" s="21">
        <v>945.20399999999995</v>
      </c>
      <c r="C2456" s="22" t="s">
        <v>1461</v>
      </c>
      <c r="D2456" s="22" t="s">
        <v>17</v>
      </c>
    </row>
    <row r="2457" spans="1:4">
      <c r="A2457" s="18" t="str">
        <f t="shared" si="38"/>
        <v>945.205 ROCK SOCKET EXCAVATION 5.0 FOOT DIAMETER</v>
      </c>
      <c r="B2457" s="21">
        <v>945.20500000000004</v>
      </c>
      <c r="C2457" s="22" t="s">
        <v>3504</v>
      </c>
      <c r="D2457" s="22" t="s">
        <v>17</v>
      </c>
    </row>
    <row r="2458" spans="1:4" s="26" customFormat="1">
      <c r="A2458" s="18" t="str">
        <f t="shared" si="38"/>
        <v>945.206 ROCK SOCKET EXCAVATION 5.5 FOOT DIAMETER</v>
      </c>
      <c r="B2458" s="19">
        <v>945.20600000000002</v>
      </c>
      <c r="C2458" s="20" t="s">
        <v>3505</v>
      </c>
      <c r="D2458" s="20" t="s">
        <v>17</v>
      </c>
    </row>
    <row r="2459" spans="1:4">
      <c r="A2459" s="18" t="str">
        <f t="shared" si="38"/>
        <v>945.207 ROCK SOCKET EXCAVATION 6.0 FOOT DIAMETER</v>
      </c>
      <c r="B2459" s="19">
        <v>945.20699999999999</v>
      </c>
      <c r="C2459" s="20" t="s">
        <v>3506</v>
      </c>
      <c r="D2459" s="20" t="s">
        <v>17</v>
      </c>
    </row>
    <row r="2460" spans="1:4" s="26" customFormat="1">
      <c r="A2460" s="18" t="str">
        <f t="shared" si="38"/>
        <v>945.208 ROCK SOCKET EXCAVATION 6.5 FOOT DIAMETER</v>
      </c>
      <c r="B2460" s="19">
        <v>945.20799999999997</v>
      </c>
      <c r="C2460" s="20" t="s">
        <v>3507</v>
      </c>
      <c r="D2460" s="20" t="s">
        <v>17</v>
      </c>
    </row>
    <row r="2461" spans="1:4">
      <c r="A2461" s="18" t="str">
        <f t="shared" si="38"/>
        <v>945.209 ROCK SOCKET EXCAVATION 7.0 FOOT DIAMETER</v>
      </c>
      <c r="B2461" s="21">
        <v>945.20899999999995</v>
      </c>
      <c r="C2461" s="22" t="s">
        <v>3508</v>
      </c>
      <c r="D2461" s="22" t="s">
        <v>17</v>
      </c>
    </row>
    <row r="2462" spans="1:4" s="26" customFormat="1">
      <c r="A2462" s="18" t="str">
        <f t="shared" si="38"/>
        <v>945.21 ROCK SOCKET EXCAVATION 7.5 FOOT DIAMETER</v>
      </c>
      <c r="B2462" s="21">
        <v>945.21</v>
      </c>
      <c r="C2462" s="22" t="s">
        <v>3509</v>
      </c>
      <c r="D2462" s="22" t="s">
        <v>17</v>
      </c>
    </row>
    <row r="2463" spans="1:4">
      <c r="A2463" s="18" t="str">
        <f t="shared" si="38"/>
        <v>945.211 ROCK SOCKET EXCAVATION 8.0 FOOT DIAMETER</v>
      </c>
      <c r="B2463" s="21">
        <v>945.21100000000001</v>
      </c>
      <c r="C2463" s="22" t="s">
        <v>3510</v>
      </c>
      <c r="D2463" s="22" t="s">
        <v>17</v>
      </c>
    </row>
    <row r="2464" spans="1:4" s="26" customFormat="1">
      <c r="A2464" s="18" t="str">
        <f t="shared" si="38"/>
        <v>945.212 ROCK SOCKET EXCAVATION 8.5 FOOT DIAMETER</v>
      </c>
      <c r="B2464" s="19">
        <v>945.21199999999999</v>
      </c>
      <c r="C2464" s="20" t="s">
        <v>3511</v>
      </c>
      <c r="D2464" s="20" t="s">
        <v>17</v>
      </c>
    </row>
    <row r="2465" spans="1:4">
      <c r="A2465" s="18" t="str">
        <f t="shared" si="38"/>
        <v>945.213 ROCK SOCKET EXCAVATION 9.0 FOOT DIAMETER</v>
      </c>
      <c r="B2465" s="19">
        <v>945.21299999999997</v>
      </c>
      <c r="C2465" s="20" t="s">
        <v>3512</v>
      </c>
      <c r="D2465" s="20" t="s">
        <v>17</v>
      </c>
    </row>
    <row r="2466" spans="1:4" s="26" customFormat="1">
      <c r="A2466" s="18" t="str">
        <f t="shared" si="38"/>
        <v>945.301 OBSTRUCTION EXCAVATION 3.0 FOOT DIAMETER</v>
      </c>
      <c r="B2466" s="19">
        <v>945.30100000000004</v>
      </c>
      <c r="C2466" s="20" t="s">
        <v>3513</v>
      </c>
      <c r="D2466" s="20" t="s">
        <v>17</v>
      </c>
    </row>
    <row r="2467" spans="1:4">
      <c r="A2467" s="18" t="str">
        <f t="shared" si="38"/>
        <v>945.302 OBSTRUCTION EXCAVATION 3.5 FOOT DIAMETER</v>
      </c>
      <c r="B2467" s="21">
        <v>945.30200000000002</v>
      </c>
      <c r="C2467" s="22" t="s">
        <v>3514</v>
      </c>
      <c r="D2467" s="22" t="s">
        <v>17</v>
      </c>
    </row>
    <row r="2468" spans="1:4" s="26" customFormat="1">
      <c r="A2468" s="18" t="str">
        <f t="shared" si="38"/>
        <v>945.303 OBSTRUCTION EXCAVATION 4.0 FOOT DIAMETER</v>
      </c>
      <c r="B2468" s="21">
        <v>945.303</v>
      </c>
      <c r="C2468" s="22" t="s">
        <v>3515</v>
      </c>
      <c r="D2468" s="22" t="s">
        <v>17</v>
      </c>
    </row>
    <row r="2469" spans="1:4">
      <c r="A2469" s="18" t="str">
        <f t="shared" si="38"/>
        <v>945.304 OBSTRUCTION EXCAVATION 4.5 FOOT DIAMETER</v>
      </c>
      <c r="B2469" s="19">
        <v>945.30399999999997</v>
      </c>
      <c r="C2469" s="20" t="s">
        <v>3516</v>
      </c>
      <c r="D2469" s="20" t="s">
        <v>17</v>
      </c>
    </row>
    <row r="2470" spans="1:4" s="26" customFormat="1">
      <c r="A2470" s="18" t="str">
        <f t="shared" si="38"/>
        <v>945.305 OBSTRUCTION EXCAVATION 5.0 FOOT DIAMETER</v>
      </c>
      <c r="B2470" s="19">
        <v>945.30499999999995</v>
      </c>
      <c r="C2470" s="20" t="s">
        <v>1462</v>
      </c>
      <c r="D2470" s="20" t="s">
        <v>17</v>
      </c>
    </row>
    <row r="2471" spans="1:4">
      <c r="A2471" s="18" t="str">
        <f t="shared" si="38"/>
        <v>945.306 OBSTRUCTION EXCAVATION 5.5 FOOT DIAMETER</v>
      </c>
      <c r="B2471" s="21">
        <v>945.30600000000004</v>
      </c>
      <c r="C2471" s="22" t="s">
        <v>3517</v>
      </c>
      <c r="D2471" s="22" t="s">
        <v>17</v>
      </c>
    </row>
    <row r="2472" spans="1:4" s="26" customFormat="1">
      <c r="A2472" s="18" t="str">
        <f t="shared" si="38"/>
        <v>945.307 OBSTRUCTION EXCAVATION 6.0 FOOT DIAMETER</v>
      </c>
      <c r="B2472" s="19">
        <v>945.30700000000002</v>
      </c>
      <c r="C2472" s="20" t="s">
        <v>3518</v>
      </c>
      <c r="D2472" s="20" t="s">
        <v>17</v>
      </c>
    </row>
    <row r="2473" spans="1:4">
      <c r="A2473" s="18" t="str">
        <f t="shared" si="38"/>
        <v>945.308 OBSTRUCTION EXCAVATION 6.5 FOOT DIAMETER</v>
      </c>
      <c r="B2473" s="21">
        <v>945.30799999999999</v>
      </c>
      <c r="C2473" s="22" t="s">
        <v>3519</v>
      </c>
      <c r="D2473" s="22" t="s">
        <v>17</v>
      </c>
    </row>
    <row r="2474" spans="1:4" s="26" customFormat="1">
      <c r="A2474" s="18" t="str">
        <f t="shared" si="38"/>
        <v>945.309 OBSTRUCTION EXCAVATION 7.0 FOOT DIAMETER</v>
      </c>
      <c r="B2474" s="21">
        <v>945.30899999999997</v>
      </c>
      <c r="C2474" s="22" t="s">
        <v>3520</v>
      </c>
      <c r="D2474" s="22" t="s">
        <v>17</v>
      </c>
    </row>
    <row r="2475" spans="1:4">
      <c r="A2475" s="18" t="str">
        <f t="shared" si="38"/>
        <v>945.31 OBSTRUCTION EXCAVATION 7.5 FOOT DIAMETER</v>
      </c>
      <c r="B2475" s="21">
        <v>945.31</v>
      </c>
      <c r="C2475" s="22" t="s">
        <v>3521</v>
      </c>
      <c r="D2475" s="22" t="s">
        <v>17</v>
      </c>
    </row>
    <row r="2476" spans="1:4" s="26" customFormat="1">
      <c r="A2476" s="18" t="str">
        <f t="shared" si="38"/>
        <v>945.311 OBSTRUCTION EXCAVATION 8.0 FOOT DIAMETER</v>
      </c>
      <c r="B2476" s="19">
        <v>945.31100000000004</v>
      </c>
      <c r="C2476" s="20" t="s">
        <v>3522</v>
      </c>
      <c r="D2476" s="20" t="s">
        <v>17</v>
      </c>
    </row>
    <row r="2477" spans="1:4">
      <c r="A2477" s="18" t="str">
        <f t="shared" si="38"/>
        <v>945.312 OBSTRUCTION EXCAVATION 8.5 FOOT DIAMETER</v>
      </c>
      <c r="B2477" s="21">
        <v>945.31200000000001</v>
      </c>
      <c r="C2477" s="22" t="s">
        <v>3523</v>
      </c>
      <c r="D2477" s="22" t="s">
        <v>17</v>
      </c>
    </row>
    <row r="2478" spans="1:4" s="26" customFormat="1">
      <c r="A2478" s="18" t="str">
        <f t="shared" si="38"/>
        <v>945.313 OBSTRUCTION EXCAVATION 9.0 FOOT DIAMETER</v>
      </c>
      <c r="B2478" s="19">
        <v>945.31299999999999</v>
      </c>
      <c r="C2478" s="20" t="s">
        <v>3524</v>
      </c>
      <c r="D2478" s="20" t="s">
        <v>17</v>
      </c>
    </row>
    <row r="2479" spans="1:4">
      <c r="A2479" s="18" t="str">
        <f t="shared" si="38"/>
        <v>945.401 TRIAL SHAFT 3.0 FOOT DIAMETER</v>
      </c>
      <c r="B2479" s="21">
        <v>945.40099999999995</v>
      </c>
      <c r="C2479" s="22" t="s">
        <v>3525</v>
      </c>
      <c r="D2479" s="22" t="s">
        <v>17</v>
      </c>
    </row>
    <row r="2480" spans="1:4" s="26" customFormat="1">
      <c r="A2480" s="18" t="str">
        <f t="shared" si="38"/>
        <v>945.402 TRIAL SHAFT 3.5 FOOT DIAMETER</v>
      </c>
      <c r="B2480" s="21">
        <v>945.40200000000004</v>
      </c>
      <c r="C2480" s="22" t="s">
        <v>3526</v>
      </c>
      <c r="D2480" s="22" t="s">
        <v>17</v>
      </c>
    </row>
    <row r="2481" spans="1:4">
      <c r="A2481" s="18" t="str">
        <f t="shared" si="38"/>
        <v>945.403 TRIAL SHAFT 4.0 FOOT DIAMETER</v>
      </c>
      <c r="B2481" s="19">
        <v>945.40300000000002</v>
      </c>
      <c r="C2481" s="20" t="s">
        <v>3527</v>
      </c>
      <c r="D2481" s="20" t="s">
        <v>17</v>
      </c>
    </row>
    <row r="2482" spans="1:4" s="26" customFormat="1">
      <c r="A2482" s="18" t="str">
        <f t="shared" si="38"/>
        <v>945.404 TRIAL SHAFT 4.5 FOOT DIAMETER</v>
      </c>
      <c r="B2482" s="19">
        <v>945.404</v>
      </c>
      <c r="C2482" s="20" t="s">
        <v>3528</v>
      </c>
      <c r="D2482" s="20" t="s">
        <v>17</v>
      </c>
    </row>
    <row r="2483" spans="1:4">
      <c r="A2483" s="18" t="str">
        <f t="shared" si="38"/>
        <v>945.405 TRIAL SHAFT 5.0 FOOT DIAMETER</v>
      </c>
      <c r="B2483" s="21">
        <v>945.40499999999997</v>
      </c>
      <c r="C2483" s="22" t="s">
        <v>1463</v>
      </c>
      <c r="D2483" s="22" t="s">
        <v>17</v>
      </c>
    </row>
    <row r="2484" spans="1:4" s="26" customFormat="1">
      <c r="A2484" s="18" t="str">
        <f t="shared" si="38"/>
        <v>945.406 TRIAL SHAFT 5.5 FOOT DIAMETER</v>
      </c>
      <c r="B2484" s="21">
        <v>945.40599999999995</v>
      </c>
      <c r="C2484" s="22" t="s">
        <v>3529</v>
      </c>
      <c r="D2484" s="22" t="s">
        <v>17</v>
      </c>
    </row>
    <row r="2485" spans="1:4">
      <c r="A2485" s="18" t="str">
        <f t="shared" si="38"/>
        <v>945.407 TRIAL SHAFT 6.0 FOOT DIAMETER</v>
      </c>
      <c r="B2485" s="19">
        <v>945.40700000000004</v>
      </c>
      <c r="C2485" s="20" t="s">
        <v>3530</v>
      </c>
      <c r="D2485" s="20" t="s">
        <v>17</v>
      </c>
    </row>
    <row r="2486" spans="1:4" s="26" customFormat="1">
      <c r="A2486" s="18" t="str">
        <f t="shared" si="38"/>
        <v>945.408 TRIAL SHAFT 6.5 FOOT DIAMETER</v>
      </c>
      <c r="B2486" s="19">
        <v>945.40800000000002</v>
      </c>
      <c r="C2486" s="20" t="s">
        <v>3531</v>
      </c>
      <c r="D2486" s="20" t="s">
        <v>17</v>
      </c>
    </row>
    <row r="2487" spans="1:4">
      <c r="A2487" s="18" t="str">
        <f t="shared" si="38"/>
        <v>945.409 TRIAL SHAFT 7.0 FOOT DIAMETER</v>
      </c>
      <c r="B2487" s="21">
        <v>945.40899999999999</v>
      </c>
      <c r="C2487" s="22" t="s">
        <v>3532</v>
      </c>
      <c r="D2487" s="22" t="s">
        <v>17</v>
      </c>
    </row>
    <row r="2488" spans="1:4" s="26" customFormat="1">
      <c r="A2488" s="18" t="str">
        <f t="shared" si="38"/>
        <v>945.41 TRIAL SHAFT 7.5 FOOT DIAMETER</v>
      </c>
      <c r="B2488" s="21">
        <v>945.41</v>
      </c>
      <c r="C2488" s="22" t="s">
        <v>3533</v>
      </c>
      <c r="D2488" s="22" t="s">
        <v>17</v>
      </c>
    </row>
    <row r="2489" spans="1:4">
      <c r="A2489" s="18" t="str">
        <f t="shared" si="38"/>
        <v>945.411 TRIAL SHAFT 8.0 FOOT DIAMETER</v>
      </c>
      <c r="B2489" s="19">
        <v>945.41099999999994</v>
      </c>
      <c r="C2489" s="20" t="s">
        <v>3534</v>
      </c>
      <c r="D2489" s="20" t="s">
        <v>17</v>
      </c>
    </row>
    <row r="2490" spans="1:4" s="26" customFormat="1">
      <c r="A2490" s="18" t="str">
        <f t="shared" si="38"/>
        <v>945.412 TRIAL SHAFT 8.5 FOOT DIAMETER</v>
      </c>
      <c r="B2490" s="21">
        <v>945.41200000000003</v>
      </c>
      <c r="C2490" s="22" t="s">
        <v>3535</v>
      </c>
      <c r="D2490" s="22" t="s">
        <v>17</v>
      </c>
    </row>
    <row r="2491" spans="1:4">
      <c r="A2491" s="18" t="str">
        <f t="shared" si="38"/>
        <v>945.413 TRIAL SHAFT 9.0 FOOT DIAMETER</v>
      </c>
      <c r="B2491" s="19">
        <v>945.41300000000001</v>
      </c>
      <c r="C2491" s="20" t="s">
        <v>3536</v>
      </c>
      <c r="D2491" s="20" t="s">
        <v>17</v>
      </c>
    </row>
    <row r="2492" spans="1:4" s="26" customFormat="1">
      <c r="A2492" s="18" t="str">
        <f t="shared" si="38"/>
        <v>945.501 DRILLED SHAFT 3.0 FOOT DIAMETER</v>
      </c>
      <c r="B2492" s="19">
        <v>945.50099999999998</v>
      </c>
      <c r="C2492" s="20" t="s">
        <v>3537</v>
      </c>
      <c r="D2492" s="20" t="s">
        <v>17</v>
      </c>
    </row>
    <row r="2493" spans="1:4">
      <c r="A2493" s="18" t="str">
        <f t="shared" si="38"/>
        <v>945.502 DRILLED SHAFT 3.5 FOOT DIAMETER</v>
      </c>
      <c r="B2493" s="19">
        <v>945.50199999999995</v>
      </c>
      <c r="C2493" s="20" t="s">
        <v>650</v>
      </c>
      <c r="D2493" s="20" t="s">
        <v>17</v>
      </c>
    </row>
    <row r="2494" spans="1:4" s="26" customFormat="1">
      <c r="A2494" s="18" t="str">
        <f t="shared" si="38"/>
        <v>945.503 DRILLED SHAFT 4.0 FOOT DIAMETER</v>
      </c>
      <c r="B2494" s="21">
        <v>945.50300000000004</v>
      </c>
      <c r="C2494" s="22" t="s">
        <v>3538</v>
      </c>
      <c r="D2494" s="22" t="s">
        <v>17</v>
      </c>
    </row>
    <row r="2495" spans="1:4">
      <c r="A2495" s="18" t="str">
        <f t="shared" si="38"/>
        <v>945.504 DRILLED SHAFT 4.5 FOOT DIAMETER</v>
      </c>
      <c r="B2495" s="19">
        <v>945.50400000000002</v>
      </c>
      <c r="C2495" s="20" t="s">
        <v>3539</v>
      </c>
      <c r="D2495" s="20" t="s">
        <v>17</v>
      </c>
    </row>
    <row r="2496" spans="1:4" s="26" customFormat="1">
      <c r="A2496" s="18" t="str">
        <f t="shared" si="38"/>
        <v>945.505 DRILLED SHAFT 5.0 FOOT DIAMETER</v>
      </c>
      <c r="B2496" s="21">
        <v>945.505</v>
      </c>
      <c r="C2496" s="22" t="s">
        <v>1464</v>
      </c>
      <c r="D2496" s="22" t="s">
        <v>17</v>
      </c>
    </row>
    <row r="2497" spans="1:4">
      <c r="A2497" s="18" t="str">
        <f t="shared" si="38"/>
        <v>945.506 DRILLED SHAFT 5.5 FOOT DIAMETER</v>
      </c>
      <c r="B2497" s="21">
        <v>945.50599999999997</v>
      </c>
      <c r="C2497" s="22" t="s">
        <v>3540</v>
      </c>
      <c r="D2497" s="22" t="s">
        <v>17</v>
      </c>
    </row>
    <row r="2498" spans="1:4" s="26" customFormat="1">
      <c r="A2498" s="18" t="str">
        <f t="shared" ref="A2498:A2561" si="39">B2498&amp;" "&amp;C2498</f>
        <v>945.507 DRILLED SHAFT 6.0 FOOT DIAMETER</v>
      </c>
      <c r="B2498" s="21">
        <v>945.50699999999995</v>
      </c>
      <c r="C2498" s="22" t="s">
        <v>3541</v>
      </c>
      <c r="D2498" s="22" t="s">
        <v>17</v>
      </c>
    </row>
    <row r="2499" spans="1:4">
      <c r="A2499" s="18" t="str">
        <f t="shared" si="39"/>
        <v>945.508 DRILLED SHAFT 6.5 FOOT DIAMETER</v>
      </c>
      <c r="B2499" s="19">
        <v>945.50800000000004</v>
      </c>
      <c r="C2499" s="20" t="s">
        <v>3542</v>
      </c>
      <c r="D2499" s="20" t="s">
        <v>17</v>
      </c>
    </row>
    <row r="2500" spans="1:4" s="26" customFormat="1">
      <c r="A2500" s="18" t="str">
        <f t="shared" si="39"/>
        <v>945.509 DRILLED SHAFT 7.0 FOOT DIAMETER</v>
      </c>
      <c r="B2500" s="21">
        <v>945.50900000000001</v>
      </c>
      <c r="C2500" s="22" t="s">
        <v>3543</v>
      </c>
      <c r="D2500" s="22" t="s">
        <v>17</v>
      </c>
    </row>
    <row r="2501" spans="1:4">
      <c r="A2501" s="18" t="str">
        <f t="shared" si="39"/>
        <v>945.51 DRILLED SHAFT 7.5 FOOT DIAMETER</v>
      </c>
      <c r="B2501" s="19">
        <v>945.51</v>
      </c>
      <c r="C2501" s="20" t="s">
        <v>3544</v>
      </c>
      <c r="D2501" s="20" t="s">
        <v>17</v>
      </c>
    </row>
    <row r="2502" spans="1:4" s="26" customFormat="1">
      <c r="A2502" s="18" t="str">
        <f t="shared" si="39"/>
        <v>945.511 DRILLED SHAFT 8.0 FOOT DIAMETER</v>
      </c>
      <c r="B2502" s="19">
        <v>945.51099999999997</v>
      </c>
      <c r="C2502" s="20" t="s">
        <v>3545</v>
      </c>
      <c r="D2502" s="20" t="s">
        <v>17</v>
      </c>
    </row>
    <row r="2503" spans="1:4">
      <c r="A2503" s="18" t="str">
        <f t="shared" si="39"/>
        <v>945.512 DRILLED SHAFT 8.5 FOOT DIAMETER</v>
      </c>
      <c r="B2503" s="19">
        <v>945.51199999999994</v>
      </c>
      <c r="C2503" s="20" t="s">
        <v>3546</v>
      </c>
      <c r="D2503" s="20" t="s">
        <v>17</v>
      </c>
    </row>
    <row r="2504" spans="1:4" s="26" customFormat="1">
      <c r="A2504" s="18" t="str">
        <f t="shared" si="39"/>
        <v>945.513 DRILLED SHAFT 9.0 FOOT DIAMETER</v>
      </c>
      <c r="B2504" s="19">
        <v>945.51300000000003</v>
      </c>
      <c r="C2504" s="20" t="s">
        <v>3547</v>
      </c>
      <c r="D2504" s="20" t="s">
        <v>17</v>
      </c>
    </row>
    <row r="2505" spans="1:4">
      <c r="A2505" s="18" t="str">
        <f t="shared" si="39"/>
        <v>945.601 PERMANENT CASING 3.0 FOOT DIAMETER</v>
      </c>
      <c r="B2505" s="21">
        <v>945.601</v>
      </c>
      <c r="C2505" s="22" t="s">
        <v>3548</v>
      </c>
      <c r="D2505" s="22" t="s">
        <v>17</v>
      </c>
    </row>
    <row r="2506" spans="1:4" s="26" customFormat="1">
      <c r="A2506" s="18" t="str">
        <f t="shared" si="39"/>
        <v>945.602 PERMANENT CASING 3.5 FOOT DIAMETER</v>
      </c>
      <c r="B2506" s="21">
        <v>945.60199999999998</v>
      </c>
      <c r="C2506" s="22" t="s">
        <v>3549</v>
      </c>
      <c r="D2506" s="22" t="s">
        <v>17</v>
      </c>
    </row>
    <row r="2507" spans="1:4">
      <c r="A2507" s="18" t="str">
        <f t="shared" si="39"/>
        <v>945.603 PERMANENT CASING 4.0 FOOT DIAMETER</v>
      </c>
      <c r="B2507" s="21">
        <v>945.60299999999995</v>
      </c>
      <c r="C2507" s="22" t="s">
        <v>3550</v>
      </c>
      <c r="D2507" s="22" t="s">
        <v>17</v>
      </c>
    </row>
    <row r="2508" spans="1:4" s="26" customFormat="1">
      <c r="A2508" s="18" t="str">
        <f t="shared" si="39"/>
        <v>945.604 PERMANENT CASING 4.5 FOOT DIAMETER</v>
      </c>
      <c r="B2508" s="19">
        <v>945.60400000000004</v>
      </c>
      <c r="C2508" s="20" t="s">
        <v>3551</v>
      </c>
      <c r="D2508" s="20" t="s">
        <v>17</v>
      </c>
    </row>
    <row r="2509" spans="1:4">
      <c r="A2509" s="18" t="str">
        <f t="shared" si="39"/>
        <v>945.605 PERMANENT CASING 5.0 FOOT DIAMETER</v>
      </c>
      <c r="B2509" s="19">
        <v>945.60500000000002</v>
      </c>
      <c r="C2509" s="20" t="s">
        <v>1465</v>
      </c>
      <c r="D2509" s="20" t="s">
        <v>17</v>
      </c>
    </row>
    <row r="2510" spans="1:4" s="26" customFormat="1">
      <c r="A2510" s="18" t="str">
        <f t="shared" si="39"/>
        <v>945.606 PERMANENT CASING 5.5 FOOT DIAMETER</v>
      </c>
      <c r="B2510" s="19">
        <v>945.60599999999999</v>
      </c>
      <c r="C2510" s="20" t="s">
        <v>3552</v>
      </c>
      <c r="D2510" s="20" t="s">
        <v>17</v>
      </c>
    </row>
    <row r="2511" spans="1:4">
      <c r="A2511" s="18" t="str">
        <f t="shared" si="39"/>
        <v>945.607 PERMANENT CASING 6.0 FOOT DIAMETER</v>
      </c>
      <c r="B2511" s="21">
        <v>945.60699999999997</v>
      </c>
      <c r="C2511" s="22" t="s">
        <v>3553</v>
      </c>
      <c r="D2511" s="22" t="s">
        <v>17</v>
      </c>
    </row>
    <row r="2512" spans="1:4" s="26" customFormat="1">
      <c r="A2512" s="18" t="str">
        <f t="shared" si="39"/>
        <v>945.608 PERMANENT CASING 6.5 FOOT DIAMETER</v>
      </c>
      <c r="B2512" s="21">
        <v>945.60799999999995</v>
      </c>
      <c r="C2512" s="22" t="s">
        <v>3554</v>
      </c>
      <c r="D2512" s="22" t="s">
        <v>17</v>
      </c>
    </row>
    <row r="2513" spans="1:4">
      <c r="A2513" s="18" t="str">
        <f t="shared" si="39"/>
        <v>945.609 PERMANENT CASING 7.0 FOOT DIAMETER</v>
      </c>
      <c r="B2513" s="21">
        <v>945.60900000000004</v>
      </c>
      <c r="C2513" s="22" t="s">
        <v>3555</v>
      </c>
      <c r="D2513" s="22" t="s">
        <v>17</v>
      </c>
    </row>
    <row r="2514" spans="1:4" s="26" customFormat="1">
      <c r="A2514" s="18" t="str">
        <f t="shared" si="39"/>
        <v>945.61 PERMANENT CASING 7.5 FOOT DIAMETER</v>
      </c>
      <c r="B2514" s="21">
        <v>945.61</v>
      </c>
      <c r="C2514" s="22" t="s">
        <v>3556</v>
      </c>
      <c r="D2514" s="22" t="s">
        <v>17</v>
      </c>
    </row>
    <row r="2515" spans="1:4">
      <c r="A2515" s="18" t="str">
        <f t="shared" si="39"/>
        <v>945.611 PERMANENT CASING 8.0 FOOT DIAMETER</v>
      </c>
      <c r="B2515" s="19">
        <v>945.61099999999999</v>
      </c>
      <c r="C2515" s="20" t="s">
        <v>3557</v>
      </c>
      <c r="D2515" s="20" t="s">
        <v>17</v>
      </c>
    </row>
    <row r="2516" spans="1:4" s="26" customFormat="1">
      <c r="A2516" s="18" t="str">
        <f t="shared" si="39"/>
        <v>945.612 PERMANENT CASING 8.5 FOOT DIAMETER</v>
      </c>
      <c r="B2516" s="19">
        <v>945.61199999999997</v>
      </c>
      <c r="C2516" s="20" t="s">
        <v>3558</v>
      </c>
      <c r="D2516" s="20" t="s">
        <v>17</v>
      </c>
    </row>
    <row r="2517" spans="1:4">
      <c r="A2517" s="18" t="str">
        <f t="shared" si="39"/>
        <v>945.613 PERMANENT CASING 9.0 FOOT DIAMETER</v>
      </c>
      <c r="B2517" s="19">
        <v>945.61300000000006</v>
      </c>
      <c r="C2517" s="20" t="s">
        <v>3559</v>
      </c>
      <c r="D2517" s="20" t="s">
        <v>17</v>
      </c>
    </row>
    <row r="2518" spans="1:4" s="26" customFormat="1">
      <c r="A2518" s="18" t="str">
        <f t="shared" si="39"/>
        <v>945.71 CROSS HOLE SONIC TESTING ACCESS PIPES</v>
      </c>
      <c r="B2518" s="19">
        <v>945.71</v>
      </c>
      <c r="C2518" s="20" t="s">
        <v>651</v>
      </c>
      <c r="D2518" s="20" t="s">
        <v>17</v>
      </c>
    </row>
    <row r="2519" spans="1:4">
      <c r="A2519" s="18" t="str">
        <f t="shared" si="39"/>
        <v>945.72 CROSS HOLE SONIC TEST</v>
      </c>
      <c r="B2519" s="21">
        <v>945.72</v>
      </c>
      <c r="C2519" s="22" t="s">
        <v>652</v>
      </c>
      <c r="D2519" s="22" t="s">
        <v>2</v>
      </c>
    </row>
    <row r="2520" spans="1:4" s="26" customFormat="1">
      <c r="A2520" s="18" t="str">
        <f t="shared" si="39"/>
        <v>945.81 OSTERBERG LOAD CELL AXIAL LOAD TEST</v>
      </c>
      <c r="B2520" s="21">
        <v>945.81</v>
      </c>
      <c r="C2520" s="22" t="s">
        <v>653</v>
      </c>
      <c r="D2520" s="22" t="s">
        <v>2</v>
      </c>
    </row>
    <row r="2521" spans="1:4">
      <c r="A2521" s="18" t="str">
        <f t="shared" si="39"/>
        <v>945.82 CONVENTIONAL AXIAL LOAD TEST</v>
      </c>
      <c r="B2521" s="19">
        <v>945.82</v>
      </c>
      <c r="C2521" s="20" t="s">
        <v>3560</v>
      </c>
      <c r="D2521" s="20" t="s">
        <v>2</v>
      </c>
    </row>
    <row r="2522" spans="1:4" s="26" customFormat="1">
      <c r="A2522" s="18" t="str">
        <f t="shared" si="39"/>
        <v>946.12 PRECAST-PRESTRESSED CONCRETE PILE - 12 INCH</v>
      </c>
      <c r="B2522" s="21">
        <v>946.12</v>
      </c>
      <c r="C2522" s="22" t="s">
        <v>1527</v>
      </c>
      <c r="D2522" s="22" t="s">
        <v>17</v>
      </c>
    </row>
    <row r="2523" spans="1:4">
      <c r="A2523" s="18" t="str">
        <f t="shared" si="39"/>
        <v>946.14 PRECAST-PRESTRESSED CONCRETE PILE - 14 INCH</v>
      </c>
      <c r="B2523" s="19">
        <v>946.14</v>
      </c>
      <c r="C2523" s="20" t="s">
        <v>3561</v>
      </c>
      <c r="D2523" s="20" t="s">
        <v>17</v>
      </c>
    </row>
    <row r="2524" spans="1:4" s="26" customFormat="1">
      <c r="A2524" s="18" t="str">
        <f t="shared" si="39"/>
        <v>946.16 PRECAST-PRESTRESSED CONCRETE PILE - 16 INCH</v>
      </c>
      <c r="B2524" s="21">
        <v>946.16</v>
      </c>
      <c r="C2524" s="22" t="s">
        <v>3562</v>
      </c>
      <c r="D2524" s="22" t="s">
        <v>17</v>
      </c>
    </row>
    <row r="2525" spans="1:4">
      <c r="A2525" s="18" t="str">
        <f t="shared" si="39"/>
        <v>946.18 PRECAST-PRESTRESSED CONCRETE PILE - 18 INCH</v>
      </c>
      <c r="B2525" s="19">
        <v>946.18</v>
      </c>
      <c r="C2525" s="20" t="s">
        <v>3563</v>
      </c>
      <c r="D2525" s="20" t="s">
        <v>17</v>
      </c>
    </row>
    <row r="2526" spans="1:4" s="26" customFormat="1">
      <c r="A2526" s="18" t="str">
        <f t="shared" si="39"/>
        <v>946.2 PRECAST-PRESTRESSED CONCRETE PILE - 20 INCH</v>
      </c>
      <c r="B2526" s="19">
        <v>946.2</v>
      </c>
      <c r="C2526" s="20" t="s">
        <v>3564</v>
      </c>
      <c r="D2526" s="20" t="s">
        <v>17</v>
      </c>
    </row>
    <row r="2527" spans="1:4">
      <c r="A2527" s="18" t="str">
        <f t="shared" si="39"/>
        <v>947 TEST PILE</v>
      </c>
      <c r="B2527" s="21">
        <v>947</v>
      </c>
      <c r="C2527" s="22" t="s">
        <v>1528</v>
      </c>
      <c r="D2527" s="22" t="s">
        <v>17</v>
      </c>
    </row>
    <row r="2528" spans="1:4" s="26" customFormat="1">
      <c r="A2528" s="18" t="str">
        <f t="shared" si="39"/>
        <v>947.1 TIMBER TEST PILE</v>
      </c>
      <c r="B2528" s="19">
        <v>947.1</v>
      </c>
      <c r="C2528" s="20" t="s">
        <v>3565</v>
      </c>
      <c r="D2528" s="20" t="s">
        <v>2</v>
      </c>
    </row>
    <row r="2529" spans="1:4">
      <c r="A2529" s="18" t="str">
        <f t="shared" si="39"/>
        <v>948.1 SHORT DURATION LOAD TEST</v>
      </c>
      <c r="B2529" s="21">
        <v>948.1</v>
      </c>
      <c r="C2529" s="22" t="s">
        <v>1529</v>
      </c>
      <c r="D2529" s="22" t="s">
        <v>2</v>
      </c>
    </row>
    <row r="2530" spans="1:4" s="26" customFormat="1">
      <c r="A2530" s="18" t="str">
        <f t="shared" si="39"/>
        <v>948.2 MAINTAINED LOAD TEST</v>
      </c>
      <c r="B2530" s="19">
        <v>948.2</v>
      </c>
      <c r="C2530" s="20" t="s">
        <v>3566</v>
      </c>
      <c r="D2530" s="20" t="s">
        <v>2</v>
      </c>
    </row>
    <row r="2531" spans="1:4">
      <c r="A2531" s="18" t="str">
        <f t="shared" si="39"/>
        <v>948.3 QUICK LOAD TEST</v>
      </c>
      <c r="B2531" s="19">
        <v>948.3</v>
      </c>
      <c r="C2531" s="20" t="s">
        <v>3567</v>
      </c>
      <c r="D2531" s="20" t="s">
        <v>2</v>
      </c>
    </row>
    <row r="2532" spans="1:4" s="26" customFormat="1">
      <c r="A2532" s="18" t="str">
        <f t="shared" si="39"/>
        <v>948.31 STATIC - CYCLIC (EXPRESS) LOAD TEST</v>
      </c>
      <c r="B2532" s="21">
        <v>948.31</v>
      </c>
      <c r="C2532" s="22" t="s">
        <v>3568</v>
      </c>
      <c r="D2532" s="22" t="s">
        <v>2</v>
      </c>
    </row>
    <row r="2533" spans="1:4">
      <c r="A2533" s="18" t="str">
        <f t="shared" si="39"/>
        <v>948.4 DYNAMIC LOAD TEST PREPARATION</v>
      </c>
      <c r="B2533" s="21">
        <v>948.4</v>
      </c>
      <c r="C2533" s="22" t="s">
        <v>3569</v>
      </c>
      <c r="D2533" s="22" t="s">
        <v>2</v>
      </c>
    </row>
    <row r="2534" spans="1:4" s="26" customFormat="1">
      <c r="A2534" s="18" t="str">
        <f t="shared" si="39"/>
        <v>948.41 DYNAMIC LOAD TEST BY CONTRACTOR</v>
      </c>
      <c r="B2534" s="21">
        <v>948.41</v>
      </c>
      <c r="C2534" s="22" t="s">
        <v>654</v>
      </c>
      <c r="D2534" s="22" t="s">
        <v>2</v>
      </c>
    </row>
    <row r="2535" spans="1:4">
      <c r="A2535" s="18" t="str">
        <f t="shared" si="39"/>
        <v>948.5 PILE SHOES</v>
      </c>
      <c r="B2535" s="19">
        <v>948.5</v>
      </c>
      <c r="C2535" s="20" t="s">
        <v>655</v>
      </c>
      <c r="D2535" s="20" t="s">
        <v>2</v>
      </c>
    </row>
    <row r="2536" spans="1:4" s="26" customFormat="1">
      <c r="A2536" s="18" t="str">
        <f t="shared" si="39"/>
        <v>950 LUMBER SHEETING</v>
      </c>
      <c r="B2536" s="19">
        <v>950</v>
      </c>
      <c r="C2536" s="20" t="s">
        <v>3570</v>
      </c>
      <c r="D2536" s="20" t="s">
        <v>658</v>
      </c>
    </row>
    <row r="2537" spans="1:4">
      <c r="A2537" s="18" t="str">
        <f t="shared" si="39"/>
        <v>950.1 TEMPORARY SHORING</v>
      </c>
      <c r="B2537" s="21">
        <v>950.1</v>
      </c>
      <c r="C2537" s="22" t="s">
        <v>656</v>
      </c>
      <c r="D2537" s="22" t="s">
        <v>22</v>
      </c>
    </row>
    <row r="2538" spans="1:4" s="26" customFormat="1">
      <c r="A2538" s="18" t="str">
        <f t="shared" si="39"/>
        <v>951 WOOD SHEETING</v>
      </c>
      <c r="B2538" s="19">
        <v>951</v>
      </c>
      <c r="C2538" s="20" t="s">
        <v>3571</v>
      </c>
      <c r="D2538" s="20" t="s">
        <v>658</v>
      </c>
    </row>
    <row r="2539" spans="1:4">
      <c r="A2539" s="18" t="str">
        <f t="shared" si="39"/>
        <v>952 STEEL SHEETING</v>
      </c>
      <c r="B2539" s="21">
        <v>952</v>
      </c>
      <c r="C2539" s="22" t="s">
        <v>3572</v>
      </c>
      <c r="D2539" s="22" t="s">
        <v>100</v>
      </c>
    </row>
    <row r="2540" spans="1:4" s="26" customFormat="1">
      <c r="A2540" s="18" t="str">
        <f t="shared" si="39"/>
        <v>955 TREATED TIMBER</v>
      </c>
      <c r="B2540" s="19">
        <v>955</v>
      </c>
      <c r="C2540" s="20" t="s">
        <v>657</v>
      </c>
      <c r="D2540" s="20" t="s">
        <v>658</v>
      </c>
    </row>
    <row r="2541" spans="1:4">
      <c r="A2541" s="18" t="str">
        <f t="shared" si="39"/>
        <v>960 STRUCTURAL STEEL</v>
      </c>
      <c r="B2541" s="21">
        <v>960</v>
      </c>
      <c r="C2541" s="22" t="s">
        <v>3573</v>
      </c>
      <c r="D2541" s="22" t="s">
        <v>100</v>
      </c>
    </row>
    <row r="2542" spans="1:4" s="26" customFormat="1">
      <c r="A2542" s="18" t="str">
        <f t="shared" si="39"/>
        <v>960.1 STRUCTURAL STEEL - COATED STEEL</v>
      </c>
      <c r="B2542" s="19">
        <v>960.1</v>
      </c>
      <c r="C2542" s="20" t="s">
        <v>659</v>
      </c>
      <c r="D2542" s="20" t="s">
        <v>100</v>
      </c>
    </row>
    <row r="2543" spans="1:4">
      <c r="A2543" s="18" t="str">
        <f t="shared" si="39"/>
        <v>960.11 STRUCTURAL STEEL - UNCOATED</v>
      </c>
      <c r="B2543" s="21">
        <v>960.11</v>
      </c>
      <c r="C2543" s="22" t="s">
        <v>3574</v>
      </c>
      <c r="D2543" s="22" t="s">
        <v>100</v>
      </c>
    </row>
    <row r="2544" spans="1:4" s="26" customFormat="1">
      <c r="A2544" s="18" t="str">
        <f t="shared" si="39"/>
        <v>960.12 STRUCTURAL STEEL - M270 GRADE 70HPS AND 50 HPS</v>
      </c>
      <c r="B2544" s="21">
        <v>960.12</v>
      </c>
      <c r="C2544" s="22" t="s">
        <v>3575</v>
      </c>
      <c r="D2544" s="22" t="s">
        <v>100</v>
      </c>
    </row>
    <row r="2545" spans="1:4">
      <c r="A2545" s="18" t="str">
        <f t="shared" si="39"/>
        <v>961.101 CLEAN AND PAINT (OVERCOAT) STEEL BRIDGE NO.                               </v>
      </c>
      <c r="B2545" s="19">
        <v>961.101</v>
      </c>
      <c r="C2545" s="20" t="s">
        <v>3576</v>
      </c>
      <c r="D2545" s="20" t="s">
        <v>22</v>
      </c>
    </row>
    <row r="2546" spans="1:4" s="26" customFormat="1">
      <c r="A2546" s="18" t="str">
        <f t="shared" si="39"/>
        <v>961.102 CLEAN AND PAINT (OVERCOAT) STEEL BRIDGE NO.                               </v>
      </c>
      <c r="B2546" s="21">
        <v>961.10199999999998</v>
      </c>
      <c r="C2546" s="22" t="s">
        <v>3576</v>
      </c>
      <c r="D2546" s="22" t="s">
        <v>22</v>
      </c>
    </row>
    <row r="2547" spans="1:4">
      <c r="A2547" s="18" t="str">
        <f t="shared" si="39"/>
        <v>961.103 CLEAN AND PAINT (OVERCOAT) STEEL BRIDGE NO.                               </v>
      </c>
      <c r="B2547" s="19">
        <v>961.10299999999995</v>
      </c>
      <c r="C2547" s="20" t="s">
        <v>3576</v>
      </c>
      <c r="D2547" s="20" t="s">
        <v>22</v>
      </c>
    </row>
    <row r="2548" spans="1:4" s="26" customFormat="1">
      <c r="A2548" s="18" t="str">
        <f t="shared" si="39"/>
        <v>961.104 CLEAN AND PAINT (OVERCOAT) STEEL BRIDGE NO.                               </v>
      </c>
      <c r="B2548" s="21">
        <v>961.10400000000004</v>
      </c>
      <c r="C2548" s="22" t="s">
        <v>3576</v>
      </c>
      <c r="D2548" s="22" t="s">
        <v>22</v>
      </c>
    </row>
    <row r="2549" spans="1:4">
      <c r="A2549" s="18" t="str">
        <f t="shared" si="39"/>
        <v>961.105 CLEAN AND PAINT (OVERCOAT) STEEL BRIDGE NO.                               </v>
      </c>
      <c r="B2549" s="21">
        <v>961.10500000000002</v>
      </c>
      <c r="C2549" s="22" t="s">
        <v>3576</v>
      </c>
      <c r="D2549" s="22" t="s">
        <v>22</v>
      </c>
    </row>
    <row r="2550" spans="1:4" s="26" customFormat="1">
      <c r="A2550" s="18" t="str">
        <f t="shared" si="39"/>
        <v>961.106 CLEAN AND PAINT (OVERCOAT) STEEL BRIDGE NO.                               </v>
      </c>
      <c r="B2550" s="19">
        <v>961.10599999999999</v>
      </c>
      <c r="C2550" s="20" t="s">
        <v>3576</v>
      </c>
      <c r="D2550" s="20" t="s">
        <v>22</v>
      </c>
    </row>
    <row r="2551" spans="1:4">
      <c r="A2551" s="18" t="str">
        <f t="shared" si="39"/>
        <v>961.107 CLEAN AND PAINT (OVERCOAT) STEEL BRIDGE NO.                               </v>
      </c>
      <c r="B2551" s="19">
        <v>961.10699999999997</v>
      </c>
      <c r="C2551" s="20" t="s">
        <v>3576</v>
      </c>
      <c r="D2551" s="20" t="s">
        <v>22</v>
      </c>
    </row>
    <row r="2552" spans="1:4" s="26" customFormat="1">
      <c r="A2552" s="18" t="str">
        <f t="shared" si="39"/>
        <v>961.108 CLEAN AND PAINT (OVERCOAT) STEEL BRIDGE NO.                               </v>
      </c>
      <c r="B2552" s="21">
        <v>961.10799999999995</v>
      </c>
      <c r="C2552" s="22" t="s">
        <v>3576</v>
      </c>
      <c r="D2552" s="22" t="s">
        <v>22</v>
      </c>
    </row>
    <row r="2553" spans="1:4">
      <c r="A2553" s="18" t="str">
        <f t="shared" si="39"/>
        <v>961.109 CLEAN AND PAINT (OVERCOAT) STEEL BRIDGE NO.                               </v>
      </c>
      <c r="B2553" s="19">
        <v>961.10900000000004</v>
      </c>
      <c r="C2553" s="20" t="s">
        <v>3576</v>
      </c>
      <c r="D2553" s="20" t="s">
        <v>22</v>
      </c>
    </row>
    <row r="2554" spans="1:4" s="26" customFormat="1">
      <c r="A2554" s="18" t="str">
        <f t="shared" si="39"/>
        <v>961.11 CLEAN AND PAINT (OVERCOAT) STEEL BRIDGE NO.                               </v>
      </c>
      <c r="B2554" s="21">
        <v>961.11</v>
      </c>
      <c r="C2554" s="22" t="s">
        <v>3576</v>
      </c>
      <c r="D2554" s="22" t="s">
        <v>22</v>
      </c>
    </row>
    <row r="2555" spans="1:4">
      <c r="A2555" s="18" t="str">
        <f t="shared" si="39"/>
        <v>961.201 CLEAN (FULL REMOVAL) AND PAINT STEEL BRIDGE NO.                 </v>
      </c>
      <c r="B2555" s="21">
        <v>961.20100000000002</v>
      </c>
      <c r="C2555" s="22" t="s">
        <v>3577</v>
      </c>
      <c r="D2555" s="22" t="s">
        <v>22</v>
      </c>
    </row>
    <row r="2556" spans="1:4" s="26" customFormat="1">
      <c r="A2556" s="18" t="str">
        <f t="shared" si="39"/>
        <v>961.202 CLEAN (FULL REMOVAL) AND PAINT STEEL BRIDGE NO.                 </v>
      </c>
      <c r="B2556" s="19">
        <v>961.202</v>
      </c>
      <c r="C2556" s="20" t="s">
        <v>3577</v>
      </c>
      <c r="D2556" s="20" t="s">
        <v>22</v>
      </c>
    </row>
    <row r="2557" spans="1:4">
      <c r="A2557" s="18" t="str">
        <f t="shared" si="39"/>
        <v>961.203 CLEAN (FULL REMOVAL) AND PAINT STEEL BRIDGE NO.               </v>
      </c>
      <c r="B2557" s="21">
        <v>961.20299999999997</v>
      </c>
      <c r="C2557" s="22" t="s">
        <v>3578</v>
      </c>
      <c r="D2557" s="22" t="s">
        <v>22</v>
      </c>
    </row>
    <row r="2558" spans="1:4" s="26" customFormat="1">
      <c r="A2558" s="18" t="str">
        <f t="shared" si="39"/>
        <v>961.204 CLEAN (FULL REMOVAL) AND PAINT STEEL BRIDGE NO.                 </v>
      </c>
      <c r="B2558" s="21">
        <v>961.20399999999995</v>
      </c>
      <c r="C2558" s="22" t="s">
        <v>3577</v>
      </c>
      <c r="D2558" s="22" t="s">
        <v>22</v>
      </c>
    </row>
    <row r="2559" spans="1:4">
      <c r="A2559" s="18" t="str">
        <f t="shared" si="39"/>
        <v>961.205 CLEAN (FULL REMOVAL) AND PAINT STEEL BRIDGE NO.           </v>
      </c>
      <c r="B2559" s="19">
        <v>961.20500000000004</v>
      </c>
      <c r="C2559" s="20" t="s">
        <v>3579</v>
      </c>
      <c r="D2559" s="20" t="s">
        <v>22</v>
      </c>
    </row>
    <row r="2560" spans="1:4" s="26" customFormat="1">
      <c r="A2560" s="18" t="str">
        <f t="shared" si="39"/>
        <v>961.206 CLEAN (FULL REMOVAL) AND PAINT STEEL BRIDGE NO.           </v>
      </c>
      <c r="B2560" s="19">
        <v>961.20600000000002</v>
      </c>
      <c r="C2560" s="20" t="s">
        <v>3579</v>
      </c>
      <c r="D2560" s="20" t="s">
        <v>22</v>
      </c>
    </row>
    <row r="2561" spans="1:4">
      <c r="A2561" s="18" t="str">
        <f t="shared" si="39"/>
        <v>961.207 CLEAN (FULL REMOVAL) AND PAINT STEEL BRIDGE NO.           </v>
      </c>
      <c r="B2561" s="19">
        <v>961.20699999999999</v>
      </c>
      <c r="C2561" s="20" t="s">
        <v>3579</v>
      </c>
      <c r="D2561" s="20" t="s">
        <v>22</v>
      </c>
    </row>
    <row r="2562" spans="1:4" s="26" customFormat="1">
      <c r="A2562" s="18" t="str">
        <f t="shared" ref="A2562:A2625" si="40">B2562&amp;" "&amp;C2562</f>
        <v>961.208 CLEAN (FULL REMOVAL) AND PAINT STEEL BRIDGE NO.           </v>
      </c>
      <c r="B2562" s="21">
        <v>961.20799999999997</v>
      </c>
      <c r="C2562" s="22" t="s">
        <v>3579</v>
      </c>
      <c r="D2562" s="22" t="s">
        <v>22</v>
      </c>
    </row>
    <row r="2563" spans="1:4">
      <c r="A2563" s="18" t="str">
        <f t="shared" si="40"/>
        <v>961.209 CLEAN (FULL REMOVAL) AND PAINT STEEL BRIDGE NO.           </v>
      </c>
      <c r="B2563" s="19">
        <v>961.20899999999995</v>
      </c>
      <c r="C2563" s="20" t="s">
        <v>3579</v>
      </c>
      <c r="D2563" s="20" t="s">
        <v>22</v>
      </c>
    </row>
    <row r="2564" spans="1:4" s="26" customFormat="1">
      <c r="A2564" s="18" t="str">
        <f t="shared" si="40"/>
        <v>961.21 CLEAN (FULL REMOVAL) AND PAINT STEEL BRIDGE NO.           </v>
      </c>
      <c r="B2564" s="19">
        <v>961.21</v>
      </c>
      <c r="C2564" s="20" t="s">
        <v>3579</v>
      </c>
      <c r="D2564" s="20" t="s">
        <v>22</v>
      </c>
    </row>
    <row r="2565" spans="1:4">
      <c r="A2565" s="18" t="str">
        <f t="shared" si="40"/>
        <v>964 LINSEED ANTI-SPALLING COMPOUND</v>
      </c>
      <c r="B2565" s="21">
        <v>964</v>
      </c>
      <c r="C2565" s="22" t="s">
        <v>3580</v>
      </c>
      <c r="D2565" s="22" t="s">
        <v>1</v>
      </c>
    </row>
    <row r="2566" spans="1:4" s="26" customFormat="1">
      <c r="A2566" s="18" t="str">
        <f t="shared" si="40"/>
        <v>964.1 EPOXY BONDING COMPOUND</v>
      </c>
      <c r="B2566" s="21">
        <v>964.1</v>
      </c>
      <c r="C2566" s="22" t="s">
        <v>663</v>
      </c>
      <c r="D2566" s="22" t="s">
        <v>3</v>
      </c>
    </row>
    <row r="2567" spans="1:4">
      <c r="A2567" s="18" t="str">
        <f t="shared" si="40"/>
        <v>964.2 EPOXY PROTECTIVE COATING</v>
      </c>
      <c r="B2567" s="21">
        <v>964.2</v>
      </c>
      <c r="C2567" s="22" t="s">
        <v>3581</v>
      </c>
      <c r="D2567" s="22" t="s">
        <v>3</v>
      </c>
    </row>
    <row r="2568" spans="1:4" s="26" customFormat="1">
      <c r="A2568" s="18" t="str">
        <f t="shared" si="40"/>
        <v>964.213 EPOXY BONDING UNDER PRESSURE</v>
      </c>
      <c r="B2568" s="21">
        <v>964.21299999999997</v>
      </c>
      <c r="C2568" s="22" t="s">
        <v>3582</v>
      </c>
      <c r="D2568" s="22" t="s">
        <v>22</v>
      </c>
    </row>
    <row r="2569" spans="1:4">
      <c r="A2569" s="18" t="str">
        <f t="shared" si="40"/>
        <v>964.7 EPOXY MORTAR FOR PATCHING</v>
      </c>
      <c r="B2569" s="19">
        <v>964.7</v>
      </c>
      <c r="C2569" s="20" t="s">
        <v>664</v>
      </c>
      <c r="D2569" s="20" t="s">
        <v>3</v>
      </c>
    </row>
    <row r="2570" spans="1:4" s="26" customFormat="1">
      <c r="A2570" s="18" t="str">
        <f t="shared" si="40"/>
        <v>964.8 EPOXY MORTAR FOR PATCHING</v>
      </c>
      <c r="B2570" s="21">
        <v>964.8</v>
      </c>
      <c r="C2570" s="22" t="s">
        <v>664</v>
      </c>
      <c r="D2570" s="22" t="s">
        <v>17</v>
      </c>
    </row>
    <row r="2571" spans="1:4">
      <c r="A2571" s="18" t="str">
        <f t="shared" si="40"/>
        <v>965 MEMBRANE WATERPROOFING FOR BRIDGE DECKS</v>
      </c>
      <c r="B2571" s="19">
        <v>965</v>
      </c>
      <c r="C2571" s="20" t="s">
        <v>665</v>
      </c>
      <c r="D2571" s="20" t="s">
        <v>3</v>
      </c>
    </row>
    <row r="2572" spans="1:4" s="26" customFormat="1">
      <c r="A2572" s="18" t="str">
        <f t="shared" si="40"/>
        <v>965 MEMBRANE WATERPROOFING FOR BRIDGE DECKS</v>
      </c>
      <c r="B2572" s="19">
        <v>965</v>
      </c>
      <c r="C2572" s="20" t="s">
        <v>665</v>
      </c>
      <c r="D2572" s="20" t="s">
        <v>1</v>
      </c>
    </row>
    <row r="2573" spans="1:4">
      <c r="A2573" s="18" t="str">
        <f t="shared" si="40"/>
        <v>966 MEMBRANE WATERPROOFING FOR BRIDGE DECK REPAIRS</v>
      </c>
      <c r="B2573" s="19">
        <v>966</v>
      </c>
      <c r="C2573" s="20" t="s">
        <v>1466</v>
      </c>
      <c r="D2573" s="20" t="s">
        <v>3</v>
      </c>
    </row>
    <row r="2574" spans="1:4" s="26" customFormat="1">
      <c r="A2574" s="18" t="str">
        <f t="shared" si="40"/>
        <v>966 WATERPROOFING PROTECTIVE COURSE</v>
      </c>
      <c r="B2574" s="21">
        <v>966</v>
      </c>
      <c r="C2574" s="22" t="s">
        <v>3583</v>
      </c>
      <c r="D2574" s="22" t="s">
        <v>1</v>
      </c>
    </row>
    <row r="2575" spans="1:4">
      <c r="A2575" s="18" t="str">
        <f t="shared" si="40"/>
        <v>968 SCUPPER</v>
      </c>
      <c r="B2575" s="21">
        <v>968</v>
      </c>
      <c r="C2575" s="22" t="s">
        <v>3584</v>
      </c>
      <c r="D2575" s="22" t="s">
        <v>2</v>
      </c>
    </row>
    <row r="2576" spans="1:4" s="26" customFormat="1">
      <c r="A2576" s="18" t="str">
        <f t="shared" si="40"/>
        <v>968.1 SCUPPER AND DOWNSPOUT</v>
      </c>
      <c r="B2576" s="21">
        <v>968.1</v>
      </c>
      <c r="C2576" s="22" t="s">
        <v>1467</v>
      </c>
      <c r="D2576" s="22" t="s">
        <v>2</v>
      </c>
    </row>
    <row r="2577" spans="1:4">
      <c r="A2577" s="18" t="str">
        <f t="shared" si="40"/>
        <v>968.4 SCUPPER-REMOVED</v>
      </c>
      <c r="B2577" s="19">
        <v>968.4</v>
      </c>
      <c r="C2577" s="20" t="s">
        <v>1468</v>
      </c>
      <c r="D2577" s="20" t="s">
        <v>2</v>
      </c>
    </row>
    <row r="2578" spans="1:4" s="26" customFormat="1">
      <c r="A2578" s="18" t="str">
        <f t="shared" si="40"/>
        <v>970 BITUMINOUS DAMP-PROOFING</v>
      </c>
      <c r="B2578" s="21">
        <v>970</v>
      </c>
      <c r="C2578" s="22" t="s">
        <v>666</v>
      </c>
      <c r="D2578" s="22" t="s">
        <v>1</v>
      </c>
    </row>
    <row r="2579" spans="1:4">
      <c r="A2579" s="18" t="str">
        <f t="shared" si="40"/>
        <v>970 DAMP-PROOFING</v>
      </c>
      <c r="B2579" s="21">
        <v>970</v>
      </c>
      <c r="C2579" s="22" t="s">
        <v>3585</v>
      </c>
      <c r="D2579" s="22" t="s">
        <v>3</v>
      </c>
    </row>
    <row r="2580" spans="1:4" s="26" customFormat="1">
      <c r="A2580" s="18" t="str">
        <f t="shared" si="40"/>
        <v>971 ASPHALTIC BRIDGE JOINT SYSTEM</v>
      </c>
      <c r="B2580" s="19">
        <v>971</v>
      </c>
      <c r="C2580" s="20" t="s">
        <v>667</v>
      </c>
      <c r="D2580" s="20" t="s">
        <v>17</v>
      </c>
    </row>
    <row r="2581" spans="1:4">
      <c r="A2581" s="18" t="str">
        <f t="shared" si="40"/>
        <v>971.1 ASPHALTIC BRIDGE JOINT SYSTEM</v>
      </c>
      <c r="B2581" s="21">
        <v>971.1</v>
      </c>
      <c r="C2581" s="22" t="s">
        <v>667</v>
      </c>
      <c r="D2581" s="22" t="s">
        <v>668</v>
      </c>
    </row>
    <row r="2582" spans="1:4" s="26" customFormat="1">
      <c r="A2582" s="18" t="str">
        <f t="shared" si="40"/>
        <v>972 STRIP SEAL BRIDGE JOINT SYSTEM</v>
      </c>
      <c r="B2582" s="19">
        <v>972</v>
      </c>
      <c r="C2582" s="20" t="s">
        <v>669</v>
      </c>
      <c r="D2582" s="20" t="s">
        <v>17</v>
      </c>
    </row>
    <row r="2583" spans="1:4">
      <c r="A2583" s="18" t="str">
        <f t="shared" si="40"/>
        <v>974.1 METAL BRIDGE RAILING REMOVED AND RESET</v>
      </c>
      <c r="B2583" s="19">
        <v>974.1</v>
      </c>
      <c r="C2583" s="20" t="s">
        <v>3586</v>
      </c>
      <c r="D2583" s="20" t="s">
        <v>17</v>
      </c>
    </row>
    <row r="2584" spans="1:4" s="26" customFormat="1">
      <c r="A2584" s="18" t="str">
        <f t="shared" si="40"/>
        <v>974.2 METAL BRIDGE RAILING REMOVED AND STACKED</v>
      </c>
      <c r="B2584" s="21">
        <v>974.2</v>
      </c>
      <c r="C2584" s="22" t="s">
        <v>3587</v>
      </c>
      <c r="D2584" s="22" t="s">
        <v>17</v>
      </c>
    </row>
    <row r="2585" spans="1:4">
      <c r="A2585" s="18" t="str">
        <f t="shared" si="40"/>
        <v>974.3 METAL BRIDGE RAILING REMOVED</v>
      </c>
      <c r="B2585" s="19">
        <v>974.3</v>
      </c>
      <c r="C2585" s="20" t="s">
        <v>1469</v>
      </c>
      <c r="D2585" s="20" t="s">
        <v>17</v>
      </c>
    </row>
    <row r="2586" spans="1:4" s="26" customFormat="1">
      <c r="A2586" s="18" t="str">
        <f t="shared" si="40"/>
        <v>974.31 METAL BRIDGE RAILING REMOVED</v>
      </c>
      <c r="B2586" s="19">
        <v>974.31</v>
      </c>
      <c r="C2586" s="20" t="s">
        <v>1469</v>
      </c>
      <c r="D2586" s="20" t="s">
        <v>22</v>
      </c>
    </row>
    <row r="2587" spans="1:4">
      <c r="A2587" s="18" t="str">
        <f t="shared" si="40"/>
        <v>975.1 METAL BRIDGE RAILING (3 RAIL), STEEL (TYPE S3-TL4)</v>
      </c>
      <c r="B2587" s="21">
        <v>975.1</v>
      </c>
      <c r="C2587" s="22" t="s">
        <v>3588</v>
      </c>
      <c r="D2587" s="22" t="s">
        <v>17</v>
      </c>
    </row>
    <row r="2588" spans="1:4" s="26" customFormat="1">
      <c r="A2588" s="18" t="str">
        <f t="shared" si="40"/>
        <v>975.2 METAL BRIDGE RAILING (3 RAIL), ALUMINUM (TYPE AL-3)</v>
      </c>
      <c r="B2588" s="21">
        <v>975.2</v>
      </c>
      <c r="C2588" s="22" t="s">
        <v>3589</v>
      </c>
      <c r="D2588" s="22" t="s">
        <v>17</v>
      </c>
    </row>
    <row r="2589" spans="1:4">
      <c r="A2589" s="18" t="str">
        <f t="shared" si="40"/>
        <v>975.3 PROTECTIVE SCREEN TYPE I</v>
      </c>
      <c r="B2589" s="21">
        <v>975.3</v>
      </c>
      <c r="C2589" s="22" t="s">
        <v>3590</v>
      </c>
      <c r="D2589" s="22" t="s">
        <v>17</v>
      </c>
    </row>
    <row r="2590" spans="1:4" s="26" customFormat="1">
      <c r="A2590" s="18" t="str">
        <f t="shared" si="40"/>
        <v>975.4 PROTECTIVE SCREEN TYPE II</v>
      </c>
      <c r="B2590" s="19">
        <v>975.4</v>
      </c>
      <c r="C2590" s="20" t="s">
        <v>1530</v>
      </c>
      <c r="D2590" s="20" t="s">
        <v>17</v>
      </c>
    </row>
    <row r="2591" spans="1:4">
      <c r="A2591" s="18" t="str">
        <f t="shared" si="40"/>
        <v>975.5 ALUMINUM HANDRAIL</v>
      </c>
      <c r="B2591" s="21">
        <v>975.5</v>
      </c>
      <c r="C2591" s="22" t="s">
        <v>670</v>
      </c>
      <c r="D2591" s="22" t="s">
        <v>17</v>
      </c>
    </row>
    <row r="2592" spans="1:4" s="26" customFormat="1">
      <c r="A2592" s="18" t="str">
        <f t="shared" si="40"/>
        <v>975.6 SNOW FENCE 3 FEET HIGH</v>
      </c>
      <c r="B2592" s="21">
        <v>975.6</v>
      </c>
      <c r="C2592" s="22" t="s">
        <v>3591</v>
      </c>
      <c r="D2592" s="22" t="s">
        <v>17</v>
      </c>
    </row>
    <row r="2593" spans="1:4">
      <c r="A2593" s="18" t="str">
        <f t="shared" si="40"/>
        <v>975.7 SNOW FENCE 4 FEET HIGH</v>
      </c>
      <c r="B2593" s="19">
        <v>975.7</v>
      </c>
      <c r="C2593" s="20" t="s">
        <v>3592</v>
      </c>
      <c r="D2593" s="20" t="s">
        <v>17</v>
      </c>
    </row>
    <row r="2594" spans="1:4" s="26" customFormat="1">
      <c r="A2594" s="18" t="str">
        <f t="shared" si="40"/>
        <v>982 MARINE HARDWARE</v>
      </c>
      <c r="B2594" s="19">
        <v>982</v>
      </c>
      <c r="C2594" s="20" t="s">
        <v>3593</v>
      </c>
      <c r="D2594" s="20" t="s">
        <v>100</v>
      </c>
    </row>
    <row r="2595" spans="1:4">
      <c r="A2595" s="18" t="str">
        <f t="shared" si="40"/>
        <v>982.2 FENDER LOG</v>
      </c>
      <c r="B2595" s="21">
        <v>982.2</v>
      </c>
      <c r="C2595" s="22" t="s">
        <v>3594</v>
      </c>
      <c r="D2595" s="22" t="s">
        <v>2</v>
      </c>
    </row>
    <row r="2596" spans="1:4" s="26" customFormat="1">
      <c r="A2596" s="18" t="str">
        <f t="shared" si="40"/>
        <v>982.3 ALUMINUM GANGWAY</v>
      </c>
      <c r="B2596" s="21">
        <v>982.3</v>
      </c>
      <c r="C2596" s="22" t="s">
        <v>3595</v>
      </c>
      <c r="D2596" s="22" t="s">
        <v>2</v>
      </c>
    </row>
    <row r="2597" spans="1:4">
      <c r="A2597" s="18" t="str">
        <f t="shared" si="40"/>
        <v>982.4 TIMBER GANGWAY</v>
      </c>
      <c r="B2597" s="19">
        <v>982.4</v>
      </c>
      <c r="C2597" s="20" t="s">
        <v>3596</v>
      </c>
      <c r="D2597" s="20" t="s">
        <v>2</v>
      </c>
    </row>
    <row r="2598" spans="1:4" s="26" customFormat="1">
      <c r="A2598" s="18" t="str">
        <f t="shared" si="40"/>
        <v>983 DUMPED RIPRAP</v>
      </c>
      <c r="B2598" s="19">
        <v>983</v>
      </c>
      <c r="C2598" s="20" t="s">
        <v>671</v>
      </c>
      <c r="D2598" s="20" t="s">
        <v>7</v>
      </c>
    </row>
    <row r="2599" spans="1:4">
      <c r="A2599" s="18" t="str">
        <f t="shared" si="40"/>
        <v>983.01 DUMPED RIPRAP</v>
      </c>
      <c r="B2599" s="21">
        <v>983.01</v>
      </c>
      <c r="C2599" s="22" t="s">
        <v>671</v>
      </c>
      <c r="D2599" s="22" t="s">
        <v>4</v>
      </c>
    </row>
    <row r="2600" spans="1:4" s="26" customFormat="1">
      <c r="A2600" s="18" t="str">
        <f t="shared" si="40"/>
        <v>983.02 MODIFIED DUMPED RIPRAP</v>
      </c>
      <c r="B2600" s="21">
        <v>983.02</v>
      </c>
      <c r="C2600" s="22" t="s">
        <v>3597</v>
      </c>
      <c r="D2600" s="22" t="s">
        <v>7</v>
      </c>
    </row>
    <row r="2601" spans="1:4">
      <c r="A2601" s="18" t="str">
        <f t="shared" si="40"/>
        <v>983.1 RIPRAP</v>
      </c>
      <c r="B2601" s="19">
        <v>983.1</v>
      </c>
      <c r="C2601" s="20" t="s">
        <v>672</v>
      </c>
      <c r="D2601" s="20" t="s">
        <v>7</v>
      </c>
    </row>
    <row r="2602" spans="1:4" s="26" customFormat="1">
      <c r="A2602" s="18" t="str">
        <f t="shared" si="40"/>
        <v>983.11 MODIFIED RIPRAP</v>
      </c>
      <c r="B2602" s="19">
        <v>983.11</v>
      </c>
      <c r="C2602" s="20" t="s">
        <v>673</v>
      </c>
      <c r="D2602" s="20" t="s">
        <v>7</v>
      </c>
    </row>
    <row r="2603" spans="1:4">
      <c r="A2603" s="18" t="str">
        <f t="shared" si="40"/>
        <v>983.2 RIPRAP</v>
      </c>
      <c r="B2603" s="19">
        <v>983.2</v>
      </c>
      <c r="C2603" s="20" t="s">
        <v>672</v>
      </c>
      <c r="D2603" s="20" t="s">
        <v>4</v>
      </c>
    </row>
    <row r="2604" spans="1:4" s="26" customFormat="1">
      <c r="A2604" s="18" t="str">
        <f t="shared" si="40"/>
        <v>983.21 RIPRAP (MORTARED)</v>
      </c>
      <c r="B2604" s="19">
        <v>983.21</v>
      </c>
      <c r="C2604" s="20" t="s">
        <v>3598</v>
      </c>
      <c r="D2604" s="20" t="s">
        <v>4</v>
      </c>
    </row>
    <row r="2605" spans="1:4">
      <c r="A2605" s="18" t="str">
        <f t="shared" si="40"/>
        <v>983.3 RIPRAP REMOVED AND RELAID</v>
      </c>
      <c r="B2605" s="19">
        <v>983.3</v>
      </c>
      <c r="C2605" s="20" t="s">
        <v>674</v>
      </c>
      <c r="D2605" s="20" t="s">
        <v>4</v>
      </c>
    </row>
    <row r="2606" spans="1:4" s="26" customFormat="1">
      <c r="A2606" s="18" t="str">
        <f t="shared" si="40"/>
        <v>984 STONE AND STONE CHIPS FOR FOR WATEWAY REVETMENTS, GROINS, JETTIES, BREAKWATERS AND MOUNDS</v>
      </c>
      <c r="B2606" s="21">
        <v>984</v>
      </c>
      <c r="C2606" s="22" t="s">
        <v>3599</v>
      </c>
      <c r="D2606" s="22" t="s">
        <v>7</v>
      </c>
    </row>
    <row r="2607" spans="1:4">
      <c r="A2607" s="18" t="str">
        <f t="shared" si="40"/>
        <v>984.6 STONE FOR EROSION CONTROL</v>
      </c>
      <c r="B2607" s="21">
        <v>984.6</v>
      </c>
      <c r="C2607" s="22" t="s">
        <v>3600</v>
      </c>
      <c r="D2607" s="22" t="s">
        <v>7</v>
      </c>
    </row>
    <row r="2608" spans="1:4" s="26" customFormat="1">
      <c r="A2608" s="18" t="str">
        <f t="shared" si="40"/>
        <v>984.601 DUMPED STONE FOR EROSION CONTROL</v>
      </c>
      <c r="B2608" s="21">
        <v>984.601</v>
      </c>
      <c r="C2608" s="22" t="s">
        <v>1432</v>
      </c>
      <c r="D2608" s="22" t="s">
        <v>7</v>
      </c>
    </row>
    <row r="2609" spans="1:4">
      <c r="A2609" s="18" t="str">
        <f t="shared" si="40"/>
        <v>984.61 STONE FOR EROSION CONTROL</v>
      </c>
      <c r="B2609" s="21">
        <v>984.61</v>
      </c>
      <c r="C2609" s="22" t="s">
        <v>3600</v>
      </c>
      <c r="D2609" s="22" t="s">
        <v>1</v>
      </c>
    </row>
    <row r="2610" spans="1:4" s="26" customFormat="1">
      <c r="A2610" s="18" t="str">
        <f t="shared" si="40"/>
        <v>984.62 STONE FOR EROSION CONTROL</v>
      </c>
      <c r="B2610" s="19">
        <v>984.62</v>
      </c>
      <c r="C2610" s="20" t="s">
        <v>3600</v>
      </c>
      <c r="D2610" s="20" t="s">
        <v>4</v>
      </c>
    </row>
    <row r="2611" spans="1:4">
      <c r="A2611" s="18" t="str">
        <f t="shared" si="40"/>
        <v>985 SLOPE PAVING</v>
      </c>
      <c r="B2611" s="19">
        <v>985</v>
      </c>
      <c r="C2611" s="20" t="s">
        <v>3601</v>
      </c>
      <c r="D2611" s="20" t="s">
        <v>1</v>
      </c>
    </row>
    <row r="2612" spans="1:4" s="26" customFormat="1">
      <c r="A2612" s="18" t="str">
        <f t="shared" si="40"/>
        <v>985.01 SLOPE PAVING REMOVED AND RESET</v>
      </c>
      <c r="B2612" s="21">
        <v>985.01</v>
      </c>
      <c r="C2612" s="22" t="s">
        <v>1531</v>
      </c>
      <c r="D2612" s="22" t="s">
        <v>1</v>
      </c>
    </row>
    <row r="2613" spans="1:4">
      <c r="A2613" s="18" t="str">
        <f t="shared" si="40"/>
        <v>986 MODIFIED ROCKFILL</v>
      </c>
      <c r="B2613" s="19">
        <v>986</v>
      </c>
      <c r="C2613" s="20" t="s">
        <v>675</v>
      </c>
      <c r="D2613" s="20" t="s">
        <v>7</v>
      </c>
    </row>
    <row r="2614" spans="1:4" s="26" customFormat="1">
      <c r="A2614" s="18" t="str">
        <f t="shared" si="40"/>
        <v>986.1 MODIFIED ROCKFILL</v>
      </c>
      <c r="B2614" s="21">
        <v>986.1</v>
      </c>
      <c r="C2614" s="22" t="s">
        <v>675</v>
      </c>
      <c r="D2614" s="22" t="s">
        <v>1</v>
      </c>
    </row>
    <row r="2615" spans="1:4">
      <c r="A2615" s="18" t="str">
        <f t="shared" si="40"/>
        <v>986.2 MODIFIED ROCKFILL</v>
      </c>
      <c r="B2615" s="19">
        <v>986.2</v>
      </c>
      <c r="C2615" s="20" t="s">
        <v>675</v>
      </c>
      <c r="D2615" s="20" t="s">
        <v>4</v>
      </c>
    </row>
    <row r="2616" spans="1:4" s="26" customFormat="1">
      <c r="A2616" s="18" t="str">
        <f t="shared" si="40"/>
        <v>987 SPECIAL SLOPE PAVING UNDER BRIDGE - OPTION</v>
      </c>
      <c r="B2616" s="21">
        <v>987</v>
      </c>
      <c r="C2616" s="22" t="s">
        <v>1433</v>
      </c>
      <c r="D2616" s="22" t="s">
        <v>1</v>
      </c>
    </row>
    <row r="2617" spans="1:4">
      <c r="A2617" s="18" t="str">
        <f t="shared" si="40"/>
        <v>987.02 SPECIAL SLOPE PAVING UNDER BRIDGE REMOVED AND RESET</v>
      </c>
      <c r="B2617" s="21">
        <v>987.02</v>
      </c>
      <c r="C2617" s="22" t="s">
        <v>676</v>
      </c>
      <c r="D2617" s="22" t="s">
        <v>1</v>
      </c>
    </row>
    <row r="2618" spans="1:4" s="26" customFormat="1">
      <c r="A2618" s="18" t="str">
        <f t="shared" si="40"/>
        <v>987.1 SPECIAL SLOPE PAVING UNDER BRIDGE - QUARRY STONE</v>
      </c>
      <c r="B2618" s="19">
        <v>987.1</v>
      </c>
      <c r="C2618" s="20" t="s">
        <v>3602</v>
      </c>
      <c r="D2618" s="20" t="s">
        <v>1</v>
      </c>
    </row>
    <row r="2619" spans="1:4">
      <c r="A2619" s="18" t="str">
        <f t="shared" si="40"/>
        <v>987.12 SPECIAL SLOPE PAVING UNDER BRIDGE - QUARRY STONE GROUTED</v>
      </c>
      <c r="B2619" s="21">
        <v>987.12</v>
      </c>
      <c r="C2619" s="22" t="s">
        <v>3603</v>
      </c>
      <c r="D2619" s="22" t="s">
        <v>1</v>
      </c>
    </row>
    <row r="2620" spans="1:4" s="26" customFormat="1">
      <c r="A2620" s="18" t="str">
        <f t="shared" si="40"/>
        <v>987.2 SPECIAL SLOPE PAVING UNDER BRIDGE - PRECAST CONCRETE BLOCKS</v>
      </c>
      <c r="B2620" s="21">
        <v>987.2</v>
      </c>
      <c r="C2620" s="22" t="s">
        <v>3604</v>
      </c>
      <c r="D2620" s="22" t="s">
        <v>1</v>
      </c>
    </row>
    <row r="2621" spans="1:4">
      <c r="A2621" s="18" t="str">
        <f t="shared" si="40"/>
        <v>987.3 SPECIAL SLOPE PAVING UNDER BRIDGE - CEMENT CONCRETE</v>
      </c>
      <c r="B2621" s="19">
        <v>987.3</v>
      </c>
      <c r="C2621" s="20" t="s">
        <v>677</v>
      </c>
      <c r="D2621" s="20" t="s">
        <v>1</v>
      </c>
    </row>
    <row r="2622" spans="1:4" s="26" customFormat="1">
      <c r="A2622" s="18" t="str">
        <f t="shared" si="40"/>
        <v>988 CHANNEL PAVING</v>
      </c>
      <c r="B2622" s="19">
        <v>988</v>
      </c>
      <c r="C2622" s="20" t="s">
        <v>1532</v>
      </c>
      <c r="D2622" s="20" t="s">
        <v>1</v>
      </c>
    </row>
    <row r="2623" spans="1:4">
      <c r="A2623" s="18" t="str">
        <f t="shared" si="40"/>
        <v>988.1 GROUTED CHANNEL PAVING</v>
      </c>
      <c r="B2623" s="19">
        <v>988.1</v>
      </c>
      <c r="C2623" s="20" t="s">
        <v>3605</v>
      </c>
      <c r="D2623" s="20" t="s">
        <v>1</v>
      </c>
    </row>
    <row r="2624" spans="1:4" s="26" customFormat="1">
      <c r="A2624" s="18" t="str">
        <f t="shared" si="40"/>
        <v>988.2 MODIFIED CHANNEL PAVING</v>
      </c>
      <c r="B2624" s="19">
        <v>988.2</v>
      </c>
      <c r="C2624" s="20" t="s">
        <v>3606</v>
      </c>
      <c r="D2624" s="20" t="s">
        <v>1</v>
      </c>
    </row>
    <row r="2625" spans="1:4">
      <c r="A2625" s="18" t="str">
        <f t="shared" si="40"/>
        <v>989.2 REPAIRS TO CONCRETE</v>
      </c>
      <c r="B2625" s="21">
        <v>989.2</v>
      </c>
      <c r="C2625" s="22" t="s">
        <v>3607</v>
      </c>
      <c r="D2625" s="22" t="s">
        <v>22</v>
      </c>
    </row>
    <row r="2626" spans="1:4" s="26" customFormat="1">
      <c r="A2626" s="18" t="str">
        <f t="shared" ref="A2626:A2655" si="41">B2626&amp;" "&amp;C2626</f>
        <v>989.21 REPAIRS TO CONCRETE STAIRS</v>
      </c>
      <c r="B2626" s="21">
        <v>989.21</v>
      </c>
      <c r="C2626" s="22" t="s">
        <v>3608</v>
      </c>
      <c r="D2626" s="22" t="s">
        <v>22</v>
      </c>
    </row>
    <row r="2627" spans="1:4">
      <c r="A2627" s="18" t="str">
        <f t="shared" si="41"/>
        <v>990.1 COFFERDAM STRUCTURE NO.             </v>
      </c>
      <c r="B2627" s="21">
        <v>990.1</v>
      </c>
      <c r="C2627" s="22" t="s">
        <v>3609</v>
      </c>
      <c r="D2627" s="22" t="s">
        <v>22</v>
      </c>
    </row>
    <row r="2628" spans="1:4" s="26" customFormat="1">
      <c r="A2628" s="18" t="str">
        <f t="shared" si="41"/>
        <v>990.2 COFFERDAM STRUCTURE NO.             </v>
      </c>
      <c r="B2628" s="19">
        <v>990.2</v>
      </c>
      <c r="C2628" s="20" t="s">
        <v>3609</v>
      </c>
      <c r="D2628" s="20" t="s">
        <v>22</v>
      </c>
    </row>
    <row r="2629" spans="1:4">
      <c r="A2629" s="18" t="str">
        <f t="shared" si="41"/>
        <v>991.1 CONTROL OF WATER - STRUCTURE NO.             </v>
      </c>
      <c r="B2629" s="19">
        <v>991.1</v>
      </c>
      <c r="C2629" s="20" t="s">
        <v>3610</v>
      </c>
      <c r="D2629" s="20" t="s">
        <v>22</v>
      </c>
    </row>
    <row r="2630" spans="1:4" s="26" customFormat="1">
      <c r="A2630" s="18" t="str">
        <f t="shared" si="41"/>
        <v>991.2 CONTROL OF WATER - STRUCTURE NO.             </v>
      </c>
      <c r="B2630" s="21">
        <v>991.2</v>
      </c>
      <c r="C2630" s="22" t="s">
        <v>3610</v>
      </c>
      <c r="D2630" s="22" t="s">
        <v>22</v>
      </c>
    </row>
    <row r="2631" spans="1:4">
      <c r="A2631" s="18" t="str">
        <f t="shared" si="41"/>
        <v>992.1 ALTERATION TO BRIDGE STRUCTURE NO.             </v>
      </c>
      <c r="B2631" s="19">
        <v>992.1</v>
      </c>
      <c r="C2631" s="20" t="s">
        <v>3611</v>
      </c>
      <c r="D2631" s="20" t="s">
        <v>22</v>
      </c>
    </row>
    <row r="2632" spans="1:4" s="26" customFormat="1">
      <c r="A2632" s="18" t="str">
        <f t="shared" si="41"/>
        <v>992.2 ALTERATION TO BRIDGE STRUCTURE NO.             </v>
      </c>
      <c r="B2632" s="19">
        <v>992.2</v>
      </c>
      <c r="C2632" s="20" t="s">
        <v>3611</v>
      </c>
      <c r="D2632" s="20" t="s">
        <v>22</v>
      </c>
    </row>
    <row r="2633" spans="1:4">
      <c r="A2633" s="18" t="str">
        <f t="shared" si="41"/>
        <v>992.3 TEMPORARY SUPPORTS FOR BRIDGE STRUCTURE</v>
      </c>
      <c r="B2633" s="21">
        <v>992.3</v>
      </c>
      <c r="C2633" s="22" t="s">
        <v>1434</v>
      </c>
      <c r="D2633" s="22" t="s">
        <v>22</v>
      </c>
    </row>
    <row r="2634" spans="1:4" s="26" customFormat="1">
      <c r="A2634" s="18" t="str">
        <f t="shared" si="41"/>
        <v>992.31 TEMPORARY SUPPORTS FOR WATER PIPE</v>
      </c>
      <c r="B2634" s="21">
        <v>992.31</v>
      </c>
      <c r="C2634" s="22" t="s">
        <v>3612</v>
      </c>
      <c r="D2634" s="22" t="s">
        <v>22</v>
      </c>
    </row>
    <row r="2635" spans="1:4">
      <c r="A2635" s="18" t="str">
        <f t="shared" si="41"/>
        <v>992.32 TEMPORARY SUPPORTS FOR PIPING</v>
      </c>
      <c r="B2635" s="21">
        <v>992.32</v>
      </c>
      <c r="C2635" s="22" t="s">
        <v>680</v>
      </c>
      <c r="D2635" s="22" t="s">
        <v>22</v>
      </c>
    </row>
    <row r="2636" spans="1:4" s="26" customFormat="1">
      <c r="A2636" s="18" t="str">
        <f t="shared" si="41"/>
        <v>993.1 TEMPORARY BRIDGE NO.             </v>
      </c>
      <c r="B2636" s="19">
        <v>993.1</v>
      </c>
      <c r="C2636" s="20" t="s">
        <v>3613</v>
      </c>
      <c r="D2636" s="20" t="s">
        <v>22</v>
      </c>
    </row>
    <row r="2637" spans="1:4">
      <c r="A2637" s="18" t="str">
        <f t="shared" si="41"/>
        <v>993.11 TEMPORARY BRIDGE NO.              REMOVED AND STACKED</v>
      </c>
      <c r="B2637" s="19">
        <v>993.11</v>
      </c>
      <c r="C2637" s="20" t="s">
        <v>3614</v>
      </c>
      <c r="D2637" s="20" t="s">
        <v>22</v>
      </c>
    </row>
    <row r="2638" spans="1:4" s="26" customFormat="1">
      <c r="A2638" s="18" t="str">
        <f t="shared" si="41"/>
        <v>994.01 TEMPORARY PROTECTIVE SHIELDING  BRIDGE NO.                               </v>
      </c>
      <c r="B2638" s="21">
        <v>994.01</v>
      </c>
      <c r="C2638" s="22" t="s">
        <v>3615</v>
      </c>
      <c r="D2638" s="22" t="s">
        <v>22</v>
      </c>
    </row>
    <row r="2639" spans="1:4">
      <c r="A2639" s="18" t="str">
        <f t="shared" si="41"/>
        <v>994.1 TEMPORARY PROTECTIVE SHIELDING</v>
      </c>
      <c r="B2639" s="19">
        <v>994.1</v>
      </c>
      <c r="C2639" s="20" t="s">
        <v>683</v>
      </c>
      <c r="D2639" s="20" t="s">
        <v>3</v>
      </c>
    </row>
    <row r="2640" spans="1:4" s="26" customFormat="1">
      <c r="A2640" s="18" t="str">
        <f t="shared" si="41"/>
        <v>994.11 TEMPORARY PROTECTIVE SHIELDING</v>
      </c>
      <c r="B2640" s="19">
        <v>994.11</v>
      </c>
      <c r="C2640" s="20" t="s">
        <v>683</v>
      </c>
      <c r="D2640" s="20" t="s">
        <v>17</v>
      </c>
    </row>
    <row r="2641" spans="1:4">
      <c r="A2641" s="18" t="str">
        <f t="shared" si="41"/>
        <v>994.2 INSTALL PROTECTIVE SHIELDING</v>
      </c>
      <c r="B2641" s="21">
        <v>994.2</v>
      </c>
      <c r="C2641" s="22" t="s">
        <v>3616</v>
      </c>
      <c r="D2641" s="22" t="s">
        <v>3</v>
      </c>
    </row>
    <row r="2642" spans="1:4" s="26" customFormat="1">
      <c r="A2642" s="18" t="str">
        <f t="shared" si="41"/>
        <v>994.3 REMOVE PROTECTIVE SHIELDING</v>
      </c>
      <c r="B2642" s="21">
        <v>994.3</v>
      </c>
      <c r="C2642" s="22" t="s">
        <v>3617</v>
      </c>
      <c r="D2642" s="22" t="s">
        <v>3</v>
      </c>
    </row>
    <row r="2643" spans="1:4">
      <c r="A2643" s="18" t="str">
        <f t="shared" si="41"/>
        <v>995 BRIDGE SUPERSTRUCTURE, BRIDGE NO.              </v>
      </c>
      <c r="B2643" s="19">
        <v>995</v>
      </c>
      <c r="C2643" s="20" t="s">
        <v>3618</v>
      </c>
      <c r="D2643" s="20" t="s">
        <v>22</v>
      </c>
    </row>
    <row r="2644" spans="1:4" s="26" customFormat="1">
      <c r="A2644" s="18" t="str">
        <f t="shared" si="41"/>
        <v>995.01 BRIDGE STRUCTURE, BRIDGE NO.             </v>
      </c>
      <c r="B2644" s="21">
        <v>995.01</v>
      </c>
      <c r="C2644" s="22" t="s">
        <v>3619</v>
      </c>
      <c r="D2644" s="22" t="s">
        <v>22</v>
      </c>
    </row>
    <row r="2645" spans="1:4">
      <c r="A2645" s="18" t="str">
        <f t="shared" si="41"/>
        <v>995.011 CULVERT STRUCTURE, CULVERT NO.               </v>
      </c>
      <c r="B2645" s="19">
        <v>995.01099999999997</v>
      </c>
      <c r="C2645" s="20" t="s">
        <v>3620</v>
      </c>
      <c r="D2645" s="20" t="s">
        <v>22</v>
      </c>
    </row>
    <row r="2646" spans="1:4" s="26" customFormat="1">
      <c r="A2646" s="18" t="str">
        <f t="shared" si="41"/>
        <v>995.02 BRIDGE STRUCTURE, BRIDGE NO.               </v>
      </c>
      <c r="B2646" s="19">
        <v>995.02</v>
      </c>
      <c r="C2646" s="20" t="s">
        <v>3621</v>
      </c>
      <c r="D2646" s="20" t="s">
        <v>22</v>
      </c>
    </row>
    <row r="2647" spans="1:4">
      <c r="A2647" s="18" t="str">
        <f t="shared" si="41"/>
        <v>995.021 CULVERT STRUCTURE, CULVERT NO.             </v>
      </c>
      <c r="B2647" s="21">
        <v>995.02099999999996</v>
      </c>
      <c r="C2647" s="22" t="s">
        <v>3622</v>
      </c>
      <c r="D2647" s="22" t="s">
        <v>22</v>
      </c>
    </row>
    <row r="2648" spans="1:4" s="26" customFormat="1">
      <c r="A2648" s="18" t="str">
        <f t="shared" si="41"/>
        <v>995.03 BRIDGE STRUCTURE, BRIDGE NO.               </v>
      </c>
      <c r="B2648" s="21">
        <v>995.03</v>
      </c>
      <c r="C2648" s="22" t="s">
        <v>3621</v>
      </c>
      <c r="D2648" s="22" t="s">
        <v>22</v>
      </c>
    </row>
    <row r="2649" spans="1:4">
      <c r="A2649" s="18" t="str">
        <f t="shared" si="41"/>
        <v>996.01 WALL STRUCTURE, WALL NO.                                 </v>
      </c>
      <c r="B2649" s="21">
        <v>996.01</v>
      </c>
      <c r="C2649" s="22" t="s">
        <v>3623</v>
      </c>
      <c r="D2649" s="22" t="s">
        <v>22</v>
      </c>
    </row>
    <row r="2650" spans="1:4" s="26" customFormat="1">
      <c r="A2650" s="18" t="str">
        <f t="shared" si="41"/>
        <v>996.02 WALL STRUCTURE, WALL NO.                                 </v>
      </c>
      <c r="B2650" s="19">
        <v>996.02</v>
      </c>
      <c r="C2650" s="20" t="s">
        <v>3623</v>
      </c>
      <c r="D2650" s="20" t="s">
        <v>22</v>
      </c>
    </row>
    <row r="2651" spans="1:4">
      <c r="A2651" s="18" t="str">
        <f t="shared" si="41"/>
        <v>996.1 NOISE BARRIER STRUCTURE</v>
      </c>
      <c r="B2651" s="19">
        <v>996.1</v>
      </c>
      <c r="C2651" s="20" t="s">
        <v>3624</v>
      </c>
      <c r="D2651" s="20" t="s">
        <v>3</v>
      </c>
    </row>
    <row r="2652" spans="1:4" s="26" customFormat="1">
      <c r="A2652" s="18" t="str">
        <f t="shared" si="41"/>
        <v>996.11 NOISE BARRIER FOUNDATION</v>
      </c>
      <c r="B2652" s="21">
        <v>996.11</v>
      </c>
      <c r="C2652" s="22" t="s">
        <v>3625</v>
      </c>
      <c r="D2652" s="22" t="s">
        <v>17</v>
      </c>
    </row>
    <row r="2653" spans="1:4">
      <c r="A2653" s="18" t="str">
        <f t="shared" si="41"/>
        <v>996.2 WEEP HOLE FOR NOISE BARRIER STRUCTURE</v>
      </c>
      <c r="B2653" s="21">
        <v>996.2</v>
      </c>
      <c r="C2653" s="22" t="s">
        <v>3626</v>
      </c>
      <c r="D2653" s="22" t="s">
        <v>2</v>
      </c>
    </row>
    <row r="2654" spans="1:4" s="26" customFormat="1">
      <c r="A2654" s="18" t="str">
        <f t="shared" si="41"/>
        <v>996.31 MECHANICALLY STABILIZED EARTH WALL</v>
      </c>
      <c r="B2654" s="19">
        <v>996.31</v>
      </c>
      <c r="C2654" s="20" t="s">
        <v>3627</v>
      </c>
      <c r="D2654" s="20" t="s">
        <v>1</v>
      </c>
    </row>
    <row r="2655" spans="1:4">
      <c r="A2655" s="18" t="str">
        <f t="shared" si="41"/>
        <v>996.32 MECHANICALLY STABILIZED EARTH WALL</v>
      </c>
      <c r="B2655" s="19">
        <v>996.32</v>
      </c>
      <c r="C2655" s="20" t="s">
        <v>3627</v>
      </c>
      <c r="D2655" s="20" t="s">
        <v>22</v>
      </c>
    </row>
  </sheetData>
  <sheetProtection algorithmName="SHA-512" hashValue="HyfkfGYA7AUzKWN+vL5FOH8QtnVMPwNYIXT4FO1ygeIYVyKyP4xwf3Jtdc0dchfeH2AQpZpAE9L0z5aePbNgWw==" saltValue="NRwQKEQsxVN+HXB5fJ+FHw==" spinCount="100000" sheet="1" objects="1" scenarios="1"/>
  <autoFilter ref="B1:D1" xr:uid="{FA44DB5C-51B6-4687-8ADE-3C26174C2212}"/>
  <pageMargins left="0.75" right="0.75" top="1" bottom="1" header="0.5" footer="0.5"/>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731C0-7059-4BC4-BABE-888419055533}">
  <sheetPr codeName="Sheet8">
    <tabColor rgb="FF7030A0"/>
  </sheetPr>
  <dimension ref="A1:O3684"/>
  <sheetViews>
    <sheetView workbookViewId="0">
      <selection activeCell="E10" sqref="E10"/>
    </sheetView>
  </sheetViews>
  <sheetFormatPr defaultColWidth="9.140625" defaultRowHeight="15"/>
  <cols>
    <col min="1" max="1" width="12.85546875" style="18" customWidth="1"/>
    <col min="2" max="2" width="9.28515625" style="18" customWidth="1"/>
    <col min="3" max="3" width="70" style="18" customWidth="1"/>
    <col min="4" max="4" width="8.140625" style="18" customWidth="1"/>
    <col min="5" max="5" width="14.140625" style="18" customWidth="1"/>
    <col min="6" max="6" width="15.28515625" style="18" customWidth="1"/>
    <col min="7" max="7" width="16" style="18" customWidth="1"/>
    <col min="8" max="8" width="14.28515625" style="18" customWidth="1"/>
    <col min="9" max="12" width="9.140625" style="18"/>
    <col min="13" max="13" width="9.7109375" style="18" bestFit="1" customWidth="1"/>
    <col min="14" max="16384" width="9.140625" style="18"/>
  </cols>
  <sheetData>
    <row r="1" spans="1:15" ht="18.75">
      <c r="A1" s="682" t="s">
        <v>76</v>
      </c>
      <c r="B1" s="683" t="s">
        <v>77</v>
      </c>
      <c r="C1" s="684" t="s">
        <v>21</v>
      </c>
      <c r="D1" s="683" t="s">
        <v>57</v>
      </c>
      <c r="E1" s="683" t="s">
        <v>0</v>
      </c>
      <c r="F1" s="683" t="s">
        <v>78</v>
      </c>
      <c r="G1" s="683" t="s">
        <v>79</v>
      </c>
      <c r="H1" s="685" t="s">
        <v>80</v>
      </c>
      <c r="J1" s="1029" t="s">
        <v>3964</v>
      </c>
      <c r="K1" s="1029"/>
      <c r="L1" s="1029"/>
      <c r="M1" s="1028">
        <v>45455</v>
      </c>
      <c r="O1" s="1027" t="s">
        <v>3963</v>
      </c>
    </row>
    <row r="2" spans="1:15">
      <c r="A2" s="943">
        <v>2</v>
      </c>
      <c r="B2" s="944">
        <v>156.1</v>
      </c>
      <c r="C2" s="944" t="s">
        <v>137</v>
      </c>
      <c r="D2" s="943" t="s">
        <v>7</v>
      </c>
      <c r="E2" s="945">
        <v>180</v>
      </c>
      <c r="F2" s="945">
        <v>1</v>
      </c>
      <c r="G2" s="946">
        <v>77.5</v>
      </c>
      <c r="H2" s="946">
        <v>83</v>
      </c>
    </row>
    <row r="3" spans="1:15" s="26" customFormat="1">
      <c r="A3" s="947">
        <v>2</v>
      </c>
      <c r="B3" s="948">
        <v>156.19999999999999</v>
      </c>
      <c r="C3" s="948" t="s">
        <v>2034</v>
      </c>
      <c r="D3" s="947" t="s">
        <v>7</v>
      </c>
      <c r="E3" s="950">
        <v>784</v>
      </c>
      <c r="F3" s="950">
        <v>1</v>
      </c>
      <c r="G3" s="951">
        <v>75</v>
      </c>
      <c r="H3" s="951">
        <v>77.930000000000007</v>
      </c>
      <c r="I3" s="18"/>
    </row>
    <row r="4" spans="1:15">
      <c r="A4" s="943">
        <v>2</v>
      </c>
      <c r="B4" s="944">
        <v>170</v>
      </c>
      <c r="C4" s="944" t="s">
        <v>1287</v>
      </c>
      <c r="D4" s="943" t="s">
        <v>1</v>
      </c>
      <c r="E4" s="952">
        <v>325040</v>
      </c>
      <c r="F4" s="945">
        <v>10</v>
      </c>
      <c r="G4" s="946">
        <v>7.5</v>
      </c>
      <c r="H4" s="946">
        <v>6.77</v>
      </c>
    </row>
    <row r="5" spans="1:15" s="26" customFormat="1">
      <c r="A5" s="947">
        <v>2</v>
      </c>
      <c r="B5" s="948">
        <v>180.01</v>
      </c>
      <c r="C5" s="948" t="s">
        <v>1288</v>
      </c>
      <c r="D5" s="947" t="s">
        <v>22</v>
      </c>
      <c r="E5" s="950">
        <v>19</v>
      </c>
      <c r="F5" s="950">
        <v>6</v>
      </c>
      <c r="G5" s="951">
        <v>6000</v>
      </c>
      <c r="H5" s="951">
        <v>5621.58</v>
      </c>
      <c r="I5" s="18"/>
    </row>
    <row r="6" spans="1:15">
      <c r="A6" s="943">
        <v>2</v>
      </c>
      <c r="B6" s="944">
        <v>180.02</v>
      </c>
      <c r="C6" s="944" t="s">
        <v>1289</v>
      </c>
      <c r="D6" s="943" t="s">
        <v>24</v>
      </c>
      <c r="E6" s="945">
        <v>298</v>
      </c>
      <c r="F6" s="945">
        <v>5</v>
      </c>
      <c r="G6" s="946">
        <v>19</v>
      </c>
      <c r="H6" s="946">
        <v>14.22</v>
      </c>
    </row>
    <row r="7" spans="1:15" s="26" customFormat="1">
      <c r="A7" s="947">
        <v>2</v>
      </c>
      <c r="B7" s="948">
        <v>180.03</v>
      </c>
      <c r="C7" s="948" t="s">
        <v>1290</v>
      </c>
      <c r="D7" s="947" t="s">
        <v>24</v>
      </c>
      <c r="E7" s="950">
        <v>740</v>
      </c>
      <c r="F7" s="950">
        <v>8</v>
      </c>
      <c r="G7" s="951">
        <v>146</v>
      </c>
      <c r="H7" s="951">
        <v>151.21</v>
      </c>
      <c r="I7" s="18"/>
    </row>
    <row r="8" spans="1:15">
      <c r="A8" s="943">
        <v>2</v>
      </c>
      <c r="B8" s="944">
        <v>181.11</v>
      </c>
      <c r="C8" s="944" t="s">
        <v>58</v>
      </c>
      <c r="D8" s="943" t="s">
        <v>7</v>
      </c>
      <c r="E8" s="953">
        <v>85545.5</v>
      </c>
      <c r="F8" s="945">
        <v>7</v>
      </c>
      <c r="G8" s="946">
        <v>78.5</v>
      </c>
      <c r="H8" s="946">
        <v>81.67</v>
      </c>
    </row>
    <row r="9" spans="1:15" s="26" customFormat="1">
      <c r="A9" s="947">
        <v>2</v>
      </c>
      <c r="B9" s="948">
        <v>181.12</v>
      </c>
      <c r="C9" s="948" t="s">
        <v>141</v>
      </c>
      <c r="D9" s="947" t="s">
        <v>7</v>
      </c>
      <c r="E9" s="954">
        <v>3770.5</v>
      </c>
      <c r="F9" s="950">
        <v>7</v>
      </c>
      <c r="G9" s="951">
        <v>147</v>
      </c>
      <c r="H9" s="951">
        <v>127.29</v>
      </c>
      <c r="I9" s="18"/>
    </row>
    <row r="10" spans="1:15">
      <c r="A10" s="943">
        <v>2</v>
      </c>
      <c r="B10" s="944">
        <v>181.13</v>
      </c>
      <c r="C10" s="944" t="s">
        <v>142</v>
      </c>
      <c r="D10" s="943" t="s">
        <v>7</v>
      </c>
      <c r="E10" s="945">
        <v>662.5</v>
      </c>
      <c r="F10" s="945">
        <v>8</v>
      </c>
      <c r="G10" s="946">
        <v>300</v>
      </c>
      <c r="H10" s="946">
        <v>281.02999999999997</v>
      </c>
    </row>
    <row r="11" spans="1:15" s="26" customFormat="1">
      <c r="A11" s="947">
        <v>2</v>
      </c>
      <c r="B11" s="948">
        <v>181.14</v>
      </c>
      <c r="C11" s="948" t="s">
        <v>59</v>
      </c>
      <c r="D11" s="947" t="s">
        <v>7</v>
      </c>
      <c r="E11" s="950">
        <v>645</v>
      </c>
      <c r="F11" s="950">
        <v>7</v>
      </c>
      <c r="G11" s="951">
        <v>763.37</v>
      </c>
      <c r="H11" s="951">
        <v>678.76</v>
      </c>
      <c r="I11" s="18"/>
    </row>
    <row r="12" spans="1:15">
      <c r="A12" s="943">
        <v>2</v>
      </c>
      <c r="B12" s="944">
        <v>182.1</v>
      </c>
      <c r="C12" s="944" t="s">
        <v>143</v>
      </c>
      <c r="D12" s="943" t="s">
        <v>22</v>
      </c>
      <c r="E12" s="945">
        <v>3</v>
      </c>
      <c r="F12" s="945">
        <v>1</v>
      </c>
      <c r="G12" s="946">
        <v>4000</v>
      </c>
      <c r="H12" s="946">
        <v>4000</v>
      </c>
    </row>
    <row r="13" spans="1:15" s="26" customFormat="1">
      <c r="A13" s="947">
        <v>2</v>
      </c>
      <c r="B13" s="948">
        <v>182.2</v>
      </c>
      <c r="C13" s="948" t="s">
        <v>144</v>
      </c>
      <c r="D13" s="947" t="s">
        <v>17</v>
      </c>
      <c r="E13" s="950">
        <v>300</v>
      </c>
      <c r="F13" s="950">
        <v>1</v>
      </c>
      <c r="G13" s="951">
        <v>250</v>
      </c>
      <c r="H13" s="951">
        <v>241.33</v>
      </c>
      <c r="I13" s="18"/>
    </row>
    <row r="14" spans="1:15">
      <c r="A14" s="943">
        <v>2</v>
      </c>
      <c r="B14" s="944">
        <v>184.1</v>
      </c>
      <c r="C14" s="944" t="s">
        <v>148</v>
      </c>
      <c r="D14" s="943" t="s">
        <v>7</v>
      </c>
      <c r="E14" s="945">
        <v>16.100000000000001</v>
      </c>
      <c r="F14" s="945">
        <v>4</v>
      </c>
      <c r="G14" s="946">
        <v>1150</v>
      </c>
      <c r="H14" s="946">
        <v>934</v>
      </c>
    </row>
    <row r="15" spans="1:15" s="26" customFormat="1">
      <c r="A15" s="947">
        <v>2</v>
      </c>
      <c r="B15" s="948">
        <v>191.1</v>
      </c>
      <c r="C15" s="948" t="s">
        <v>152</v>
      </c>
      <c r="D15" s="947" t="s">
        <v>17</v>
      </c>
      <c r="E15" s="950">
        <v>60</v>
      </c>
      <c r="F15" s="950">
        <v>1</v>
      </c>
      <c r="G15" s="951">
        <v>137.5</v>
      </c>
      <c r="H15" s="951">
        <v>137.5</v>
      </c>
      <c r="I15" s="18"/>
    </row>
    <row r="16" spans="1:15">
      <c r="A16" s="943">
        <v>2</v>
      </c>
      <c r="B16" s="944">
        <v>201</v>
      </c>
      <c r="C16" s="944" t="s">
        <v>155</v>
      </c>
      <c r="D16" s="943" t="s">
        <v>2</v>
      </c>
      <c r="E16" s="945">
        <v>732</v>
      </c>
      <c r="F16" s="945">
        <v>8</v>
      </c>
      <c r="G16" s="946">
        <v>5000</v>
      </c>
      <c r="H16" s="946">
        <v>5083.62</v>
      </c>
    </row>
    <row r="17" spans="1:9" s="26" customFormat="1">
      <c r="A17" s="947">
        <v>2</v>
      </c>
      <c r="B17" s="948">
        <v>202</v>
      </c>
      <c r="C17" s="948" t="s">
        <v>157</v>
      </c>
      <c r="D17" s="947" t="s">
        <v>2</v>
      </c>
      <c r="E17" s="950">
        <v>512</v>
      </c>
      <c r="F17" s="950">
        <v>6</v>
      </c>
      <c r="G17" s="951">
        <v>5700</v>
      </c>
      <c r="H17" s="951">
        <v>5677.08</v>
      </c>
      <c r="I17" s="18"/>
    </row>
    <row r="18" spans="1:9">
      <c r="A18" s="943">
        <v>2</v>
      </c>
      <c r="B18" s="944">
        <v>203</v>
      </c>
      <c r="C18" s="944" t="s">
        <v>159</v>
      </c>
      <c r="D18" s="943" t="s">
        <v>2</v>
      </c>
      <c r="E18" s="945">
        <v>9</v>
      </c>
      <c r="F18" s="945">
        <v>2</v>
      </c>
      <c r="G18" s="946">
        <v>10000</v>
      </c>
      <c r="H18" s="946">
        <v>9277.7800000000007</v>
      </c>
    </row>
    <row r="19" spans="1:9" s="26" customFormat="1">
      <c r="A19" s="947">
        <v>2</v>
      </c>
      <c r="B19" s="948">
        <v>204</v>
      </c>
      <c r="C19" s="948" t="s">
        <v>160</v>
      </c>
      <c r="D19" s="947" t="s">
        <v>2</v>
      </c>
      <c r="E19" s="950">
        <v>24</v>
      </c>
      <c r="F19" s="950">
        <v>1</v>
      </c>
      <c r="G19" s="951">
        <v>3000</v>
      </c>
      <c r="H19" s="951">
        <v>2825</v>
      </c>
      <c r="I19" s="18"/>
    </row>
    <row r="20" spans="1:9">
      <c r="A20" s="943">
        <v>2</v>
      </c>
      <c r="B20" s="944">
        <v>204.11</v>
      </c>
      <c r="C20" s="944" t="s">
        <v>1294</v>
      </c>
      <c r="D20" s="943" t="s">
        <v>2</v>
      </c>
      <c r="E20" s="945">
        <v>100</v>
      </c>
      <c r="F20" s="945">
        <v>1</v>
      </c>
      <c r="G20" s="946">
        <v>6250</v>
      </c>
      <c r="H20" s="946">
        <v>6250</v>
      </c>
    </row>
    <row r="21" spans="1:9" s="26" customFormat="1">
      <c r="A21" s="947">
        <v>2</v>
      </c>
      <c r="B21" s="948">
        <v>206.1</v>
      </c>
      <c r="C21" s="948" t="s">
        <v>163</v>
      </c>
      <c r="D21" s="947" t="s">
        <v>2</v>
      </c>
      <c r="E21" s="950">
        <v>63</v>
      </c>
      <c r="F21" s="950">
        <v>4</v>
      </c>
      <c r="G21" s="951">
        <v>6500</v>
      </c>
      <c r="H21" s="951">
        <v>6479.76</v>
      </c>
      <c r="I21" s="18"/>
    </row>
    <row r="22" spans="1:9">
      <c r="A22" s="943">
        <v>2</v>
      </c>
      <c r="B22" s="944">
        <v>207.1</v>
      </c>
      <c r="C22" s="944" t="s">
        <v>165</v>
      </c>
      <c r="D22" s="943" t="s">
        <v>2</v>
      </c>
      <c r="E22" s="945">
        <v>26</v>
      </c>
      <c r="F22" s="945">
        <v>2</v>
      </c>
      <c r="G22" s="946">
        <v>6000</v>
      </c>
      <c r="H22" s="946">
        <v>6689.29</v>
      </c>
    </row>
    <row r="23" spans="1:9" s="26" customFormat="1">
      <c r="A23" s="947">
        <v>2</v>
      </c>
      <c r="B23" s="948">
        <v>209.1</v>
      </c>
      <c r="C23" s="948" t="s">
        <v>166</v>
      </c>
      <c r="D23" s="947" t="s">
        <v>2</v>
      </c>
      <c r="E23" s="950">
        <v>26</v>
      </c>
      <c r="F23" s="950">
        <v>2</v>
      </c>
      <c r="G23" s="951">
        <v>6025</v>
      </c>
      <c r="H23" s="951">
        <v>6106.25</v>
      </c>
      <c r="I23" s="18"/>
    </row>
    <row r="24" spans="1:9">
      <c r="A24" s="943">
        <v>2</v>
      </c>
      <c r="B24" s="944">
        <v>209.3</v>
      </c>
      <c r="C24" s="944" t="s">
        <v>168</v>
      </c>
      <c r="D24" s="943" t="s">
        <v>2</v>
      </c>
      <c r="E24" s="945">
        <v>81</v>
      </c>
      <c r="F24" s="945">
        <v>2</v>
      </c>
      <c r="G24" s="946">
        <v>2250</v>
      </c>
      <c r="H24" s="946">
        <v>2358.33</v>
      </c>
    </row>
    <row r="25" spans="1:9" s="26" customFormat="1">
      <c r="A25" s="947">
        <v>2</v>
      </c>
      <c r="B25" s="948">
        <v>210.1</v>
      </c>
      <c r="C25" s="948" t="s">
        <v>171</v>
      </c>
      <c r="D25" s="947" t="s">
        <v>2</v>
      </c>
      <c r="E25" s="950">
        <v>4</v>
      </c>
      <c r="F25" s="950">
        <v>1</v>
      </c>
      <c r="G25" s="951">
        <v>8500</v>
      </c>
      <c r="H25" s="951">
        <v>8500</v>
      </c>
      <c r="I25" s="18"/>
    </row>
    <row r="26" spans="1:9">
      <c r="A26" s="943">
        <v>2</v>
      </c>
      <c r="B26" s="944">
        <v>211</v>
      </c>
      <c r="C26" s="944" t="s">
        <v>1299</v>
      </c>
      <c r="D26" s="943" t="s">
        <v>2</v>
      </c>
      <c r="E26" s="945">
        <v>4</v>
      </c>
      <c r="F26" s="945">
        <v>1</v>
      </c>
      <c r="G26" s="946">
        <v>11500</v>
      </c>
      <c r="H26" s="946">
        <v>11500</v>
      </c>
    </row>
    <row r="27" spans="1:9" s="26" customFormat="1">
      <c r="A27" s="947">
        <v>2</v>
      </c>
      <c r="B27" s="948">
        <v>220</v>
      </c>
      <c r="C27" s="948" t="s">
        <v>172</v>
      </c>
      <c r="D27" s="947" t="s">
        <v>2</v>
      </c>
      <c r="E27" s="949">
        <v>2515</v>
      </c>
      <c r="F27" s="950">
        <v>14</v>
      </c>
      <c r="G27" s="951">
        <v>600</v>
      </c>
      <c r="H27" s="951">
        <v>576.66</v>
      </c>
      <c r="I27" s="18"/>
    </row>
    <row r="28" spans="1:9">
      <c r="A28" s="943">
        <v>2</v>
      </c>
      <c r="B28" s="944">
        <v>220.2</v>
      </c>
      <c r="C28" s="944" t="s">
        <v>173</v>
      </c>
      <c r="D28" s="943" t="s">
        <v>17</v>
      </c>
      <c r="E28" s="952">
        <v>3361</v>
      </c>
      <c r="F28" s="945">
        <v>9</v>
      </c>
      <c r="G28" s="946">
        <v>550</v>
      </c>
      <c r="H28" s="946">
        <v>543.79</v>
      </c>
    </row>
    <row r="29" spans="1:9" s="26" customFormat="1">
      <c r="A29" s="947">
        <v>2</v>
      </c>
      <c r="B29" s="948">
        <v>220.3</v>
      </c>
      <c r="C29" s="948" t="s">
        <v>174</v>
      </c>
      <c r="D29" s="947" t="s">
        <v>2</v>
      </c>
      <c r="E29" s="950">
        <v>232</v>
      </c>
      <c r="F29" s="950">
        <v>5</v>
      </c>
      <c r="G29" s="951">
        <v>1200</v>
      </c>
      <c r="H29" s="951">
        <v>1242.1099999999999</v>
      </c>
      <c r="I29" s="18"/>
    </row>
    <row r="30" spans="1:9">
      <c r="A30" s="943">
        <v>2</v>
      </c>
      <c r="B30" s="944">
        <v>220.5</v>
      </c>
      <c r="C30" s="944" t="s">
        <v>175</v>
      </c>
      <c r="D30" s="943" t="s">
        <v>2</v>
      </c>
      <c r="E30" s="945">
        <v>83</v>
      </c>
      <c r="F30" s="945">
        <v>3</v>
      </c>
      <c r="G30" s="946">
        <v>1000</v>
      </c>
      <c r="H30" s="946">
        <v>874.55</v>
      </c>
    </row>
    <row r="31" spans="1:9" s="26" customFormat="1">
      <c r="A31" s="947">
        <v>2</v>
      </c>
      <c r="B31" s="948">
        <v>220.6</v>
      </c>
      <c r="C31" s="948" t="s">
        <v>176</v>
      </c>
      <c r="D31" s="947" t="s">
        <v>17</v>
      </c>
      <c r="E31" s="950">
        <v>82</v>
      </c>
      <c r="F31" s="950">
        <v>3</v>
      </c>
      <c r="G31" s="951">
        <v>650</v>
      </c>
      <c r="H31" s="951">
        <v>618.33000000000004</v>
      </c>
      <c r="I31" s="18"/>
    </row>
    <row r="32" spans="1:9">
      <c r="A32" s="943">
        <v>2</v>
      </c>
      <c r="B32" s="944">
        <v>220.7</v>
      </c>
      <c r="C32" s="944" t="s">
        <v>177</v>
      </c>
      <c r="D32" s="943" t="s">
        <v>2</v>
      </c>
      <c r="E32" s="945">
        <v>219</v>
      </c>
      <c r="F32" s="945">
        <v>6</v>
      </c>
      <c r="G32" s="946">
        <v>600</v>
      </c>
      <c r="H32" s="946">
        <v>571.39</v>
      </c>
    </row>
    <row r="33" spans="1:9" s="26" customFormat="1">
      <c r="A33" s="947">
        <v>2</v>
      </c>
      <c r="B33" s="948">
        <v>220.8</v>
      </c>
      <c r="C33" s="948" t="s">
        <v>178</v>
      </c>
      <c r="D33" s="947" t="s">
        <v>2</v>
      </c>
      <c r="E33" s="950">
        <v>18</v>
      </c>
      <c r="F33" s="950">
        <v>2</v>
      </c>
      <c r="G33" s="951">
        <v>1000</v>
      </c>
      <c r="H33" s="951">
        <v>1000</v>
      </c>
      <c r="I33" s="18"/>
    </row>
    <row r="34" spans="1:9">
      <c r="A34" s="943">
        <v>2</v>
      </c>
      <c r="B34" s="944">
        <v>221</v>
      </c>
      <c r="C34" s="944" t="s">
        <v>180</v>
      </c>
      <c r="D34" s="943" t="s">
        <v>2</v>
      </c>
      <c r="E34" s="945">
        <v>337</v>
      </c>
      <c r="F34" s="945">
        <v>7</v>
      </c>
      <c r="G34" s="946">
        <v>1200</v>
      </c>
      <c r="H34" s="946">
        <v>1175</v>
      </c>
    </row>
    <row r="35" spans="1:9" s="26" customFormat="1">
      <c r="A35" s="947">
        <v>2</v>
      </c>
      <c r="B35" s="948">
        <v>221.1</v>
      </c>
      <c r="C35" s="948" t="s">
        <v>1300</v>
      </c>
      <c r="D35" s="947" t="s">
        <v>2</v>
      </c>
      <c r="E35" s="950">
        <v>605</v>
      </c>
      <c r="F35" s="950">
        <v>5</v>
      </c>
      <c r="G35" s="951">
        <v>1300</v>
      </c>
      <c r="H35" s="951">
        <v>1237.33</v>
      </c>
      <c r="I35" s="18"/>
    </row>
    <row r="36" spans="1:9">
      <c r="A36" s="943">
        <v>2</v>
      </c>
      <c r="B36" s="944">
        <v>222</v>
      </c>
      <c r="C36" s="944" t="s">
        <v>181</v>
      </c>
      <c r="D36" s="943" t="s">
        <v>2</v>
      </c>
      <c r="E36" s="945">
        <v>372</v>
      </c>
      <c r="F36" s="945">
        <v>3</v>
      </c>
      <c r="G36" s="946">
        <v>1450</v>
      </c>
      <c r="H36" s="946">
        <v>1340.56</v>
      </c>
    </row>
    <row r="37" spans="1:9" s="26" customFormat="1">
      <c r="A37" s="947">
        <v>2</v>
      </c>
      <c r="B37" s="948">
        <v>222.1</v>
      </c>
      <c r="C37" s="948" t="s">
        <v>182</v>
      </c>
      <c r="D37" s="947" t="s">
        <v>2</v>
      </c>
      <c r="E37" s="949">
        <v>1063</v>
      </c>
      <c r="F37" s="950">
        <v>11</v>
      </c>
      <c r="G37" s="951">
        <v>1262.5</v>
      </c>
      <c r="H37" s="951">
        <v>1312.09</v>
      </c>
      <c r="I37" s="18"/>
    </row>
    <row r="38" spans="1:9">
      <c r="A38" s="943">
        <v>2</v>
      </c>
      <c r="B38" s="944">
        <v>222.2</v>
      </c>
      <c r="C38" s="944" t="s">
        <v>183</v>
      </c>
      <c r="D38" s="943" t="s">
        <v>2</v>
      </c>
      <c r="E38" s="945">
        <v>184</v>
      </c>
      <c r="F38" s="945">
        <v>7</v>
      </c>
      <c r="G38" s="946">
        <v>1200</v>
      </c>
      <c r="H38" s="946">
        <v>1138.32</v>
      </c>
    </row>
    <row r="39" spans="1:9" s="26" customFormat="1">
      <c r="A39" s="947">
        <v>2</v>
      </c>
      <c r="B39" s="948">
        <v>222.3</v>
      </c>
      <c r="C39" s="948" t="s">
        <v>29</v>
      </c>
      <c r="D39" s="947" t="s">
        <v>2</v>
      </c>
      <c r="E39" s="950">
        <v>56</v>
      </c>
      <c r="F39" s="950">
        <v>1</v>
      </c>
      <c r="G39" s="951">
        <v>1200</v>
      </c>
      <c r="H39" s="951">
        <v>1195</v>
      </c>
      <c r="I39" s="18"/>
    </row>
    <row r="40" spans="1:9">
      <c r="A40" s="943">
        <v>2</v>
      </c>
      <c r="B40" s="944">
        <v>222.4</v>
      </c>
      <c r="C40" s="944" t="s">
        <v>4031</v>
      </c>
      <c r="D40" s="943" t="s">
        <v>2</v>
      </c>
      <c r="E40" s="945">
        <v>6</v>
      </c>
      <c r="F40" s="945">
        <v>1</v>
      </c>
      <c r="G40" s="946">
        <v>2400</v>
      </c>
      <c r="H40" s="946">
        <v>2350</v>
      </c>
    </row>
    <row r="41" spans="1:9" s="26" customFormat="1">
      <c r="A41" s="947">
        <v>2</v>
      </c>
      <c r="B41" s="948">
        <v>223.1</v>
      </c>
      <c r="C41" s="948" t="s">
        <v>184</v>
      </c>
      <c r="D41" s="947" t="s">
        <v>2</v>
      </c>
      <c r="E41" s="950">
        <v>86</v>
      </c>
      <c r="F41" s="950">
        <v>3</v>
      </c>
      <c r="G41" s="951">
        <v>103</v>
      </c>
      <c r="H41" s="951">
        <v>110.1</v>
      </c>
      <c r="I41" s="18"/>
    </row>
    <row r="42" spans="1:9">
      <c r="A42" s="943">
        <v>2</v>
      </c>
      <c r="B42" s="944">
        <v>223.2</v>
      </c>
      <c r="C42" s="944" t="s">
        <v>185</v>
      </c>
      <c r="D42" s="943" t="s">
        <v>2</v>
      </c>
      <c r="E42" s="945">
        <v>274</v>
      </c>
      <c r="F42" s="945">
        <v>8</v>
      </c>
      <c r="G42" s="946">
        <v>200</v>
      </c>
      <c r="H42" s="946">
        <v>244.79</v>
      </c>
    </row>
    <row r="43" spans="1:9" s="26" customFormat="1">
      <c r="A43" s="947">
        <v>2</v>
      </c>
      <c r="B43" s="948">
        <v>224.12</v>
      </c>
      <c r="C43" s="948" t="s">
        <v>187</v>
      </c>
      <c r="D43" s="947" t="s">
        <v>2</v>
      </c>
      <c r="E43" s="950">
        <v>102</v>
      </c>
      <c r="F43" s="950">
        <v>3</v>
      </c>
      <c r="G43" s="951">
        <v>550</v>
      </c>
      <c r="H43" s="951">
        <v>537.5</v>
      </c>
      <c r="I43" s="18"/>
    </row>
    <row r="44" spans="1:9">
      <c r="A44" s="943">
        <v>2</v>
      </c>
      <c r="B44" s="944">
        <v>224.18</v>
      </c>
      <c r="C44" s="944" t="s">
        <v>188</v>
      </c>
      <c r="D44" s="943" t="s">
        <v>2</v>
      </c>
      <c r="E44" s="945">
        <v>4</v>
      </c>
      <c r="F44" s="945">
        <v>1</v>
      </c>
      <c r="G44" s="946">
        <v>937.5</v>
      </c>
      <c r="H44" s="946">
        <v>898.75</v>
      </c>
    </row>
    <row r="45" spans="1:9" s="26" customFormat="1">
      <c r="A45" s="947">
        <v>2</v>
      </c>
      <c r="B45" s="948">
        <v>227.3</v>
      </c>
      <c r="C45" s="948" t="s">
        <v>189</v>
      </c>
      <c r="D45" s="947" t="s">
        <v>4</v>
      </c>
      <c r="E45" s="949">
        <v>1340</v>
      </c>
      <c r="F45" s="950">
        <v>13</v>
      </c>
      <c r="G45" s="951">
        <v>400</v>
      </c>
      <c r="H45" s="951">
        <v>387.14</v>
      </c>
      <c r="I45" s="18"/>
    </row>
    <row r="46" spans="1:9">
      <c r="A46" s="943">
        <v>2</v>
      </c>
      <c r="B46" s="944">
        <v>227.31</v>
      </c>
      <c r="C46" s="944" t="s">
        <v>190</v>
      </c>
      <c r="D46" s="943" t="s">
        <v>17</v>
      </c>
      <c r="E46" s="952">
        <v>22525</v>
      </c>
      <c r="F46" s="945">
        <v>11</v>
      </c>
      <c r="G46" s="946">
        <v>15</v>
      </c>
      <c r="H46" s="946">
        <v>12.67</v>
      </c>
    </row>
    <row r="47" spans="1:9" s="26" customFormat="1">
      <c r="A47" s="947">
        <v>2</v>
      </c>
      <c r="B47" s="948">
        <v>227.4</v>
      </c>
      <c r="C47" s="948" t="s">
        <v>191</v>
      </c>
      <c r="D47" s="947" t="s">
        <v>3</v>
      </c>
      <c r="E47" s="950">
        <v>166</v>
      </c>
      <c r="F47" s="950">
        <v>3</v>
      </c>
      <c r="G47" s="951">
        <v>122.5</v>
      </c>
      <c r="H47" s="951">
        <v>115.71</v>
      </c>
      <c r="I47" s="18"/>
    </row>
    <row r="48" spans="1:9">
      <c r="A48" s="943">
        <v>2</v>
      </c>
      <c r="B48" s="944">
        <v>234.12</v>
      </c>
      <c r="C48" s="944" t="s">
        <v>195</v>
      </c>
      <c r="D48" s="943" t="s">
        <v>17</v>
      </c>
      <c r="E48" s="952">
        <v>21330</v>
      </c>
      <c r="F48" s="945">
        <v>3</v>
      </c>
      <c r="G48" s="946">
        <v>120</v>
      </c>
      <c r="H48" s="946">
        <v>129.55000000000001</v>
      </c>
    </row>
    <row r="49" spans="1:9" s="26" customFormat="1">
      <c r="A49" s="947">
        <v>2</v>
      </c>
      <c r="B49" s="948">
        <v>234.15</v>
      </c>
      <c r="C49" s="948" t="s">
        <v>196</v>
      </c>
      <c r="D49" s="947" t="s">
        <v>17</v>
      </c>
      <c r="E49" s="949">
        <v>1000</v>
      </c>
      <c r="F49" s="950">
        <v>1</v>
      </c>
      <c r="G49" s="951">
        <v>170</v>
      </c>
      <c r="H49" s="951">
        <v>170</v>
      </c>
      <c r="I49" s="18"/>
    </row>
    <row r="50" spans="1:9">
      <c r="A50" s="943">
        <v>2</v>
      </c>
      <c r="B50" s="944">
        <v>234.18</v>
      </c>
      <c r="C50" s="944" t="s">
        <v>197</v>
      </c>
      <c r="D50" s="943" t="s">
        <v>17</v>
      </c>
      <c r="E50" s="952">
        <v>3350</v>
      </c>
      <c r="F50" s="945">
        <v>3</v>
      </c>
      <c r="G50" s="946">
        <v>160</v>
      </c>
      <c r="H50" s="946">
        <v>151.82</v>
      </c>
    </row>
    <row r="51" spans="1:9" s="26" customFormat="1">
      <c r="A51" s="947">
        <v>2</v>
      </c>
      <c r="B51" s="948">
        <v>234.24</v>
      </c>
      <c r="C51" s="948" t="s">
        <v>198</v>
      </c>
      <c r="D51" s="947" t="s">
        <v>17</v>
      </c>
      <c r="E51" s="949">
        <v>6540</v>
      </c>
      <c r="F51" s="950">
        <v>2</v>
      </c>
      <c r="G51" s="951">
        <v>215</v>
      </c>
      <c r="H51" s="951">
        <v>225</v>
      </c>
      <c r="I51" s="18"/>
    </row>
    <row r="52" spans="1:9">
      <c r="A52" s="943">
        <v>2</v>
      </c>
      <c r="B52" s="944">
        <v>234.3</v>
      </c>
      <c r="C52" s="944" t="s">
        <v>199</v>
      </c>
      <c r="D52" s="943" t="s">
        <v>17</v>
      </c>
      <c r="E52" s="945">
        <v>30</v>
      </c>
      <c r="F52" s="945">
        <v>1</v>
      </c>
      <c r="G52" s="946">
        <v>325</v>
      </c>
      <c r="H52" s="946">
        <v>300</v>
      </c>
    </row>
    <row r="53" spans="1:9" s="26" customFormat="1">
      <c r="A53" s="947">
        <v>2</v>
      </c>
      <c r="B53" s="948">
        <v>235.12</v>
      </c>
      <c r="C53" s="948" t="s">
        <v>201</v>
      </c>
      <c r="D53" s="947" t="s">
        <v>2</v>
      </c>
      <c r="E53" s="950">
        <v>55</v>
      </c>
      <c r="F53" s="950">
        <v>2</v>
      </c>
      <c r="G53" s="951">
        <v>775</v>
      </c>
      <c r="H53" s="951">
        <v>850</v>
      </c>
      <c r="I53" s="18"/>
    </row>
    <row r="54" spans="1:9">
      <c r="A54" s="943">
        <v>2</v>
      </c>
      <c r="B54" s="944">
        <v>235.18</v>
      </c>
      <c r="C54" s="944" t="s">
        <v>203</v>
      </c>
      <c r="D54" s="943" t="s">
        <v>2</v>
      </c>
      <c r="E54" s="945">
        <v>14</v>
      </c>
      <c r="F54" s="945">
        <v>2</v>
      </c>
      <c r="G54" s="946">
        <v>1450</v>
      </c>
      <c r="H54" s="946">
        <v>1328.57</v>
      </c>
    </row>
    <row r="55" spans="1:9" s="26" customFormat="1">
      <c r="A55" s="947">
        <v>2</v>
      </c>
      <c r="B55" s="948">
        <v>235.24</v>
      </c>
      <c r="C55" s="948" t="s">
        <v>204</v>
      </c>
      <c r="D55" s="947" t="s">
        <v>2</v>
      </c>
      <c r="E55" s="950">
        <v>3</v>
      </c>
      <c r="F55" s="950">
        <v>1</v>
      </c>
      <c r="G55" s="951">
        <v>2250</v>
      </c>
      <c r="H55" s="951">
        <v>2033.33</v>
      </c>
      <c r="I55" s="18"/>
    </row>
    <row r="56" spans="1:9">
      <c r="A56" s="943">
        <v>2</v>
      </c>
      <c r="B56" s="944">
        <v>235.3</v>
      </c>
      <c r="C56" s="944" t="s">
        <v>205</v>
      </c>
      <c r="D56" s="943" t="s">
        <v>2</v>
      </c>
      <c r="E56" s="945">
        <v>3</v>
      </c>
      <c r="F56" s="945">
        <v>1</v>
      </c>
      <c r="G56" s="946">
        <v>3800</v>
      </c>
      <c r="H56" s="946">
        <v>4200</v>
      </c>
    </row>
    <row r="57" spans="1:9" s="26" customFormat="1">
      <c r="A57" s="947">
        <v>2</v>
      </c>
      <c r="B57" s="948">
        <v>238.1</v>
      </c>
      <c r="C57" s="948" t="s">
        <v>207</v>
      </c>
      <c r="D57" s="947" t="s">
        <v>17</v>
      </c>
      <c r="E57" s="949">
        <v>2000</v>
      </c>
      <c r="F57" s="950">
        <v>1</v>
      </c>
      <c r="G57" s="951">
        <v>190</v>
      </c>
      <c r="H57" s="951">
        <v>190</v>
      </c>
      <c r="I57" s="18"/>
    </row>
    <row r="58" spans="1:9">
      <c r="A58" s="943">
        <v>2</v>
      </c>
      <c r="B58" s="944">
        <v>238.12</v>
      </c>
      <c r="C58" s="944" t="s">
        <v>208</v>
      </c>
      <c r="D58" s="943" t="s">
        <v>17</v>
      </c>
      <c r="E58" s="952">
        <v>1025</v>
      </c>
      <c r="F58" s="945">
        <v>1</v>
      </c>
      <c r="G58" s="946">
        <v>160</v>
      </c>
      <c r="H58" s="946">
        <v>172.4</v>
      </c>
    </row>
    <row r="59" spans="1:9" s="26" customFormat="1">
      <c r="A59" s="947">
        <v>2</v>
      </c>
      <c r="B59" s="948">
        <v>241.12</v>
      </c>
      <c r="C59" s="948" t="s">
        <v>3996</v>
      </c>
      <c r="D59" s="947" t="s">
        <v>17</v>
      </c>
      <c r="E59" s="949">
        <v>9544</v>
      </c>
      <c r="F59" s="950">
        <v>6</v>
      </c>
      <c r="G59" s="951">
        <v>125</v>
      </c>
      <c r="H59" s="951">
        <v>125.6</v>
      </c>
      <c r="I59" s="18"/>
    </row>
    <row r="60" spans="1:9">
      <c r="A60" s="943">
        <v>2</v>
      </c>
      <c r="B60" s="944">
        <v>241.15</v>
      </c>
      <c r="C60" s="944" t="s">
        <v>3997</v>
      </c>
      <c r="D60" s="943" t="s">
        <v>17</v>
      </c>
      <c r="E60" s="952">
        <v>1400</v>
      </c>
      <c r="F60" s="945">
        <v>1</v>
      </c>
      <c r="G60" s="946">
        <v>105</v>
      </c>
      <c r="H60" s="946">
        <v>110</v>
      </c>
    </row>
    <row r="61" spans="1:9" s="26" customFormat="1">
      <c r="A61" s="947">
        <v>2</v>
      </c>
      <c r="B61" s="948">
        <v>241.24</v>
      </c>
      <c r="C61" s="948" t="s">
        <v>3999</v>
      </c>
      <c r="D61" s="947" t="s">
        <v>17</v>
      </c>
      <c r="E61" s="950">
        <v>560</v>
      </c>
      <c r="F61" s="950">
        <v>1</v>
      </c>
      <c r="G61" s="951">
        <v>140</v>
      </c>
      <c r="H61" s="951">
        <v>135</v>
      </c>
      <c r="I61" s="18"/>
    </row>
    <row r="62" spans="1:9">
      <c r="A62" s="943">
        <v>2</v>
      </c>
      <c r="B62" s="944">
        <v>242.12</v>
      </c>
      <c r="C62" s="944" t="s">
        <v>219</v>
      </c>
      <c r="D62" s="943" t="s">
        <v>2</v>
      </c>
      <c r="E62" s="945">
        <v>40</v>
      </c>
      <c r="F62" s="945">
        <v>2</v>
      </c>
      <c r="G62" s="946">
        <v>1750</v>
      </c>
      <c r="H62" s="946">
        <v>1530.63</v>
      </c>
    </row>
    <row r="63" spans="1:9" s="26" customFormat="1">
      <c r="A63" s="947">
        <v>2</v>
      </c>
      <c r="B63" s="948">
        <v>242.24</v>
      </c>
      <c r="C63" s="948" t="s">
        <v>222</v>
      </c>
      <c r="D63" s="947" t="s">
        <v>2</v>
      </c>
      <c r="E63" s="950">
        <v>20</v>
      </c>
      <c r="F63" s="950">
        <v>1</v>
      </c>
      <c r="G63" s="951">
        <v>2000</v>
      </c>
      <c r="H63" s="951">
        <v>1980</v>
      </c>
      <c r="I63" s="18"/>
    </row>
    <row r="64" spans="1:9">
      <c r="A64" s="943">
        <v>2</v>
      </c>
      <c r="B64" s="944">
        <v>244.12</v>
      </c>
      <c r="C64" s="944" t="s">
        <v>229</v>
      </c>
      <c r="D64" s="943" t="s">
        <v>17</v>
      </c>
      <c r="E64" s="952">
        <v>1338</v>
      </c>
      <c r="F64" s="945">
        <v>2</v>
      </c>
      <c r="G64" s="946">
        <v>127.5</v>
      </c>
      <c r="H64" s="946">
        <v>118.75</v>
      </c>
    </row>
    <row r="65" spans="1:9" s="26" customFormat="1">
      <c r="A65" s="947">
        <v>2</v>
      </c>
      <c r="B65" s="948">
        <v>244.15</v>
      </c>
      <c r="C65" s="948" t="s">
        <v>230</v>
      </c>
      <c r="D65" s="947" t="s">
        <v>17</v>
      </c>
      <c r="E65" s="950">
        <v>700</v>
      </c>
      <c r="F65" s="950">
        <v>1</v>
      </c>
      <c r="G65" s="951">
        <v>125</v>
      </c>
      <c r="H65" s="951">
        <v>126</v>
      </c>
      <c r="I65" s="18"/>
    </row>
    <row r="66" spans="1:9">
      <c r="A66" s="943">
        <v>2</v>
      </c>
      <c r="B66" s="944">
        <v>244.18</v>
      </c>
      <c r="C66" s="944" t="s">
        <v>231</v>
      </c>
      <c r="D66" s="943" t="s">
        <v>17</v>
      </c>
      <c r="E66" s="952">
        <v>1250</v>
      </c>
      <c r="F66" s="945">
        <v>1</v>
      </c>
      <c r="G66" s="946">
        <v>140</v>
      </c>
      <c r="H66" s="946">
        <v>144.4</v>
      </c>
    </row>
    <row r="67" spans="1:9" s="26" customFormat="1">
      <c r="A67" s="947">
        <v>2</v>
      </c>
      <c r="B67" s="948">
        <v>244.24</v>
      </c>
      <c r="C67" s="948" t="s">
        <v>232</v>
      </c>
      <c r="D67" s="947" t="s">
        <v>17</v>
      </c>
      <c r="E67" s="949">
        <v>1050</v>
      </c>
      <c r="F67" s="950">
        <v>1</v>
      </c>
      <c r="G67" s="951">
        <v>160</v>
      </c>
      <c r="H67" s="951">
        <v>165</v>
      </c>
      <c r="I67" s="18"/>
    </row>
    <row r="68" spans="1:9">
      <c r="A68" s="943">
        <v>2</v>
      </c>
      <c r="B68" s="944">
        <v>250.1</v>
      </c>
      <c r="C68" s="944" t="s">
        <v>1312</v>
      </c>
      <c r="D68" s="943" t="s">
        <v>17</v>
      </c>
      <c r="E68" s="945">
        <v>240</v>
      </c>
      <c r="F68" s="945">
        <v>1</v>
      </c>
      <c r="G68" s="946">
        <v>200</v>
      </c>
      <c r="H68" s="946">
        <v>200</v>
      </c>
    </row>
    <row r="69" spans="1:9" s="26" customFormat="1">
      <c r="A69" s="947">
        <v>2</v>
      </c>
      <c r="B69" s="948">
        <v>252.12</v>
      </c>
      <c r="C69" s="948" t="s">
        <v>1313</v>
      </c>
      <c r="D69" s="947" t="s">
        <v>17</v>
      </c>
      <c r="E69" s="950">
        <v>115</v>
      </c>
      <c r="F69" s="950">
        <v>1</v>
      </c>
      <c r="G69" s="951">
        <v>140</v>
      </c>
      <c r="H69" s="951">
        <v>127</v>
      </c>
      <c r="I69" s="18"/>
    </row>
    <row r="70" spans="1:9">
      <c r="A70" s="943">
        <v>2</v>
      </c>
      <c r="B70" s="944">
        <v>258</v>
      </c>
      <c r="C70" s="944" t="s">
        <v>238</v>
      </c>
      <c r="D70" s="943" t="s">
        <v>1</v>
      </c>
      <c r="E70" s="952">
        <v>2010</v>
      </c>
      <c r="F70" s="945">
        <v>4</v>
      </c>
      <c r="G70" s="946">
        <v>82</v>
      </c>
      <c r="H70" s="946">
        <v>84.13</v>
      </c>
    </row>
    <row r="71" spans="1:9" s="26" customFormat="1">
      <c r="A71" s="947">
        <v>2</v>
      </c>
      <c r="B71" s="948">
        <v>259</v>
      </c>
      <c r="C71" s="948" t="s">
        <v>1318</v>
      </c>
      <c r="D71" s="947" t="s">
        <v>7</v>
      </c>
      <c r="E71" s="950">
        <v>180</v>
      </c>
      <c r="F71" s="950">
        <v>1</v>
      </c>
      <c r="G71" s="951">
        <v>87.5</v>
      </c>
      <c r="H71" s="951">
        <v>74.33</v>
      </c>
      <c r="I71" s="18"/>
    </row>
    <row r="72" spans="1:9">
      <c r="A72" s="943">
        <v>2</v>
      </c>
      <c r="B72" s="944">
        <v>265.06</v>
      </c>
      <c r="C72" s="944" t="s">
        <v>239</v>
      </c>
      <c r="D72" s="943" t="s">
        <v>17</v>
      </c>
      <c r="E72" s="945">
        <v>200</v>
      </c>
      <c r="F72" s="945">
        <v>1</v>
      </c>
      <c r="G72" s="946">
        <v>127.5</v>
      </c>
      <c r="H72" s="946">
        <v>125</v>
      </c>
    </row>
    <row r="73" spans="1:9" s="26" customFormat="1">
      <c r="A73" s="947">
        <v>2</v>
      </c>
      <c r="B73" s="948">
        <v>269.10000000000002</v>
      </c>
      <c r="C73" s="948" t="s">
        <v>242</v>
      </c>
      <c r="D73" s="947" t="s">
        <v>17</v>
      </c>
      <c r="E73" s="950">
        <v>430</v>
      </c>
      <c r="F73" s="950">
        <v>1</v>
      </c>
      <c r="G73" s="951">
        <v>110</v>
      </c>
      <c r="H73" s="951">
        <v>110</v>
      </c>
      <c r="I73" s="18"/>
    </row>
    <row r="74" spans="1:9">
      <c r="A74" s="943">
        <v>2</v>
      </c>
      <c r="B74" s="944">
        <v>280</v>
      </c>
      <c r="C74" s="944" t="s">
        <v>244</v>
      </c>
      <c r="D74" s="943" t="s">
        <v>1</v>
      </c>
      <c r="E74" s="945">
        <v>796</v>
      </c>
      <c r="F74" s="945">
        <v>5</v>
      </c>
      <c r="G74" s="946">
        <v>172.5</v>
      </c>
      <c r="H74" s="946">
        <v>192.86</v>
      </c>
    </row>
    <row r="75" spans="1:9" s="26" customFormat="1">
      <c r="A75" s="947">
        <v>2</v>
      </c>
      <c r="B75" s="948">
        <v>280.10000000000002</v>
      </c>
      <c r="C75" s="948" t="s">
        <v>244</v>
      </c>
      <c r="D75" s="947" t="s">
        <v>7</v>
      </c>
      <c r="E75" s="950">
        <v>40</v>
      </c>
      <c r="F75" s="950">
        <v>1</v>
      </c>
      <c r="G75" s="951">
        <v>360</v>
      </c>
      <c r="H75" s="951">
        <v>360</v>
      </c>
      <c r="I75" s="18"/>
    </row>
    <row r="76" spans="1:9">
      <c r="A76" s="943">
        <v>2</v>
      </c>
      <c r="B76" s="944">
        <v>281</v>
      </c>
      <c r="C76" s="944" t="s">
        <v>245</v>
      </c>
      <c r="D76" s="943" t="s">
        <v>1</v>
      </c>
      <c r="E76" s="945">
        <v>90</v>
      </c>
      <c r="F76" s="945">
        <v>1</v>
      </c>
      <c r="G76" s="946">
        <v>215</v>
      </c>
      <c r="H76" s="946">
        <v>221.67</v>
      </c>
    </row>
    <row r="77" spans="1:9" s="26" customFormat="1">
      <c r="A77" s="947">
        <v>2</v>
      </c>
      <c r="B77" s="948">
        <v>302.04000000000002</v>
      </c>
      <c r="C77" s="948" t="s">
        <v>246</v>
      </c>
      <c r="D77" s="947" t="s">
        <v>17</v>
      </c>
      <c r="E77" s="950">
        <v>100</v>
      </c>
      <c r="F77" s="950">
        <v>1</v>
      </c>
      <c r="G77" s="951">
        <v>162.5</v>
      </c>
      <c r="H77" s="951">
        <v>162.5</v>
      </c>
      <c r="I77" s="18"/>
    </row>
    <row r="78" spans="1:9">
      <c r="A78" s="943">
        <v>2</v>
      </c>
      <c r="B78" s="944">
        <v>302.06</v>
      </c>
      <c r="C78" s="944" t="s">
        <v>247</v>
      </c>
      <c r="D78" s="943" t="s">
        <v>17</v>
      </c>
      <c r="E78" s="952">
        <v>1430</v>
      </c>
      <c r="F78" s="945">
        <v>1</v>
      </c>
      <c r="G78" s="946">
        <v>192.5</v>
      </c>
      <c r="H78" s="946">
        <v>192.5</v>
      </c>
    </row>
    <row r="79" spans="1:9" s="26" customFormat="1">
      <c r="A79" s="947">
        <v>2</v>
      </c>
      <c r="B79" s="948">
        <v>302.08</v>
      </c>
      <c r="C79" s="948" t="s">
        <v>248</v>
      </c>
      <c r="D79" s="947" t="s">
        <v>17</v>
      </c>
      <c r="E79" s="950">
        <v>750</v>
      </c>
      <c r="F79" s="950">
        <v>1</v>
      </c>
      <c r="G79" s="951">
        <v>210</v>
      </c>
      <c r="H79" s="951">
        <v>210</v>
      </c>
      <c r="I79" s="18"/>
    </row>
    <row r="80" spans="1:9">
      <c r="A80" s="943">
        <v>2</v>
      </c>
      <c r="B80" s="944">
        <v>302.10000000000002</v>
      </c>
      <c r="C80" s="944" t="s">
        <v>249</v>
      </c>
      <c r="D80" s="943" t="s">
        <v>17</v>
      </c>
      <c r="E80" s="945">
        <v>250</v>
      </c>
      <c r="F80" s="945">
        <v>1</v>
      </c>
      <c r="G80" s="946">
        <v>200</v>
      </c>
      <c r="H80" s="946">
        <v>200</v>
      </c>
    </row>
    <row r="81" spans="1:9" s="26" customFormat="1">
      <c r="A81" s="947">
        <v>2</v>
      </c>
      <c r="B81" s="948">
        <v>302.12</v>
      </c>
      <c r="C81" s="948" t="s">
        <v>250</v>
      </c>
      <c r="D81" s="947" t="s">
        <v>17</v>
      </c>
      <c r="E81" s="949">
        <v>20802</v>
      </c>
      <c r="F81" s="950">
        <v>1</v>
      </c>
      <c r="G81" s="951">
        <v>224</v>
      </c>
      <c r="H81" s="951">
        <v>224</v>
      </c>
      <c r="I81" s="18"/>
    </row>
    <row r="82" spans="1:9">
      <c r="A82" s="943">
        <v>2</v>
      </c>
      <c r="B82" s="944">
        <v>303.06</v>
      </c>
      <c r="C82" s="944" t="s">
        <v>251</v>
      </c>
      <c r="D82" s="943" t="s">
        <v>17</v>
      </c>
      <c r="E82" s="945">
        <v>40</v>
      </c>
      <c r="F82" s="945">
        <v>1</v>
      </c>
      <c r="G82" s="946">
        <v>165</v>
      </c>
      <c r="H82" s="946">
        <v>141.25</v>
      </c>
    </row>
    <row r="83" spans="1:9" s="26" customFormat="1">
      <c r="A83" s="947">
        <v>2</v>
      </c>
      <c r="B83" s="948">
        <v>303.08</v>
      </c>
      <c r="C83" s="948" t="s">
        <v>252</v>
      </c>
      <c r="D83" s="947" t="s">
        <v>17</v>
      </c>
      <c r="E83" s="950">
        <v>648</v>
      </c>
      <c r="F83" s="950">
        <v>1</v>
      </c>
      <c r="G83" s="951">
        <v>205</v>
      </c>
      <c r="H83" s="951">
        <v>161.25</v>
      </c>
      <c r="I83" s="18"/>
    </row>
    <row r="84" spans="1:9">
      <c r="A84" s="943">
        <v>2</v>
      </c>
      <c r="B84" s="944">
        <v>309</v>
      </c>
      <c r="C84" s="944" t="s">
        <v>256</v>
      </c>
      <c r="D84" s="943" t="s">
        <v>100</v>
      </c>
      <c r="E84" s="952">
        <v>2020</v>
      </c>
      <c r="F84" s="945">
        <v>1</v>
      </c>
      <c r="G84" s="946">
        <v>10</v>
      </c>
      <c r="H84" s="946">
        <v>10.75</v>
      </c>
    </row>
    <row r="85" spans="1:9" s="26" customFormat="1">
      <c r="A85" s="947">
        <v>2</v>
      </c>
      <c r="B85" s="948">
        <v>336.1</v>
      </c>
      <c r="C85" s="948" t="s">
        <v>258</v>
      </c>
      <c r="D85" s="947" t="s">
        <v>17</v>
      </c>
      <c r="E85" s="949">
        <v>2200</v>
      </c>
      <c r="F85" s="950">
        <v>1</v>
      </c>
      <c r="G85" s="951">
        <v>237.5</v>
      </c>
      <c r="H85" s="951">
        <v>237.5</v>
      </c>
      <c r="I85" s="18"/>
    </row>
    <row r="86" spans="1:9">
      <c r="A86" s="943">
        <v>2</v>
      </c>
      <c r="B86" s="944">
        <v>347.07499999999999</v>
      </c>
      <c r="C86" s="944" t="s">
        <v>259</v>
      </c>
      <c r="D86" s="943" t="s">
        <v>17</v>
      </c>
      <c r="E86" s="945">
        <v>240</v>
      </c>
      <c r="F86" s="945">
        <v>1</v>
      </c>
      <c r="G86" s="946">
        <v>104</v>
      </c>
      <c r="H86" s="946">
        <v>102.17</v>
      </c>
    </row>
    <row r="87" spans="1:9" s="26" customFormat="1">
      <c r="A87" s="947">
        <v>2</v>
      </c>
      <c r="B87" s="948">
        <v>347.1</v>
      </c>
      <c r="C87" s="948" t="s">
        <v>260</v>
      </c>
      <c r="D87" s="947" t="s">
        <v>17</v>
      </c>
      <c r="E87" s="949">
        <v>1800</v>
      </c>
      <c r="F87" s="950">
        <v>1</v>
      </c>
      <c r="G87" s="951">
        <v>97.5</v>
      </c>
      <c r="H87" s="951">
        <v>97.5</v>
      </c>
      <c r="I87" s="18"/>
    </row>
    <row r="88" spans="1:9">
      <c r="A88" s="943">
        <v>2</v>
      </c>
      <c r="B88" s="944">
        <v>347.15</v>
      </c>
      <c r="C88" s="944" t="s">
        <v>1329</v>
      </c>
      <c r="D88" s="943" t="s">
        <v>17</v>
      </c>
      <c r="E88" s="945">
        <v>100</v>
      </c>
      <c r="F88" s="945">
        <v>1</v>
      </c>
      <c r="G88" s="946">
        <v>127.5</v>
      </c>
      <c r="H88" s="946">
        <v>127.5</v>
      </c>
    </row>
    <row r="89" spans="1:9" s="26" customFormat="1">
      <c r="A89" s="947">
        <v>2</v>
      </c>
      <c r="B89" s="948">
        <v>347.2</v>
      </c>
      <c r="C89" s="948" t="s">
        <v>261</v>
      </c>
      <c r="D89" s="947" t="s">
        <v>17</v>
      </c>
      <c r="E89" s="950">
        <v>500</v>
      </c>
      <c r="F89" s="950">
        <v>1</v>
      </c>
      <c r="G89" s="951">
        <v>160</v>
      </c>
      <c r="H89" s="951">
        <v>160</v>
      </c>
      <c r="I89" s="18"/>
    </row>
    <row r="90" spans="1:9">
      <c r="A90" s="943">
        <v>2</v>
      </c>
      <c r="B90" s="944">
        <v>350.04</v>
      </c>
      <c r="C90" s="944" t="s">
        <v>263</v>
      </c>
      <c r="D90" s="943" t="s">
        <v>2</v>
      </c>
      <c r="E90" s="945">
        <v>4</v>
      </c>
      <c r="F90" s="945">
        <v>1</v>
      </c>
      <c r="G90" s="946">
        <v>2650</v>
      </c>
      <c r="H90" s="946">
        <v>2650</v>
      </c>
    </row>
    <row r="91" spans="1:9" s="26" customFormat="1">
      <c r="A91" s="947">
        <v>2</v>
      </c>
      <c r="B91" s="948">
        <v>350.06</v>
      </c>
      <c r="C91" s="948" t="s">
        <v>264</v>
      </c>
      <c r="D91" s="947" t="s">
        <v>2</v>
      </c>
      <c r="E91" s="950">
        <v>92</v>
      </c>
      <c r="F91" s="950">
        <v>1</v>
      </c>
      <c r="G91" s="951">
        <v>3400</v>
      </c>
      <c r="H91" s="951">
        <v>3400</v>
      </c>
      <c r="I91" s="18"/>
    </row>
    <row r="92" spans="1:9">
      <c r="A92" s="943">
        <v>2</v>
      </c>
      <c r="B92" s="944">
        <v>350.08</v>
      </c>
      <c r="C92" s="944" t="s">
        <v>265</v>
      </c>
      <c r="D92" s="943" t="s">
        <v>2</v>
      </c>
      <c r="E92" s="945">
        <v>48</v>
      </c>
      <c r="F92" s="945">
        <v>2</v>
      </c>
      <c r="G92" s="946">
        <v>4000</v>
      </c>
      <c r="H92" s="946">
        <v>4200</v>
      </c>
    </row>
    <row r="93" spans="1:9" s="26" customFormat="1">
      <c r="A93" s="947">
        <v>2</v>
      </c>
      <c r="B93" s="948">
        <v>350.1</v>
      </c>
      <c r="C93" s="948" t="s">
        <v>266</v>
      </c>
      <c r="D93" s="947" t="s">
        <v>2</v>
      </c>
      <c r="E93" s="950">
        <v>16</v>
      </c>
      <c r="F93" s="950">
        <v>1</v>
      </c>
      <c r="G93" s="951">
        <v>6050</v>
      </c>
      <c r="H93" s="951">
        <v>6050</v>
      </c>
      <c r="I93" s="18"/>
    </row>
    <row r="94" spans="1:9">
      <c r="A94" s="943">
        <v>2</v>
      </c>
      <c r="B94" s="944">
        <v>350.12</v>
      </c>
      <c r="C94" s="944" t="s">
        <v>267</v>
      </c>
      <c r="D94" s="943" t="s">
        <v>2</v>
      </c>
      <c r="E94" s="945">
        <v>136</v>
      </c>
      <c r="F94" s="945">
        <v>1</v>
      </c>
      <c r="G94" s="946">
        <v>7200</v>
      </c>
      <c r="H94" s="946">
        <v>7200</v>
      </c>
    </row>
    <row r="95" spans="1:9" s="26" customFormat="1">
      <c r="A95" s="947">
        <v>2</v>
      </c>
      <c r="B95" s="948">
        <v>357.12</v>
      </c>
      <c r="C95" s="948" t="s">
        <v>271</v>
      </c>
      <c r="D95" s="947" t="s">
        <v>2</v>
      </c>
      <c r="E95" s="950">
        <v>6</v>
      </c>
      <c r="F95" s="950">
        <v>1</v>
      </c>
      <c r="G95" s="951">
        <v>600</v>
      </c>
      <c r="H95" s="951">
        <v>608.33000000000004</v>
      </c>
      <c r="I95" s="18"/>
    </row>
    <row r="96" spans="1:9">
      <c r="A96" s="943">
        <v>2</v>
      </c>
      <c r="B96" s="944">
        <v>358</v>
      </c>
      <c r="C96" s="944" t="s">
        <v>274</v>
      </c>
      <c r="D96" s="943" t="s">
        <v>2</v>
      </c>
      <c r="E96" s="945">
        <v>114</v>
      </c>
      <c r="F96" s="945">
        <v>6</v>
      </c>
      <c r="G96" s="946">
        <v>412</v>
      </c>
      <c r="H96" s="946">
        <v>391.78</v>
      </c>
    </row>
    <row r="97" spans="1:9" s="26" customFormat="1">
      <c r="A97" s="947">
        <v>2</v>
      </c>
      <c r="B97" s="948">
        <v>363.07499999999999</v>
      </c>
      <c r="C97" s="948" t="s">
        <v>1337</v>
      </c>
      <c r="D97" s="947" t="s">
        <v>2</v>
      </c>
      <c r="E97" s="950">
        <v>4</v>
      </c>
      <c r="F97" s="950">
        <v>1</v>
      </c>
      <c r="G97" s="951">
        <v>900</v>
      </c>
      <c r="H97" s="951">
        <v>862.5</v>
      </c>
      <c r="I97" s="18"/>
    </row>
    <row r="98" spans="1:9">
      <c r="A98" s="943">
        <v>2</v>
      </c>
      <c r="B98" s="944">
        <v>363.1</v>
      </c>
      <c r="C98" s="944" t="s">
        <v>276</v>
      </c>
      <c r="D98" s="943" t="s">
        <v>2</v>
      </c>
      <c r="E98" s="945">
        <v>104</v>
      </c>
      <c r="F98" s="945">
        <v>1</v>
      </c>
      <c r="G98" s="946">
        <v>462.5</v>
      </c>
      <c r="H98" s="946">
        <v>462.5</v>
      </c>
    </row>
    <row r="99" spans="1:9" s="26" customFormat="1">
      <c r="A99" s="947">
        <v>2</v>
      </c>
      <c r="B99" s="948">
        <v>363.15</v>
      </c>
      <c r="C99" s="948" t="s">
        <v>1339</v>
      </c>
      <c r="D99" s="947" t="s">
        <v>2</v>
      </c>
      <c r="E99" s="950">
        <v>6</v>
      </c>
      <c r="F99" s="950">
        <v>1</v>
      </c>
      <c r="G99" s="951">
        <v>640</v>
      </c>
      <c r="H99" s="951">
        <v>640</v>
      </c>
      <c r="I99" s="18"/>
    </row>
    <row r="100" spans="1:9">
      <c r="A100" s="943">
        <v>2</v>
      </c>
      <c r="B100" s="944">
        <v>363.2</v>
      </c>
      <c r="C100" s="944" t="s">
        <v>277</v>
      </c>
      <c r="D100" s="943" t="s">
        <v>2</v>
      </c>
      <c r="E100" s="945">
        <v>22</v>
      </c>
      <c r="F100" s="945">
        <v>1</v>
      </c>
      <c r="G100" s="946">
        <v>1040</v>
      </c>
      <c r="H100" s="946">
        <v>1040</v>
      </c>
    </row>
    <row r="101" spans="1:9" s="26" customFormat="1">
      <c r="A101" s="947">
        <v>2</v>
      </c>
      <c r="B101" s="948">
        <v>369.1</v>
      </c>
      <c r="C101" s="948" t="s">
        <v>2323</v>
      </c>
      <c r="D101" s="947" t="s">
        <v>2</v>
      </c>
      <c r="E101" s="950">
        <v>4</v>
      </c>
      <c r="F101" s="950">
        <v>1</v>
      </c>
      <c r="G101" s="951">
        <v>21000</v>
      </c>
      <c r="H101" s="951">
        <v>21000</v>
      </c>
      <c r="I101" s="18"/>
    </row>
    <row r="102" spans="1:9">
      <c r="A102" s="943">
        <v>2</v>
      </c>
      <c r="B102" s="944">
        <v>371.04</v>
      </c>
      <c r="C102" s="944" t="s">
        <v>284</v>
      </c>
      <c r="D102" s="943" t="s">
        <v>2</v>
      </c>
      <c r="E102" s="945">
        <v>4</v>
      </c>
      <c r="F102" s="945">
        <v>1</v>
      </c>
      <c r="G102" s="946">
        <v>467.5</v>
      </c>
      <c r="H102" s="946">
        <v>467.5</v>
      </c>
    </row>
    <row r="103" spans="1:9" s="26" customFormat="1">
      <c r="A103" s="947">
        <v>2</v>
      </c>
      <c r="B103" s="948">
        <v>371.06</v>
      </c>
      <c r="C103" s="948" t="s">
        <v>285</v>
      </c>
      <c r="D103" s="947" t="s">
        <v>2</v>
      </c>
      <c r="E103" s="950">
        <v>8</v>
      </c>
      <c r="F103" s="950">
        <v>1</v>
      </c>
      <c r="G103" s="951">
        <v>625</v>
      </c>
      <c r="H103" s="951">
        <v>625</v>
      </c>
      <c r="I103" s="18"/>
    </row>
    <row r="104" spans="1:9">
      <c r="A104" s="943">
        <v>2</v>
      </c>
      <c r="B104" s="944">
        <v>371.08</v>
      </c>
      <c r="C104" s="944" t="s">
        <v>286</v>
      </c>
      <c r="D104" s="943" t="s">
        <v>2</v>
      </c>
      <c r="E104" s="945">
        <v>4</v>
      </c>
      <c r="F104" s="945">
        <v>1</v>
      </c>
      <c r="G104" s="946">
        <v>725</v>
      </c>
      <c r="H104" s="946">
        <v>725</v>
      </c>
    </row>
    <row r="105" spans="1:9" s="26" customFormat="1">
      <c r="A105" s="947">
        <v>2</v>
      </c>
      <c r="B105" s="948">
        <v>371.1</v>
      </c>
      <c r="C105" s="948" t="s">
        <v>2335</v>
      </c>
      <c r="D105" s="947" t="s">
        <v>2</v>
      </c>
      <c r="E105" s="950">
        <v>4</v>
      </c>
      <c r="F105" s="950">
        <v>1</v>
      </c>
      <c r="G105" s="951">
        <v>875</v>
      </c>
      <c r="H105" s="951">
        <v>875</v>
      </c>
      <c r="I105" s="18"/>
    </row>
    <row r="106" spans="1:9">
      <c r="A106" s="943">
        <v>2</v>
      </c>
      <c r="B106" s="944">
        <v>371.12</v>
      </c>
      <c r="C106" s="944" t="s">
        <v>287</v>
      </c>
      <c r="D106" s="943" t="s">
        <v>2</v>
      </c>
      <c r="E106" s="945">
        <v>4</v>
      </c>
      <c r="F106" s="945">
        <v>1</v>
      </c>
      <c r="G106" s="946">
        <v>1040</v>
      </c>
      <c r="H106" s="946">
        <v>1040</v>
      </c>
    </row>
    <row r="107" spans="1:9" s="26" customFormat="1">
      <c r="A107" s="947">
        <v>2</v>
      </c>
      <c r="B107" s="948">
        <v>373.04</v>
      </c>
      <c r="C107" s="948" t="s">
        <v>1348</v>
      </c>
      <c r="D107" s="947" t="s">
        <v>17</v>
      </c>
      <c r="E107" s="950">
        <v>40</v>
      </c>
      <c r="F107" s="950">
        <v>1</v>
      </c>
      <c r="G107" s="951">
        <v>100</v>
      </c>
      <c r="H107" s="951">
        <v>100</v>
      </c>
      <c r="I107" s="18"/>
    </row>
    <row r="108" spans="1:9">
      <c r="A108" s="943">
        <v>2</v>
      </c>
      <c r="B108" s="944">
        <v>373.06</v>
      </c>
      <c r="C108" s="944" t="s">
        <v>1349</v>
      </c>
      <c r="D108" s="943" t="s">
        <v>17</v>
      </c>
      <c r="E108" s="945">
        <v>160</v>
      </c>
      <c r="F108" s="945">
        <v>1</v>
      </c>
      <c r="G108" s="946">
        <v>92.5</v>
      </c>
      <c r="H108" s="946">
        <v>92.5</v>
      </c>
    </row>
    <row r="109" spans="1:9" s="26" customFormat="1">
      <c r="A109" s="947">
        <v>2</v>
      </c>
      <c r="B109" s="948">
        <v>373.08</v>
      </c>
      <c r="C109" s="948" t="s">
        <v>288</v>
      </c>
      <c r="D109" s="947" t="s">
        <v>17</v>
      </c>
      <c r="E109" s="950">
        <v>165</v>
      </c>
      <c r="F109" s="950">
        <v>2</v>
      </c>
      <c r="G109" s="951">
        <v>105</v>
      </c>
      <c r="H109" s="951">
        <v>97.14</v>
      </c>
      <c r="I109" s="18"/>
    </row>
    <row r="110" spans="1:9">
      <c r="A110" s="943">
        <v>2</v>
      </c>
      <c r="B110" s="944">
        <v>373.1</v>
      </c>
      <c r="C110" s="944" t="s">
        <v>2337</v>
      </c>
      <c r="D110" s="943" t="s">
        <v>17</v>
      </c>
      <c r="E110" s="945">
        <v>24</v>
      </c>
      <c r="F110" s="945">
        <v>1</v>
      </c>
      <c r="G110" s="946">
        <v>137.5</v>
      </c>
      <c r="H110" s="946">
        <v>137.5</v>
      </c>
    </row>
    <row r="111" spans="1:9" s="26" customFormat="1">
      <c r="A111" s="947">
        <v>2</v>
      </c>
      <c r="B111" s="948">
        <v>373.12</v>
      </c>
      <c r="C111" s="948" t="s">
        <v>289</v>
      </c>
      <c r="D111" s="947" t="s">
        <v>17</v>
      </c>
      <c r="E111" s="949">
        <v>1100</v>
      </c>
      <c r="F111" s="950">
        <v>1</v>
      </c>
      <c r="G111" s="951">
        <v>86</v>
      </c>
      <c r="H111" s="951">
        <v>86</v>
      </c>
      <c r="I111" s="18"/>
    </row>
    <row r="112" spans="1:9">
      <c r="A112" s="943">
        <v>2</v>
      </c>
      <c r="B112" s="944">
        <v>376</v>
      </c>
      <c r="C112" s="944" t="s">
        <v>290</v>
      </c>
      <c r="D112" s="943" t="s">
        <v>2</v>
      </c>
      <c r="E112" s="945">
        <v>54</v>
      </c>
      <c r="F112" s="945">
        <v>1</v>
      </c>
      <c r="G112" s="946">
        <v>8500</v>
      </c>
      <c r="H112" s="946">
        <v>8500</v>
      </c>
    </row>
    <row r="113" spans="1:9" s="26" customFormat="1">
      <c r="A113" s="947">
        <v>2</v>
      </c>
      <c r="B113" s="948">
        <v>376.1</v>
      </c>
      <c r="C113" s="948" t="s">
        <v>291</v>
      </c>
      <c r="D113" s="947" t="s">
        <v>2</v>
      </c>
      <c r="E113" s="950">
        <v>2</v>
      </c>
      <c r="F113" s="950">
        <v>1</v>
      </c>
      <c r="G113" s="951">
        <v>3925</v>
      </c>
      <c r="H113" s="951">
        <v>3925</v>
      </c>
      <c r="I113" s="18"/>
    </row>
    <row r="114" spans="1:9">
      <c r="A114" s="943">
        <v>2</v>
      </c>
      <c r="B114" s="944">
        <v>376.2</v>
      </c>
      <c r="C114" s="944" t="s">
        <v>292</v>
      </c>
      <c r="D114" s="943" t="s">
        <v>2</v>
      </c>
      <c r="E114" s="945">
        <v>10</v>
      </c>
      <c r="F114" s="945">
        <v>1</v>
      </c>
      <c r="G114" s="946">
        <v>4325</v>
      </c>
      <c r="H114" s="946">
        <v>4325</v>
      </c>
    </row>
    <row r="115" spans="1:9" s="26" customFormat="1">
      <c r="A115" s="947">
        <v>2</v>
      </c>
      <c r="B115" s="948">
        <v>376.3</v>
      </c>
      <c r="C115" s="948" t="s">
        <v>293</v>
      </c>
      <c r="D115" s="947" t="s">
        <v>2</v>
      </c>
      <c r="E115" s="950">
        <v>52</v>
      </c>
      <c r="F115" s="950">
        <v>1</v>
      </c>
      <c r="G115" s="951">
        <v>1012.5</v>
      </c>
      <c r="H115" s="951">
        <v>1012.5</v>
      </c>
      <c r="I115" s="18"/>
    </row>
    <row r="116" spans="1:9">
      <c r="A116" s="943">
        <v>2</v>
      </c>
      <c r="B116" s="944">
        <v>376.5</v>
      </c>
      <c r="C116" s="944" t="s">
        <v>294</v>
      </c>
      <c r="D116" s="943" t="s">
        <v>2</v>
      </c>
      <c r="E116" s="945">
        <v>22</v>
      </c>
      <c r="F116" s="945">
        <v>1</v>
      </c>
      <c r="G116" s="946">
        <v>1800</v>
      </c>
      <c r="H116" s="946">
        <v>1800</v>
      </c>
    </row>
    <row r="117" spans="1:9" s="26" customFormat="1">
      <c r="A117" s="947">
        <v>2</v>
      </c>
      <c r="B117" s="948">
        <v>379.1</v>
      </c>
      <c r="C117" s="948" t="s">
        <v>1355</v>
      </c>
      <c r="D117" s="947" t="s">
        <v>2</v>
      </c>
      <c r="E117" s="950">
        <v>4</v>
      </c>
      <c r="F117" s="950">
        <v>1</v>
      </c>
      <c r="G117" s="951">
        <v>1950</v>
      </c>
      <c r="H117" s="951">
        <v>1725</v>
      </c>
      <c r="I117" s="18"/>
    </row>
    <row r="118" spans="1:9">
      <c r="A118" s="943">
        <v>2</v>
      </c>
      <c r="B118" s="944">
        <v>381</v>
      </c>
      <c r="C118" s="944" t="s">
        <v>295</v>
      </c>
      <c r="D118" s="943" t="s">
        <v>2</v>
      </c>
      <c r="E118" s="945">
        <v>132</v>
      </c>
      <c r="F118" s="945">
        <v>1</v>
      </c>
      <c r="G118" s="946">
        <v>467.5</v>
      </c>
      <c r="H118" s="946">
        <v>467.5</v>
      </c>
    </row>
    <row r="119" spans="1:9" s="26" customFormat="1">
      <c r="A119" s="947">
        <v>2</v>
      </c>
      <c r="B119" s="948">
        <v>381.2</v>
      </c>
      <c r="C119" s="948" t="s">
        <v>297</v>
      </c>
      <c r="D119" s="947" t="s">
        <v>2</v>
      </c>
      <c r="E119" s="950">
        <v>84</v>
      </c>
      <c r="F119" s="950">
        <v>1</v>
      </c>
      <c r="G119" s="951">
        <v>181</v>
      </c>
      <c r="H119" s="951">
        <v>181</v>
      </c>
      <c r="I119" s="18"/>
    </row>
    <row r="120" spans="1:9">
      <c r="A120" s="943">
        <v>2</v>
      </c>
      <c r="B120" s="944">
        <v>381.3</v>
      </c>
      <c r="C120" s="944" t="s">
        <v>298</v>
      </c>
      <c r="D120" s="943" t="s">
        <v>2</v>
      </c>
      <c r="E120" s="945">
        <v>16</v>
      </c>
      <c r="F120" s="945">
        <v>1</v>
      </c>
      <c r="G120" s="946">
        <v>312.5</v>
      </c>
      <c r="H120" s="946">
        <v>312.5</v>
      </c>
    </row>
    <row r="121" spans="1:9" s="26" customFormat="1">
      <c r="A121" s="947">
        <v>2</v>
      </c>
      <c r="B121" s="948">
        <v>384</v>
      </c>
      <c r="C121" s="948" t="s">
        <v>299</v>
      </c>
      <c r="D121" s="947" t="s">
        <v>2</v>
      </c>
      <c r="E121" s="950">
        <v>132</v>
      </c>
      <c r="F121" s="950">
        <v>1</v>
      </c>
      <c r="G121" s="951">
        <v>650</v>
      </c>
      <c r="H121" s="951">
        <v>650</v>
      </c>
      <c r="I121" s="18"/>
    </row>
    <row r="122" spans="1:9">
      <c r="A122" s="943">
        <v>2</v>
      </c>
      <c r="B122" s="944">
        <v>402</v>
      </c>
      <c r="C122" s="944" t="s">
        <v>301</v>
      </c>
      <c r="D122" s="943" t="s">
        <v>4</v>
      </c>
      <c r="E122" s="952">
        <v>17436</v>
      </c>
      <c r="F122" s="945">
        <v>12</v>
      </c>
      <c r="G122" s="946">
        <v>95</v>
      </c>
      <c r="H122" s="946">
        <v>91.92</v>
      </c>
    </row>
    <row r="123" spans="1:9" s="26" customFormat="1">
      <c r="A123" s="947">
        <v>2</v>
      </c>
      <c r="B123" s="948">
        <v>402.11</v>
      </c>
      <c r="C123" s="948" t="s">
        <v>302</v>
      </c>
      <c r="D123" s="947" t="s">
        <v>7</v>
      </c>
      <c r="E123" s="950">
        <v>420</v>
      </c>
      <c r="F123" s="950">
        <v>1</v>
      </c>
      <c r="G123" s="951">
        <v>132.5</v>
      </c>
      <c r="H123" s="951">
        <v>121.67</v>
      </c>
      <c r="I123" s="18"/>
    </row>
    <row r="124" spans="1:9">
      <c r="A124" s="943">
        <v>2</v>
      </c>
      <c r="B124" s="944">
        <v>402.13</v>
      </c>
      <c r="C124" s="944" t="s">
        <v>1359</v>
      </c>
      <c r="D124" s="943" t="s">
        <v>17</v>
      </c>
      <c r="E124" s="952">
        <v>130250</v>
      </c>
      <c r="F124" s="945">
        <v>3</v>
      </c>
      <c r="G124" s="946">
        <v>10</v>
      </c>
      <c r="H124" s="946">
        <v>9.2200000000000006</v>
      </c>
    </row>
    <row r="125" spans="1:9" s="26" customFormat="1">
      <c r="A125" s="947">
        <v>2</v>
      </c>
      <c r="B125" s="948">
        <v>403</v>
      </c>
      <c r="C125" s="948" t="s">
        <v>303</v>
      </c>
      <c r="D125" s="947" t="s">
        <v>1</v>
      </c>
      <c r="E125" s="949">
        <v>178500</v>
      </c>
      <c r="F125" s="950">
        <v>1</v>
      </c>
      <c r="G125" s="951">
        <v>4.5</v>
      </c>
      <c r="H125" s="951">
        <v>4</v>
      </c>
      <c r="I125" s="18"/>
    </row>
    <row r="126" spans="1:9">
      <c r="A126" s="943">
        <v>2</v>
      </c>
      <c r="B126" s="944">
        <v>403.1</v>
      </c>
      <c r="C126" s="944" t="s">
        <v>304</v>
      </c>
      <c r="D126" s="943" t="s">
        <v>7</v>
      </c>
      <c r="E126" s="945">
        <v>250</v>
      </c>
      <c r="F126" s="945">
        <v>1</v>
      </c>
      <c r="G126" s="946">
        <v>45</v>
      </c>
      <c r="H126" s="946">
        <v>43.2</v>
      </c>
    </row>
    <row r="127" spans="1:9" s="26" customFormat="1">
      <c r="A127" s="947">
        <v>2</v>
      </c>
      <c r="B127" s="948">
        <v>415.1</v>
      </c>
      <c r="C127" s="948" t="s">
        <v>1360</v>
      </c>
      <c r="D127" s="947" t="s">
        <v>1</v>
      </c>
      <c r="E127" s="949">
        <v>229920</v>
      </c>
      <c r="F127" s="950">
        <v>4</v>
      </c>
      <c r="G127" s="951">
        <v>6.5</v>
      </c>
      <c r="H127" s="951">
        <v>6.64</v>
      </c>
      <c r="I127" s="18"/>
    </row>
    <row r="128" spans="1:9">
      <c r="A128" s="943">
        <v>2</v>
      </c>
      <c r="B128" s="944">
        <v>415.2</v>
      </c>
      <c r="C128" s="944" t="s">
        <v>1361</v>
      </c>
      <c r="D128" s="943" t="s">
        <v>1</v>
      </c>
      <c r="E128" s="952">
        <v>626200</v>
      </c>
      <c r="F128" s="945">
        <v>4</v>
      </c>
      <c r="G128" s="946">
        <v>24</v>
      </c>
      <c r="H128" s="946">
        <v>22.33</v>
      </c>
    </row>
    <row r="129" spans="1:9" s="26" customFormat="1">
      <c r="A129" s="947">
        <v>2</v>
      </c>
      <c r="B129" s="948">
        <v>415.3</v>
      </c>
      <c r="C129" s="948" t="s">
        <v>1230</v>
      </c>
      <c r="D129" s="947" t="s">
        <v>1</v>
      </c>
      <c r="E129" s="949">
        <v>14897</v>
      </c>
      <c r="F129" s="950">
        <v>2</v>
      </c>
      <c r="G129" s="951">
        <v>11.13</v>
      </c>
      <c r="H129" s="951">
        <v>9.6300000000000008</v>
      </c>
      <c r="I129" s="18"/>
    </row>
    <row r="130" spans="1:9">
      <c r="A130" s="943">
        <v>2</v>
      </c>
      <c r="B130" s="944">
        <v>415.4</v>
      </c>
      <c r="C130" s="944" t="s">
        <v>1362</v>
      </c>
      <c r="D130" s="943" t="s">
        <v>1</v>
      </c>
      <c r="E130" s="952">
        <v>71910</v>
      </c>
      <c r="F130" s="945">
        <v>3</v>
      </c>
      <c r="G130" s="946">
        <v>26</v>
      </c>
      <c r="H130" s="946">
        <v>28.05</v>
      </c>
    </row>
    <row r="131" spans="1:9" s="26" customFormat="1">
      <c r="A131" s="947">
        <v>2</v>
      </c>
      <c r="B131" s="948">
        <v>430</v>
      </c>
      <c r="C131" s="948" t="s">
        <v>1363</v>
      </c>
      <c r="D131" s="947" t="s">
        <v>1</v>
      </c>
      <c r="E131" s="949">
        <v>3970</v>
      </c>
      <c r="F131" s="950">
        <v>3</v>
      </c>
      <c r="G131" s="951">
        <v>85</v>
      </c>
      <c r="H131" s="951">
        <v>81.819999999999993</v>
      </c>
      <c r="I131" s="18"/>
    </row>
    <row r="132" spans="1:9">
      <c r="A132" s="943">
        <v>2</v>
      </c>
      <c r="B132" s="944">
        <v>431</v>
      </c>
      <c r="C132" s="944" t="s">
        <v>27</v>
      </c>
      <c r="D132" s="943" t="s">
        <v>1</v>
      </c>
      <c r="E132" s="952">
        <v>3620</v>
      </c>
      <c r="F132" s="945">
        <v>2</v>
      </c>
      <c r="G132" s="946">
        <v>77.5</v>
      </c>
      <c r="H132" s="946">
        <v>77.19</v>
      </c>
    </row>
    <row r="133" spans="1:9" s="26" customFormat="1">
      <c r="A133" s="947">
        <v>2</v>
      </c>
      <c r="B133" s="948">
        <v>440</v>
      </c>
      <c r="C133" s="948" t="s">
        <v>305</v>
      </c>
      <c r="D133" s="947" t="s">
        <v>100</v>
      </c>
      <c r="E133" s="949">
        <v>387860</v>
      </c>
      <c r="F133" s="950">
        <v>5</v>
      </c>
      <c r="G133" s="951">
        <v>0.43</v>
      </c>
      <c r="H133" s="951">
        <v>0.36</v>
      </c>
      <c r="I133" s="18"/>
    </row>
    <row r="134" spans="1:9">
      <c r="A134" s="943">
        <v>2</v>
      </c>
      <c r="B134" s="944">
        <v>443</v>
      </c>
      <c r="C134" s="944" t="s">
        <v>306</v>
      </c>
      <c r="D134" s="943" t="s">
        <v>307</v>
      </c>
      <c r="E134" s="952">
        <v>1109</v>
      </c>
      <c r="F134" s="945">
        <v>8</v>
      </c>
      <c r="G134" s="946">
        <v>75</v>
      </c>
      <c r="H134" s="946">
        <v>75</v>
      </c>
    </row>
    <row r="135" spans="1:9" s="26" customFormat="1">
      <c r="A135" s="947">
        <v>2</v>
      </c>
      <c r="B135" s="948">
        <v>450.22</v>
      </c>
      <c r="C135" s="948" t="s">
        <v>4033</v>
      </c>
      <c r="D135" s="947" t="s">
        <v>7</v>
      </c>
      <c r="E135" s="949">
        <v>4560</v>
      </c>
      <c r="F135" s="950">
        <v>2</v>
      </c>
      <c r="G135" s="951">
        <v>317.5</v>
      </c>
      <c r="H135" s="951">
        <v>290</v>
      </c>
      <c r="I135" s="18"/>
    </row>
    <row r="136" spans="1:9">
      <c r="A136" s="943">
        <v>2</v>
      </c>
      <c r="B136" s="944">
        <v>450.221</v>
      </c>
      <c r="C136" s="944" t="s">
        <v>4034</v>
      </c>
      <c r="D136" s="943" t="s">
        <v>7</v>
      </c>
      <c r="E136" s="952">
        <v>22780</v>
      </c>
      <c r="F136" s="945">
        <v>3</v>
      </c>
      <c r="G136" s="946">
        <v>179</v>
      </c>
      <c r="H136" s="946">
        <v>170.08</v>
      </c>
    </row>
    <row r="137" spans="1:9" s="26" customFormat="1">
      <c r="A137" s="947">
        <v>2</v>
      </c>
      <c r="B137" s="948">
        <v>450.23</v>
      </c>
      <c r="C137" s="948" t="s">
        <v>308</v>
      </c>
      <c r="D137" s="947" t="s">
        <v>7</v>
      </c>
      <c r="E137" s="949">
        <v>31200</v>
      </c>
      <c r="F137" s="950">
        <v>2</v>
      </c>
      <c r="G137" s="951">
        <v>148</v>
      </c>
      <c r="H137" s="951">
        <v>143.85</v>
      </c>
      <c r="I137" s="18"/>
    </row>
    <row r="138" spans="1:9">
      <c r="A138" s="943">
        <v>2</v>
      </c>
      <c r="B138" s="944">
        <v>450.23099999999999</v>
      </c>
      <c r="C138" s="944" t="s">
        <v>1367</v>
      </c>
      <c r="D138" s="943" t="s">
        <v>7</v>
      </c>
      <c r="E138" s="952">
        <v>71580</v>
      </c>
      <c r="F138" s="945">
        <v>3</v>
      </c>
      <c r="G138" s="946">
        <v>195</v>
      </c>
      <c r="H138" s="946">
        <v>187.43</v>
      </c>
    </row>
    <row r="139" spans="1:9" s="26" customFormat="1">
      <c r="A139" s="947">
        <v>2</v>
      </c>
      <c r="B139" s="948">
        <v>450.31</v>
      </c>
      <c r="C139" s="948" t="s">
        <v>53</v>
      </c>
      <c r="D139" s="947" t="s">
        <v>7</v>
      </c>
      <c r="E139" s="949">
        <v>47692</v>
      </c>
      <c r="F139" s="950">
        <v>5</v>
      </c>
      <c r="G139" s="951">
        <v>175</v>
      </c>
      <c r="H139" s="951">
        <v>219.24</v>
      </c>
      <c r="I139" s="18"/>
    </row>
    <row r="140" spans="1:9">
      <c r="A140" s="943">
        <v>2</v>
      </c>
      <c r="B140" s="944">
        <v>450.32</v>
      </c>
      <c r="C140" s="944" t="s">
        <v>309</v>
      </c>
      <c r="D140" s="943" t="s">
        <v>7</v>
      </c>
      <c r="E140" s="952">
        <v>69918</v>
      </c>
      <c r="F140" s="945">
        <v>6</v>
      </c>
      <c r="G140" s="946">
        <v>165</v>
      </c>
      <c r="H140" s="946">
        <v>173.38</v>
      </c>
    </row>
    <row r="141" spans="1:9" s="26" customFormat="1">
      <c r="A141" s="947">
        <v>2</v>
      </c>
      <c r="B141" s="948">
        <v>450.42</v>
      </c>
      <c r="C141" s="948" t="s">
        <v>37</v>
      </c>
      <c r="D141" s="947" t="s">
        <v>7</v>
      </c>
      <c r="E141" s="949">
        <v>29746</v>
      </c>
      <c r="F141" s="950">
        <v>8</v>
      </c>
      <c r="G141" s="951">
        <v>197.5</v>
      </c>
      <c r="H141" s="951">
        <v>227.84</v>
      </c>
      <c r="I141" s="18"/>
    </row>
    <row r="142" spans="1:9">
      <c r="A142" s="943">
        <v>2</v>
      </c>
      <c r="B142" s="944">
        <v>450.53</v>
      </c>
      <c r="C142" s="944" t="s">
        <v>1372</v>
      </c>
      <c r="D142" s="943" t="s">
        <v>7</v>
      </c>
      <c r="E142" s="952">
        <v>1020</v>
      </c>
      <c r="F142" s="945">
        <v>1</v>
      </c>
      <c r="G142" s="946">
        <v>200</v>
      </c>
      <c r="H142" s="946">
        <v>193.75</v>
      </c>
    </row>
    <row r="143" spans="1:9" s="26" customFormat="1">
      <c r="A143" s="947">
        <v>2</v>
      </c>
      <c r="B143" s="948">
        <v>450.6</v>
      </c>
      <c r="C143" s="948" t="s">
        <v>311</v>
      </c>
      <c r="D143" s="947" t="s">
        <v>7</v>
      </c>
      <c r="E143" s="950">
        <v>112</v>
      </c>
      <c r="F143" s="950">
        <v>1</v>
      </c>
      <c r="G143" s="951">
        <v>317.5</v>
      </c>
      <c r="H143" s="951">
        <v>315.13</v>
      </c>
      <c r="I143" s="18"/>
    </row>
    <row r="144" spans="1:9">
      <c r="A144" s="943">
        <v>2</v>
      </c>
      <c r="B144" s="944">
        <v>450.601</v>
      </c>
      <c r="C144" s="944" t="s">
        <v>1373</v>
      </c>
      <c r="D144" s="943" t="s">
        <v>7</v>
      </c>
      <c r="E144" s="945">
        <v>100</v>
      </c>
      <c r="F144" s="945">
        <v>1</v>
      </c>
      <c r="G144" s="946">
        <v>475</v>
      </c>
      <c r="H144" s="946">
        <v>450</v>
      </c>
    </row>
    <row r="145" spans="1:9" s="26" customFormat="1">
      <c r="A145" s="947">
        <v>2</v>
      </c>
      <c r="B145" s="948">
        <v>450.7</v>
      </c>
      <c r="C145" s="948" t="s">
        <v>313</v>
      </c>
      <c r="D145" s="947" t="s">
        <v>7</v>
      </c>
      <c r="E145" s="950">
        <v>712</v>
      </c>
      <c r="F145" s="950">
        <v>2</v>
      </c>
      <c r="G145" s="951">
        <v>309</v>
      </c>
      <c r="H145" s="951">
        <v>298.86</v>
      </c>
      <c r="I145" s="18"/>
    </row>
    <row r="146" spans="1:9">
      <c r="A146" s="943">
        <v>2</v>
      </c>
      <c r="B146" s="944">
        <v>450.71</v>
      </c>
      <c r="C146" s="944" t="s">
        <v>4035</v>
      </c>
      <c r="D146" s="943" t="s">
        <v>7</v>
      </c>
      <c r="E146" s="945">
        <v>632</v>
      </c>
      <c r="F146" s="945">
        <v>2</v>
      </c>
      <c r="G146" s="946">
        <v>306</v>
      </c>
      <c r="H146" s="946">
        <v>301.93</v>
      </c>
    </row>
    <row r="147" spans="1:9" s="26" customFormat="1">
      <c r="A147" s="947">
        <v>2</v>
      </c>
      <c r="B147" s="948">
        <v>450.71100000000001</v>
      </c>
      <c r="C147" s="948" t="s">
        <v>4036</v>
      </c>
      <c r="D147" s="947" t="s">
        <v>7</v>
      </c>
      <c r="E147" s="949">
        <v>1770</v>
      </c>
      <c r="F147" s="950">
        <v>1</v>
      </c>
      <c r="G147" s="951">
        <v>425</v>
      </c>
      <c r="H147" s="951">
        <v>441.67</v>
      </c>
      <c r="I147" s="18"/>
    </row>
    <row r="148" spans="1:9">
      <c r="A148" s="943">
        <v>2</v>
      </c>
      <c r="B148" s="944">
        <v>450.8</v>
      </c>
      <c r="C148" s="944" t="s">
        <v>1377</v>
      </c>
      <c r="D148" s="943" t="s">
        <v>7</v>
      </c>
      <c r="E148" s="952">
        <v>22750</v>
      </c>
      <c r="F148" s="945">
        <v>1</v>
      </c>
      <c r="G148" s="946">
        <v>298</v>
      </c>
      <c r="H148" s="946">
        <v>298</v>
      </c>
    </row>
    <row r="149" spans="1:9" s="26" customFormat="1">
      <c r="A149" s="947">
        <v>2</v>
      </c>
      <c r="B149" s="948">
        <v>451</v>
      </c>
      <c r="C149" s="948" t="s">
        <v>36</v>
      </c>
      <c r="D149" s="947" t="s">
        <v>7</v>
      </c>
      <c r="E149" s="949">
        <v>13138</v>
      </c>
      <c r="F149" s="950">
        <v>17</v>
      </c>
      <c r="G149" s="951">
        <v>300</v>
      </c>
      <c r="H149" s="951">
        <v>288.08</v>
      </c>
      <c r="I149" s="18"/>
    </row>
    <row r="150" spans="1:9">
      <c r="A150" s="943">
        <v>2</v>
      </c>
      <c r="B150" s="944">
        <v>452</v>
      </c>
      <c r="C150" s="944" t="s">
        <v>31</v>
      </c>
      <c r="D150" s="943" t="s">
        <v>20</v>
      </c>
      <c r="E150" s="952">
        <v>123722</v>
      </c>
      <c r="F150" s="945">
        <v>16</v>
      </c>
      <c r="G150" s="946">
        <v>12.75</v>
      </c>
      <c r="H150" s="946">
        <v>12.92</v>
      </c>
    </row>
    <row r="151" spans="1:9" s="26" customFormat="1">
      <c r="A151" s="947">
        <v>2</v>
      </c>
      <c r="B151" s="948">
        <v>453</v>
      </c>
      <c r="C151" s="948" t="s">
        <v>3962</v>
      </c>
      <c r="D151" s="947" t="s">
        <v>17</v>
      </c>
      <c r="E151" s="949">
        <v>433185</v>
      </c>
      <c r="F151" s="950">
        <v>12</v>
      </c>
      <c r="G151" s="951">
        <v>1.88</v>
      </c>
      <c r="H151" s="951">
        <v>1.5</v>
      </c>
      <c r="I151" s="18"/>
    </row>
    <row r="152" spans="1:9">
      <c r="A152" s="943">
        <v>2</v>
      </c>
      <c r="B152" s="944">
        <v>457.2</v>
      </c>
      <c r="C152" s="944" t="s">
        <v>1379</v>
      </c>
      <c r="D152" s="943" t="s">
        <v>7</v>
      </c>
      <c r="E152" s="952">
        <v>7695</v>
      </c>
      <c r="F152" s="945">
        <v>3</v>
      </c>
      <c r="G152" s="946">
        <v>755</v>
      </c>
      <c r="H152" s="946">
        <v>798.55</v>
      </c>
    </row>
    <row r="153" spans="1:9" s="26" customFormat="1">
      <c r="A153" s="947">
        <v>2</v>
      </c>
      <c r="B153" s="948">
        <v>470</v>
      </c>
      <c r="C153" s="948" t="s">
        <v>1382</v>
      </c>
      <c r="D153" s="947" t="s">
        <v>7</v>
      </c>
      <c r="E153" s="950">
        <v>864</v>
      </c>
      <c r="F153" s="950">
        <v>6</v>
      </c>
      <c r="G153" s="951">
        <v>400</v>
      </c>
      <c r="H153" s="951">
        <v>375.88</v>
      </c>
      <c r="I153" s="18"/>
    </row>
    <row r="154" spans="1:9">
      <c r="A154" s="943">
        <v>2</v>
      </c>
      <c r="B154" s="944">
        <v>472</v>
      </c>
      <c r="C154" s="944" t="s">
        <v>1383</v>
      </c>
      <c r="D154" s="943" t="s">
        <v>7</v>
      </c>
      <c r="E154" s="952">
        <v>5978</v>
      </c>
      <c r="F154" s="945">
        <v>12</v>
      </c>
      <c r="G154" s="946">
        <v>300</v>
      </c>
      <c r="H154" s="946">
        <v>285.52999999999997</v>
      </c>
    </row>
    <row r="155" spans="1:9" s="26" customFormat="1">
      <c r="A155" s="947">
        <v>2</v>
      </c>
      <c r="B155" s="948">
        <v>476.1</v>
      </c>
      <c r="C155" s="948" t="s">
        <v>316</v>
      </c>
      <c r="D155" s="947" t="s">
        <v>4</v>
      </c>
      <c r="E155" s="949">
        <v>14300</v>
      </c>
      <c r="F155" s="950">
        <v>1</v>
      </c>
      <c r="G155" s="951">
        <v>1062.5</v>
      </c>
      <c r="H155" s="951">
        <v>1062.5</v>
      </c>
      <c r="I155" s="18"/>
    </row>
    <row r="156" spans="1:9">
      <c r="A156" s="943">
        <v>2</v>
      </c>
      <c r="B156" s="944">
        <v>477</v>
      </c>
      <c r="C156" s="944" t="s">
        <v>1384</v>
      </c>
      <c r="D156" s="943" t="s">
        <v>17</v>
      </c>
      <c r="E156" s="952">
        <v>197960</v>
      </c>
      <c r="F156" s="945">
        <v>3</v>
      </c>
      <c r="G156" s="946">
        <v>12</v>
      </c>
      <c r="H156" s="946">
        <v>7.81</v>
      </c>
    </row>
    <row r="157" spans="1:9" s="26" customFormat="1">
      <c r="A157" s="947">
        <v>2</v>
      </c>
      <c r="B157" s="948">
        <v>477.2</v>
      </c>
      <c r="C157" s="948" t="s">
        <v>1386</v>
      </c>
      <c r="D157" s="947" t="s">
        <v>17</v>
      </c>
      <c r="E157" s="949">
        <v>74850</v>
      </c>
      <c r="F157" s="950">
        <v>3</v>
      </c>
      <c r="G157" s="951">
        <v>2.6</v>
      </c>
      <c r="H157" s="951">
        <v>3.01</v>
      </c>
      <c r="I157" s="18"/>
    </row>
    <row r="158" spans="1:9">
      <c r="A158" s="943">
        <v>2</v>
      </c>
      <c r="B158" s="944">
        <v>480.2</v>
      </c>
      <c r="C158" s="944" t="s">
        <v>4002</v>
      </c>
      <c r="D158" s="943" t="s">
        <v>20</v>
      </c>
      <c r="E158" s="952">
        <v>73970</v>
      </c>
      <c r="F158" s="945">
        <v>2</v>
      </c>
      <c r="G158" s="946">
        <v>75</v>
      </c>
      <c r="H158" s="946">
        <v>49.54</v>
      </c>
    </row>
    <row r="159" spans="1:9" s="26" customFormat="1">
      <c r="A159" s="947">
        <v>2</v>
      </c>
      <c r="B159" s="948">
        <v>482.3</v>
      </c>
      <c r="C159" s="948" t="s">
        <v>319</v>
      </c>
      <c r="D159" s="947" t="s">
        <v>17</v>
      </c>
      <c r="E159" s="949">
        <v>7200</v>
      </c>
      <c r="F159" s="950">
        <v>2</v>
      </c>
      <c r="G159" s="951">
        <v>7.5</v>
      </c>
      <c r="H159" s="951">
        <v>6.35</v>
      </c>
      <c r="I159" s="18"/>
    </row>
    <row r="160" spans="1:9">
      <c r="A160" s="943">
        <v>2</v>
      </c>
      <c r="B160" s="944">
        <v>482.31</v>
      </c>
      <c r="C160" s="944" t="s">
        <v>4038</v>
      </c>
      <c r="D160" s="943" t="s">
        <v>17</v>
      </c>
      <c r="E160" s="952">
        <v>3957</v>
      </c>
      <c r="F160" s="945">
        <v>7</v>
      </c>
      <c r="G160" s="946">
        <v>59</v>
      </c>
      <c r="H160" s="946">
        <v>57.14</v>
      </c>
    </row>
    <row r="161" spans="1:9" s="26" customFormat="1">
      <c r="A161" s="947">
        <v>2</v>
      </c>
      <c r="B161" s="948">
        <v>482.4</v>
      </c>
      <c r="C161" s="948" t="s">
        <v>321</v>
      </c>
      <c r="D161" s="947" t="s">
        <v>17</v>
      </c>
      <c r="E161" s="949">
        <v>20956</v>
      </c>
      <c r="F161" s="950">
        <v>1</v>
      </c>
      <c r="G161" s="951">
        <v>5.88</v>
      </c>
      <c r="H161" s="951">
        <v>5.88</v>
      </c>
      <c r="I161" s="18"/>
    </row>
    <row r="162" spans="1:9">
      <c r="A162" s="943">
        <v>2</v>
      </c>
      <c r="B162" s="944">
        <v>482.5</v>
      </c>
      <c r="C162" s="944" t="s">
        <v>43</v>
      </c>
      <c r="D162" s="943" t="s">
        <v>17</v>
      </c>
      <c r="E162" s="952">
        <v>79850</v>
      </c>
      <c r="F162" s="945">
        <v>5</v>
      </c>
      <c r="G162" s="946">
        <v>4</v>
      </c>
      <c r="H162" s="946">
        <v>3.59</v>
      </c>
    </row>
    <row r="163" spans="1:9" s="26" customFormat="1">
      <c r="A163" s="947">
        <v>2</v>
      </c>
      <c r="B163" s="948">
        <v>504</v>
      </c>
      <c r="C163" s="948" t="s">
        <v>325</v>
      </c>
      <c r="D163" s="947" t="s">
        <v>17</v>
      </c>
      <c r="E163" s="949">
        <v>37560</v>
      </c>
      <c r="F163" s="950">
        <v>5</v>
      </c>
      <c r="G163" s="951">
        <v>72.5</v>
      </c>
      <c r="H163" s="951">
        <v>74.959999999999994</v>
      </c>
      <c r="I163" s="18"/>
    </row>
    <row r="164" spans="1:9">
      <c r="A164" s="943">
        <v>2</v>
      </c>
      <c r="B164" s="944">
        <v>504.1</v>
      </c>
      <c r="C164" s="944" t="s">
        <v>326</v>
      </c>
      <c r="D164" s="943" t="s">
        <v>17</v>
      </c>
      <c r="E164" s="952">
        <v>8320</v>
      </c>
      <c r="F164" s="945">
        <v>3</v>
      </c>
      <c r="G164" s="946">
        <v>85</v>
      </c>
      <c r="H164" s="946">
        <v>85.46</v>
      </c>
    </row>
    <row r="165" spans="1:9" s="26" customFormat="1">
      <c r="A165" s="947">
        <v>2</v>
      </c>
      <c r="B165" s="948">
        <v>504.2</v>
      </c>
      <c r="C165" s="948" t="s">
        <v>327</v>
      </c>
      <c r="D165" s="947" t="s">
        <v>2</v>
      </c>
      <c r="E165" s="950">
        <v>132</v>
      </c>
      <c r="F165" s="950">
        <v>6</v>
      </c>
      <c r="G165" s="951">
        <v>650</v>
      </c>
      <c r="H165" s="951">
        <v>679.43</v>
      </c>
      <c r="I165" s="18"/>
    </row>
    <row r="166" spans="1:9">
      <c r="A166" s="943">
        <v>2</v>
      </c>
      <c r="B166" s="944">
        <v>505</v>
      </c>
      <c r="C166" s="944" t="s">
        <v>328</v>
      </c>
      <c r="D166" s="943" t="s">
        <v>17</v>
      </c>
      <c r="E166" s="945">
        <v>240</v>
      </c>
      <c r="F166" s="945">
        <v>1</v>
      </c>
      <c r="G166" s="946">
        <v>122.5</v>
      </c>
      <c r="H166" s="946">
        <v>124.38</v>
      </c>
    </row>
    <row r="167" spans="1:9" s="26" customFormat="1">
      <c r="A167" s="947">
        <v>2</v>
      </c>
      <c r="B167" s="948">
        <v>506</v>
      </c>
      <c r="C167" s="948" t="s">
        <v>40</v>
      </c>
      <c r="D167" s="947" t="s">
        <v>17</v>
      </c>
      <c r="E167" s="949">
        <v>4277</v>
      </c>
      <c r="F167" s="950">
        <v>3</v>
      </c>
      <c r="G167" s="951">
        <v>105</v>
      </c>
      <c r="H167" s="951">
        <v>100.94</v>
      </c>
      <c r="I167" s="18"/>
    </row>
    <row r="168" spans="1:9">
      <c r="A168" s="943">
        <v>2</v>
      </c>
      <c r="B168" s="944">
        <v>506.1</v>
      </c>
      <c r="C168" s="944" t="s">
        <v>41</v>
      </c>
      <c r="D168" s="943" t="s">
        <v>17</v>
      </c>
      <c r="E168" s="952">
        <v>1906</v>
      </c>
      <c r="F168" s="945">
        <v>2</v>
      </c>
      <c r="G168" s="946">
        <v>100</v>
      </c>
      <c r="H168" s="946">
        <v>106.33</v>
      </c>
    </row>
    <row r="169" spans="1:9" s="26" customFormat="1">
      <c r="A169" s="947">
        <v>2</v>
      </c>
      <c r="B169" s="948">
        <v>509</v>
      </c>
      <c r="C169" s="948" t="s">
        <v>1394</v>
      </c>
      <c r="D169" s="947" t="s">
        <v>17</v>
      </c>
      <c r="E169" s="949">
        <v>4364</v>
      </c>
      <c r="F169" s="950">
        <v>8</v>
      </c>
      <c r="G169" s="951">
        <v>89</v>
      </c>
      <c r="H169" s="951">
        <v>87.29</v>
      </c>
      <c r="I169" s="18"/>
    </row>
    <row r="170" spans="1:9">
      <c r="A170" s="943">
        <v>2</v>
      </c>
      <c r="B170" s="944">
        <v>509.1</v>
      </c>
      <c r="C170" s="944" t="s">
        <v>1395</v>
      </c>
      <c r="D170" s="943" t="s">
        <v>17</v>
      </c>
      <c r="E170" s="952">
        <v>4115</v>
      </c>
      <c r="F170" s="945">
        <v>6</v>
      </c>
      <c r="G170" s="946">
        <v>95.5</v>
      </c>
      <c r="H170" s="946">
        <v>93.96</v>
      </c>
    </row>
    <row r="171" spans="1:9" s="26" customFormat="1">
      <c r="A171" s="947">
        <v>2</v>
      </c>
      <c r="B171" s="948">
        <v>510</v>
      </c>
      <c r="C171" s="948" t="s">
        <v>330</v>
      </c>
      <c r="D171" s="947" t="s">
        <v>17</v>
      </c>
      <c r="E171" s="950">
        <v>40</v>
      </c>
      <c r="F171" s="950">
        <v>1</v>
      </c>
      <c r="G171" s="951">
        <v>85</v>
      </c>
      <c r="H171" s="951">
        <v>70.5</v>
      </c>
      <c r="I171" s="18"/>
    </row>
    <row r="172" spans="1:9">
      <c r="A172" s="943">
        <v>2</v>
      </c>
      <c r="B172" s="944">
        <v>511.1</v>
      </c>
      <c r="C172" s="944" t="s">
        <v>332</v>
      </c>
      <c r="D172" s="943" t="s">
        <v>17</v>
      </c>
      <c r="E172" s="952">
        <v>5340</v>
      </c>
      <c r="F172" s="945">
        <v>2</v>
      </c>
      <c r="G172" s="946">
        <v>47.5</v>
      </c>
      <c r="H172" s="946">
        <v>49.88</v>
      </c>
    </row>
    <row r="173" spans="1:9" s="26" customFormat="1">
      <c r="A173" s="947">
        <v>2</v>
      </c>
      <c r="B173" s="948">
        <v>512.1</v>
      </c>
      <c r="C173" s="948" t="s">
        <v>333</v>
      </c>
      <c r="D173" s="947" t="s">
        <v>17</v>
      </c>
      <c r="E173" s="950">
        <v>95</v>
      </c>
      <c r="F173" s="950">
        <v>2</v>
      </c>
      <c r="G173" s="951">
        <v>70</v>
      </c>
      <c r="H173" s="951">
        <v>69.430000000000007</v>
      </c>
      <c r="I173" s="18"/>
    </row>
    <row r="174" spans="1:9">
      <c r="A174" s="943">
        <v>2</v>
      </c>
      <c r="B174" s="944">
        <v>514</v>
      </c>
      <c r="C174" s="944" t="s">
        <v>38</v>
      </c>
      <c r="D174" s="943" t="s">
        <v>2</v>
      </c>
      <c r="E174" s="945">
        <v>252</v>
      </c>
      <c r="F174" s="945">
        <v>6</v>
      </c>
      <c r="G174" s="946">
        <v>700</v>
      </c>
      <c r="H174" s="946">
        <v>686.5</v>
      </c>
    </row>
    <row r="175" spans="1:9" s="26" customFormat="1">
      <c r="A175" s="947">
        <v>2</v>
      </c>
      <c r="B175" s="948">
        <v>515</v>
      </c>
      <c r="C175" s="948" t="s">
        <v>45</v>
      </c>
      <c r="D175" s="947" t="s">
        <v>2</v>
      </c>
      <c r="E175" s="950">
        <v>30</v>
      </c>
      <c r="F175" s="950">
        <v>1</v>
      </c>
      <c r="G175" s="951">
        <v>800</v>
      </c>
      <c r="H175" s="951">
        <v>831</v>
      </c>
      <c r="I175" s="18"/>
    </row>
    <row r="176" spans="1:9">
      <c r="A176" s="943">
        <v>2</v>
      </c>
      <c r="B176" s="944">
        <v>516</v>
      </c>
      <c r="C176" s="944" t="s">
        <v>47</v>
      </c>
      <c r="D176" s="943" t="s">
        <v>2</v>
      </c>
      <c r="E176" s="945">
        <v>191</v>
      </c>
      <c r="F176" s="945">
        <v>3</v>
      </c>
      <c r="G176" s="946">
        <v>500</v>
      </c>
      <c r="H176" s="946">
        <v>510</v>
      </c>
    </row>
    <row r="177" spans="1:9" s="26" customFormat="1">
      <c r="A177" s="947">
        <v>2</v>
      </c>
      <c r="B177" s="948">
        <v>517</v>
      </c>
      <c r="C177" s="948" t="s">
        <v>334</v>
      </c>
      <c r="D177" s="947" t="s">
        <v>2</v>
      </c>
      <c r="E177" s="950">
        <v>4</v>
      </c>
      <c r="F177" s="950">
        <v>1</v>
      </c>
      <c r="G177" s="951">
        <v>1085</v>
      </c>
      <c r="H177" s="951">
        <v>1085</v>
      </c>
      <c r="I177" s="18"/>
    </row>
    <row r="178" spans="1:9">
      <c r="A178" s="943">
        <v>2</v>
      </c>
      <c r="B178" s="944">
        <v>522</v>
      </c>
      <c r="C178" s="944" t="s">
        <v>2401</v>
      </c>
      <c r="D178" s="943" t="s">
        <v>17</v>
      </c>
      <c r="E178" s="952">
        <v>32330</v>
      </c>
      <c r="F178" s="945">
        <v>1</v>
      </c>
      <c r="G178" s="946">
        <v>50</v>
      </c>
      <c r="H178" s="946">
        <v>50</v>
      </c>
    </row>
    <row r="179" spans="1:9" s="26" customFormat="1">
      <c r="A179" s="947">
        <v>2</v>
      </c>
      <c r="B179" s="948">
        <v>570</v>
      </c>
      <c r="C179" s="948" t="s">
        <v>337</v>
      </c>
      <c r="D179" s="947" t="s">
        <v>17</v>
      </c>
      <c r="E179" s="950">
        <v>40</v>
      </c>
      <c r="F179" s="950">
        <v>1</v>
      </c>
      <c r="G179" s="951">
        <v>55</v>
      </c>
      <c r="H179" s="951">
        <v>55</v>
      </c>
      <c r="I179" s="18"/>
    </row>
    <row r="180" spans="1:9">
      <c r="A180" s="943">
        <v>2</v>
      </c>
      <c r="B180" s="944">
        <v>570.20000000000005</v>
      </c>
      <c r="C180" s="944" t="s">
        <v>338</v>
      </c>
      <c r="D180" s="943" t="s">
        <v>17</v>
      </c>
      <c r="E180" s="952">
        <v>21080</v>
      </c>
      <c r="F180" s="945">
        <v>6</v>
      </c>
      <c r="G180" s="946">
        <v>12</v>
      </c>
      <c r="H180" s="946">
        <v>15.49</v>
      </c>
    </row>
    <row r="181" spans="1:9" s="26" customFormat="1">
      <c r="A181" s="947">
        <v>2</v>
      </c>
      <c r="B181" s="948">
        <v>570.29999999999995</v>
      </c>
      <c r="C181" s="948" t="s">
        <v>339</v>
      </c>
      <c r="D181" s="947" t="s">
        <v>17</v>
      </c>
      <c r="E181" s="950">
        <v>20</v>
      </c>
      <c r="F181" s="950">
        <v>1</v>
      </c>
      <c r="G181" s="951">
        <v>32.5</v>
      </c>
      <c r="H181" s="951">
        <v>32.5</v>
      </c>
      <c r="I181" s="18"/>
    </row>
    <row r="182" spans="1:9">
      <c r="A182" s="943">
        <v>2</v>
      </c>
      <c r="B182" s="944">
        <v>580</v>
      </c>
      <c r="C182" s="944" t="s">
        <v>56</v>
      </c>
      <c r="D182" s="943" t="s">
        <v>17</v>
      </c>
      <c r="E182" s="952">
        <v>38773</v>
      </c>
      <c r="F182" s="945">
        <v>7</v>
      </c>
      <c r="G182" s="946">
        <v>48.5</v>
      </c>
      <c r="H182" s="946">
        <v>46.34</v>
      </c>
    </row>
    <row r="183" spans="1:9" s="26" customFormat="1">
      <c r="A183" s="947">
        <v>2</v>
      </c>
      <c r="B183" s="948">
        <v>581</v>
      </c>
      <c r="C183" s="948" t="s">
        <v>340</v>
      </c>
      <c r="D183" s="947" t="s">
        <v>2</v>
      </c>
      <c r="E183" s="950">
        <v>130</v>
      </c>
      <c r="F183" s="950">
        <v>4</v>
      </c>
      <c r="G183" s="951">
        <v>310</v>
      </c>
      <c r="H183" s="951">
        <v>361.7</v>
      </c>
      <c r="I183" s="18"/>
    </row>
    <row r="184" spans="1:9">
      <c r="A184" s="943">
        <v>2</v>
      </c>
      <c r="B184" s="944">
        <v>583</v>
      </c>
      <c r="C184" s="944" t="s">
        <v>342</v>
      </c>
      <c r="D184" s="943" t="s">
        <v>17</v>
      </c>
      <c r="E184" s="952">
        <v>19905</v>
      </c>
      <c r="F184" s="945">
        <v>6</v>
      </c>
      <c r="G184" s="946">
        <v>43.5</v>
      </c>
      <c r="H184" s="946">
        <v>40.65</v>
      </c>
    </row>
    <row r="185" spans="1:9" s="26" customFormat="1">
      <c r="A185" s="947">
        <v>2</v>
      </c>
      <c r="B185" s="948">
        <v>594</v>
      </c>
      <c r="C185" s="948" t="s">
        <v>346</v>
      </c>
      <c r="D185" s="947" t="s">
        <v>17</v>
      </c>
      <c r="E185" s="949">
        <v>14014</v>
      </c>
      <c r="F185" s="950">
        <v>6</v>
      </c>
      <c r="G185" s="951">
        <v>10</v>
      </c>
      <c r="H185" s="951">
        <v>9.7799999999999994</v>
      </c>
      <c r="I185" s="18"/>
    </row>
    <row r="186" spans="1:9">
      <c r="A186" s="943">
        <v>2</v>
      </c>
      <c r="B186" s="944">
        <v>595</v>
      </c>
      <c r="C186" s="944" t="s">
        <v>347</v>
      </c>
      <c r="D186" s="943" t="s">
        <v>2</v>
      </c>
      <c r="E186" s="945">
        <v>5</v>
      </c>
      <c r="F186" s="945">
        <v>2</v>
      </c>
      <c r="G186" s="946">
        <v>95</v>
      </c>
      <c r="H186" s="946">
        <v>95</v>
      </c>
    </row>
    <row r="187" spans="1:9" s="26" customFormat="1">
      <c r="A187" s="947">
        <v>2</v>
      </c>
      <c r="B187" s="948">
        <v>597</v>
      </c>
      <c r="C187" s="948" t="s">
        <v>349</v>
      </c>
      <c r="D187" s="947" t="s">
        <v>17</v>
      </c>
      <c r="E187" s="949">
        <v>32452</v>
      </c>
      <c r="F187" s="950">
        <v>6</v>
      </c>
      <c r="G187" s="951">
        <v>8</v>
      </c>
      <c r="H187" s="951">
        <v>7.43</v>
      </c>
      <c r="I187" s="18"/>
    </row>
    <row r="188" spans="1:9">
      <c r="A188" s="943">
        <v>2</v>
      </c>
      <c r="B188" s="944">
        <v>620.12</v>
      </c>
      <c r="C188" s="944" t="s">
        <v>1252</v>
      </c>
      <c r="D188" s="943" t="s">
        <v>17</v>
      </c>
      <c r="E188" s="952">
        <v>13725</v>
      </c>
      <c r="F188" s="945">
        <v>7</v>
      </c>
      <c r="G188" s="946">
        <v>35</v>
      </c>
      <c r="H188" s="946">
        <v>35.6</v>
      </c>
    </row>
    <row r="189" spans="1:9" s="26" customFormat="1">
      <c r="A189" s="947">
        <v>2</v>
      </c>
      <c r="B189" s="948">
        <v>620.13</v>
      </c>
      <c r="C189" s="948" t="s">
        <v>1398</v>
      </c>
      <c r="D189" s="947" t="s">
        <v>17</v>
      </c>
      <c r="E189" s="949">
        <v>12995</v>
      </c>
      <c r="F189" s="950">
        <v>5</v>
      </c>
      <c r="G189" s="951">
        <v>35</v>
      </c>
      <c r="H189" s="951">
        <v>36.47</v>
      </c>
      <c r="I189" s="18"/>
    </row>
    <row r="190" spans="1:9">
      <c r="A190" s="943">
        <v>2</v>
      </c>
      <c r="B190" s="944">
        <v>620.13099999999997</v>
      </c>
      <c r="C190" s="944" t="s">
        <v>1399</v>
      </c>
      <c r="D190" s="943" t="s">
        <v>17</v>
      </c>
      <c r="E190" s="952">
        <v>22620</v>
      </c>
      <c r="F190" s="945">
        <v>2</v>
      </c>
      <c r="G190" s="946">
        <v>44</v>
      </c>
      <c r="H190" s="946">
        <v>44.5</v>
      </c>
    </row>
    <row r="191" spans="1:9" s="26" customFormat="1">
      <c r="A191" s="947">
        <v>2</v>
      </c>
      <c r="B191" s="948">
        <v>620.32000000000005</v>
      </c>
      <c r="C191" s="948" t="s">
        <v>1253</v>
      </c>
      <c r="D191" s="947" t="s">
        <v>17</v>
      </c>
      <c r="E191" s="950">
        <v>840</v>
      </c>
      <c r="F191" s="950">
        <v>1</v>
      </c>
      <c r="G191" s="951">
        <v>35</v>
      </c>
      <c r="H191" s="951">
        <v>35.33</v>
      </c>
      <c r="I191" s="18"/>
    </row>
    <row r="192" spans="1:9">
      <c r="A192" s="943">
        <v>2</v>
      </c>
      <c r="B192" s="944">
        <v>620.33000000000004</v>
      </c>
      <c r="C192" s="944" t="s">
        <v>1400</v>
      </c>
      <c r="D192" s="943" t="s">
        <v>17</v>
      </c>
      <c r="E192" s="945">
        <v>105</v>
      </c>
      <c r="F192" s="945">
        <v>1</v>
      </c>
      <c r="G192" s="946">
        <v>50</v>
      </c>
      <c r="H192" s="946">
        <v>44</v>
      </c>
    </row>
    <row r="193" spans="1:9" s="26" customFormat="1">
      <c r="A193" s="947">
        <v>2</v>
      </c>
      <c r="B193" s="948">
        <v>621.12</v>
      </c>
      <c r="C193" s="948" t="s">
        <v>1401</v>
      </c>
      <c r="D193" s="947" t="s">
        <v>17</v>
      </c>
      <c r="E193" s="949">
        <v>14050</v>
      </c>
      <c r="F193" s="950">
        <v>1</v>
      </c>
      <c r="G193" s="951">
        <v>49</v>
      </c>
      <c r="H193" s="951">
        <v>49</v>
      </c>
      <c r="I193" s="18"/>
    </row>
    <row r="194" spans="1:9">
      <c r="A194" s="943">
        <v>2</v>
      </c>
      <c r="B194" s="944">
        <v>627.1</v>
      </c>
      <c r="C194" s="944" t="s">
        <v>1403</v>
      </c>
      <c r="D194" s="943" t="s">
        <v>2</v>
      </c>
      <c r="E194" s="945">
        <v>67</v>
      </c>
      <c r="F194" s="945">
        <v>5</v>
      </c>
      <c r="G194" s="946">
        <v>2500</v>
      </c>
      <c r="H194" s="946">
        <v>2442.33</v>
      </c>
    </row>
    <row r="195" spans="1:9" s="26" customFormat="1">
      <c r="A195" s="947">
        <v>2</v>
      </c>
      <c r="B195" s="948">
        <v>627.72</v>
      </c>
      <c r="C195" s="948" t="s">
        <v>1404</v>
      </c>
      <c r="D195" s="947" t="s">
        <v>2</v>
      </c>
      <c r="E195" s="950">
        <v>32</v>
      </c>
      <c r="F195" s="950">
        <v>1</v>
      </c>
      <c r="G195" s="951">
        <v>44000</v>
      </c>
      <c r="H195" s="951">
        <v>44000</v>
      </c>
      <c r="I195" s="18"/>
    </row>
    <row r="196" spans="1:9">
      <c r="A196" s="943">
        <v>2</v>
      </c>
      <c r="B196" s="944">
        <v>627.73</v>
      </c>
      <c r="C196" s="944" t="s">
        <v>1405</v>
      </c>
      <c r="D196" s="943" t="s">
        <v>2</v>
      </c>
      <c r="E196" s="945">
        <v>6</v>
      </c>
      <c r="F196" s="945">
        <v>1</v>
      </c>
      <c r="G196" s="946">
        <v>13575</v>
      </c>
      <c r="H196" s="946">
        <v>13271.67</v>
      </c>
    </row>
    <row r="197" spans="1:9" s="26" customFormat="1">
      <c r="A197" s="947">
        <v>2</v>
      </c>
      <c r="B197" s="948">
        <v>627.82000000000005</v>
      </c>
      <c r="C197" s="948" t="s">
        <v>1406</v>
      </c>
      <c r="D197" s="947" t="s">
        <v>2</v>
      </c>
      <c r="E197" s="950">
        <v>111</v>
      </c>
      <c r="F197" s="950">
        <v>6</v>
      </c>
      <c r="G197" s="951">
        <v>5700</v>
      </c>
      <c r="H197" s="951">
        <v>5597.98</v>
      </c>
      <c r="I197" s="18"/>
    </row>
    <row r="198" spans="1:9">
      <c r="A198" s="943">
        <v>2</v>
      </c>
      <c r="B198" s="944">
        <v>627.83000000000004</v>
      </c>
      <c r="C198" s="944" t="s">
        <v>1407</v>
      </c>
      <c r="D198" s="943" t="s">
        <v>2</v>
      </c>
      <c r="E198" s="945">
        <v>375</v>
      </c>
      <c r="F198" s="945">
        <v>6</v>
      </c>
      <c r="G198" s="946">
        <v>5500</v>
      </c>
      <c r="H198" s="946">
        <v>5715.26</v>
      </c>
    </row>
    <row r="199" spans="1:9" s="26" customFormat="1">
      <c r="A199" s="947">
        <v>2</v>
      </c>
      <c r="B199" s="948">
        <v>627.91999999999996</v>
      </c>
      <c r="C199" s="948" t="s">
        <v>1408</v>
      </c>
      <c r="D199" s="947" t="s">
        <v>2</v>
      </c>
      <c r="E199" s="950">
        <v>17</v>
      </c>
      <c r="F199" s="950">
        <v>3</v>
      </c>
      <c r="G199" s="951">
        <v>5750</v>
      </c>
      <c r="H199" s="951">
        <v>5900</v>
      </c>
      <c r="I199" s="18"/>
    </row>
    <row r="200" spans="1:9">
      <c r="A200" s="943">
        <v>2</v>
      </c>
      <c r="B200" s="944">
        <v>627.92999999999995</v>
      </c>
      <c r="C200" s="944" t="s">
        <v>1409</v>
      </c>
      <c r="D200" s="943" t="s">
        <v>2</v>
      </c>
      <c r="E200" s="945">
        <v>6</v>
      </c>
      <c r="F200" s="945">
        <v>2</v>
      </c>
      <c r="G200" s="946">
        <v>5912.5</v>
      </c>
      <c r="H200" s="946">
        <v>6121.67</v>
      </c>
    </row>
    <row r="201" spans="1:9" s="26" customFormat="1">
      <c r="A201" s="947">
        <v>2</v>
      </c>
      <c r="B201" s="948">
        <v>628.21</v>
      </c>
      <c r="C201" s="948" t="s">
        <v>1410</v>
      </c>
      <c r="D201" s="947" t="s">
        <v>2</v>
      </c>
      <c r="E201" s="950">
        <v>250</v>
      </c>
      <c r="F201" s="950">
        <v>6</v>
      </c>
      <c r="G201" s="951">
        <v>2000</v>
      </c>
      <c r="H201" s="951">
        <v>2035.03</v>
      </c>
      <c r="I201" s="18"/>
    </row>
    <row r="202" spans="1:9">
      <c r="A202" s="943">
        <v>2</v>
      </c>
      <c r="B202" s="944">
        <v>628.22</v>
      </c>
      <c r="C202" s="944" t="s">
        <v>1411</v>
      </c>
      <c r="D202" s="943" t="s">
        <v>2</v>
      </c>
      <c r="E202" s="945">
        <v>7</v>
      </c>
      <c r="F202" s="945">
        <v>2</v>
      </c>
      <c r="G202" s="946">
        <v>6050</v>
      </c>
      <c r="H202" s="946">
        <v>5942.25</v>
      </c>
    </row>
    <row r="203" spans="1:9" s="26" customFormat="1">
      <c r="A203" s="947">
        <v>2</v>
      </c>
      <c r="B203" s="948">
        <v>628.24</v>
      </c>
      <c r="C203" s="948" t="s">
        <v>1413</v>
      </c>
      <c r="D203" s="947" t="s">
        <v>2</v>
      </c>
      <c r="E203" s="950">
        <v>110</v>
      </c>
      <c r="F203" s="950">
        <v>4</v>
      </c>
      <c r="G203" s="951">
        <v>6400</v>
      </c>
      <c r="H203" s="951">
        <v>6209.05</v>
      </c>
      <c r="I203" s="18"/>
    </row>
    <row r="204" spans="1:9">
      <c r="A204" s="943">
        <v>2</v>
      </c>
      <c r="B204" s="944">
        <v>628.25</v>
      </c>
      <c r="C204" s="944" t="s">
        <v>1414</v>
      </c>
      <c r="D204" s="943" t="s">
        <v>2</v>
      </c>
      <c r="E204" s="945">
        <v>22</v>
      </c>
      <c r="F204" s="945">
        <v>1</v>
      </c>
      <c r="G204" s="946">
        <v>440</v>
      </c>
      <c r="H204" s="946">
        <v>395</v>
      </c>
    </row>
    <row r="205" spans="1:9" s="26" customFormat="1">
      <c r="A205" s="947">
        <v>2</v>
      </c>
      <c r="B205" s="948">
        <v>628.30499999999995</v>
      </c>
      <c r="C205" s="948" t="s">
        <v>2413</v>
      </c>
      <c r="D205" s="947" t="s">
        <v>2</v>
      </c>
      <c r="E205" s="950">
        <v>37</v>
      </c>
      <c r="F205" s="950">
        <v>3</v>
      </c>
      <c r="G205" s="951">
        <v>10005</v>
      </c>
      <c r="H205" s="951">
        <v>10728.33</v>
      </c>
      <c r="I205" s="18"/>
    </row>
    <row r="206" spans="1:9">
      <c r="A206" s="943">
        <v>2</v>
      </c>
      <c r="B206" s="944">
        <v>628.31500000000005</v>
      </c>
      <c r="C206" s="944" t="s">
        <v>2417</v>
      </c>
      <c r="D206" s="943" t="s">
        <v>2</v>
      </c>
      <c r="E206" s="945">
        <v>24</v>
      </c>
      <c r="F206" s="945">
        <v>3</v>
      </c>
      <c r="G206" s="946">
        <v>8130</v>
      </c>
      <c r="H206" s="946">
        <v>8211.33</v>
      </c>
    </row>
    <row r="207" spans="1:9" s="26" customFormat="1">
      <c r="A207" s="947">
        <v>2</v>
      </c>
      <c r="B207" s="948">
        <v>628.4</v>
      </c>
      <c r="C207" s="948" t="s">
        <v>3901</v>
      </c>
      <c r="D207" s="947" t="s">
        <v>2</v>
      </c>
      <c r="E207" s="950">
        <v>113</v>
      </c>
      <c r="F207" s="950">
        <v>6</v>
      </c>
      <c r="G207" s="951">
        <v>2250</v>
      </c>
      <c r="H207" s="951">
        <v>2403.75</v>
      </c>
      <c r="I207" s="18"/>
    </row>
    <row r="208" spans="1:9">
      <c r="A208" s="943">
        <v>2</v>
      </c>
      <c r="B208" s="944">
        <v>629.1</v>
      </c>
      <c r="C208" s="944" t="s">
        <v>353</v>
      </c>
      <c r="D208" s="943" t="s">
        <v>17</v>
      </c>
      <c r="E208" s="945">
        <v>150</v>
      </c>
      <c r="F208" s="945">
        <v>1</v>
      </c>
      <c r="G208" s="946">
        <v>205</v>
      </c>
      <c r="H208" s="946">
        <v>205</v>
      </c>
    </row>
    <row r="209" spans="1:9" s="26" customFormat="1">
      <c r="A209" s="947">
        <v>2</v>
      </c>
      <c r="B209" s="948">
        <v>630</v>
      </c>
      <c r="C209" s="948" t="s">
        <v>356</v>
      </c>
      <c r="D209" s="947" t="s">
        <v>17</v>
      </c>
      <c r="E209" s="949">
        <v>8750</v>
      </c>
      <c r="F209" s="950">
        <v>2</v>
      </c>
      <c r="G209" s="951">
        <v>50</v>
      </c>
      <c r="H209" s="951">
        <v>45.12</v>
      </c>
      <c r="I209" s="18"/>
    </row>
    <row r="210" spans="1:9">
      <c r="A210" s="943">
        <v>2</v>
      </c>
      <c r="B210" s="944">
        <v>630.1</v>
      </c>
      <c r="C210" s="944" t="s">
        <v>357</v>
      </c>
      <c r="D210" s="943" t="s">
        <v>17</v>
      </c>
      <c r="E210" s="952">
        <v>1100</v>
      </c>
      <c r="F210" s="945">
        <v>1</v>
      </c>
      <c r="G210" s="946">
        <v>3</v>
      </c>
      <c r="H210" s="946">
        <v>2.71</v>
      </c>
    </row>
    <row r="211" spans="1:9" s="26" customFormat="1">
      <c r="A211" s="947">
        <v>2</v>
      </c>
      <c r="B211" s="948">
        <v>630.20000000000005</v>
      </c>
      <c r="C211" s="948" t="s">
        <v>358</v>
      </c>
      <c r="D211" s="947" t="s">
        <v>17</v>
      </c>
      <c r="E211" s="949">
        <v>41660</v>
      </c>
      <c r="F211" s="950">
        <v>8</v>
      </c>
      <c r="G211" s="951">
        <v>4.25</v>
      </c>
      <c r="H211" s="951">
        <v>4.29</v>
      </c>
      <c r="I211" s="18"/>
    </row>
    <row r="212" spans="1:9">
      <c r="A212" s="943">
        <v>2</v>
      </c>
      <c r="B212" s="944">
        <v>632</v>
      </c>
      <c r="C212" s="944" t="s">
        <v>359</v>
      </c>
      <c r="D212" s="943" t="s">
        <v>2</v>
      </c>
      <c r="E212" s="945">
        <v>645</v>
      </c>
      <c r="F212" s="945">
        <v>4</v>
      </c>
      <c r="G212" s="946">
        <v>142.5</v>
      </c>
      <c r="H212" s="946">
        <v>139.25</v>
      </c>
    </row>
    <row r="213" spans="1:9" s="26" customFormat="1">
      <c r="A213" s="947">
        <v>2</v>
      </c>
      <c r="B213" s="948">
        <v>632.20000000000005</v>
      </c>
      <c r="C213" s="948" t="s">
        <v>1418</v>
      </c>
      <c r="D213" s="947" t="s">
        <v>2</v>
      </c>
      <c r="E213" s="950">
        <v>20</v>
      </c>
      <c r="F213" s="950">
        <v>1</v>
      </c>
      <c r="G213" s="951">
        <v>42</v>
      </c>
      <c r="H213" s="951">
        <v>42</v>
      </c>
      <c r="I213" s="18"/>
    </row>
    <row r="214" spans="1:9">
      <c r="A214" s="943">
        <v>2</v>
      </c>
      <c r="B214" s="944">
        <v>632.4</v>
      </c>
      <c r="C214" s="944" t="s">
        <v>361</v>
      </c>
      <c r="D214" s="943" t="s">
        <v>2</v>
      </c>
      <c r="E214" s="945">
        <v>208</v>
      </c>
      <c r="F214" s="945">
        <v>2</v>
      </c>
      <c r="G214" s="946">
        <v>19.5</v>
      </c>
      <c r="H214" s="946">
        <v>16.329999999999998</v>
      </c>
    </row>
    <row r="215" spans="1:9" s="26" customFormat="1">
      <c r="A215" s="947">
        <v>2</v>
      </c>
      <c r="B215" s="948">
        <v>633</v>
      </c>
      <c r="C215" s="948" t="s">
        <v>362</v>
      </c>
      <c r="D215" s="947" t="s">
        <v>2</v>
      </c>
      <c r="E215" s="950">
        <v>773</v>
      </c>
      <c r="F215" s="950">
        <v>5</v>
      </c>
      <c r="G215" s="951">
        <v>19.28</v>
      </c>
      <c r="H215" s="951">
        <v>19.7</v>
      </c>
      <c r="I215" s="18"/>
    </row>
    <row r="216" spans="1:9">
      <c r="A216" s="943">
        <v>2</v>
      </c>
      <c r="B216" s="944">
        <v>633.1</v>
      </c>
      <c r="C216" s="944" t="s">
        <v>363</v>
      </c>
      <c r="D216" s="943" t="s">
        <v>2</v>
      </c>
      <c r="E216" s="945">
        <v>137</v>
      </c>
      <c r="F216" s="945">
        <v>3</v>
      </c>
      <c r="G216" s="946">
        <v>25.85</v>
      </c>
      <c r="H216" s="946">
        <v>25.98</v>
      </c>
    </row>
    <row r="217" spans="1:9" s="26" customFormat="1">
      <c r="A217" s="947">
        <v>2</v>
      </c>
      <c r="B217" s="948">
        <v>634</v>
      </c>
      <c r="C217" s="948" t="s">
        <v>364</v>
      </c>
      <c r="D217" s="947" t="s">
        <v>2</v>
      </c>
      <c r="E217" s="950">
        <v>343</v>
      </c>
      <c r="F217" s="950">
        <v>4</v>
      </c>
      <c r="G217" s="951">
        <v>230.88</v>
      </c>
      <c r="H217" s="951">
        <v>219.25</v>
      </c>
      <c r="I217" s="18"/>
    </row>
    <row r="218" spans="1:9">
      <c r="A218" s="943">
        <v>2</v>
      </c>
      <c r="B218" s="944">
        <v>634.1</v>
      </c>
      <c r="C218" s="944" t="s">
        <v>365</v>
      </c>
      <c r="D218" s="943" t="s">
        <v>2</v>
      </c>
      <c r="E218" s="945">
        <v>94</v>
      </c>
      <c r="F218" s="945">
        <v>3</v>
      </c>
      <c r="G218" s="946">
        <v>385</v>
      </c>
      <c r="H218" s="946">
        <v>391.58</v>
      </c>
    </row>
    <row r="219" spans="1:9" s="26" customFormat="1">
      <c r="A219" s="947">
        <v>2</v>
      </c>
      <c r="B219" s="948">
        <v>644.072</v>
      </c>
      <c r="C219" s="948" t="s">
        <v>368</v>
      </c>
      <c r="D219" s="947" t="s">
        <v>17</v>
      </c>
      <c r="E219" s="949">
        <v>1800</v>
      </c>
      <c r="F219" s="950">
        <v>1</v>
      </c>
      <c r="G219" s="951">
        <v>49.75</v>
      </c>
      <c r="H219" s="951">
        <v>51.25</v>
      </c>
      <c r="I219" s="18"/>
    </row>
    <row r="220" spans="1:9">
      <c r="A220" s="943">
        <v>2</v>
      </c>
      <c r="B220" s="944">
        <v>645.072</v>
      </c>
      <c r="C220" s="944" t="s">
        <v>374</v>
      </c>
      <c r="D220" s="943" t="s">
        <v>17</v>
      </c>
      <c r="E220" s="945">
        <v>900</v>
      </c>
      <c r="F220" s="945">
        <v>1</v>
      </c>
      <c r="G220" s="946">
        <v>57</v>
      </c>
      <c r="H220" s="946">
        <v>55.78</v>
      </c>
    </row>
    <row r="221" spans="1:9" s="26" customFormat="1">
      <c r="A221" s="947">
        <v>2</v>
      </c>
      <c r="B221" s="948">
        <v>645.14800000000002</v>
      </c>
      <c r="C221" s="948" t="s">
        <v>375</v>
      </c>
      <c r="D221" s="947" t="s">
        <v>17</v>
      </c>
      <c r="E221" s="950">
        <v>390</v>
      </c>
      <c r="F221" s="950">
        <v>1</v>
      </c>
      <c r="G221" s="951">
        <v>76.5</v>
      </c>
      <c r="H221" s="951">
        <v>76.83</v>
      </c>
      <c r="I221" s="18"/>
    </row>
    <row r="222" spans="1:9">
      <c r="A222" s="943">
        <v>2</v>
      </c>
      <c r="B222" s="944">
        <v>645.17200000000003</v>
      </c>
      <c r="C222" s="944" t="s">
        <v>376</v>
      </c>
      <c r="D222" s="943" t="s">
        <v>17</v>
      </c>
      <c r="E222" s="952">
        <v>1500</v>
      </c>
      <c r="F222" s="945">
        <v>1</v>
      </c>
      <c r="G222" s="946">
        <v>90</v>
      </c>
      <c r="H222" s="946">
        <v>90</v>
      </c>
    </row>
    <row r="223" spans="1:9" s="26" customFormat="1">
      <c r="A223" s="947">
        <v>2</v>
      </c>
      <c r="B223" s="948">
        <v>647.072</v>
      </c>
      <c r="C223" s="948" t="s">
        <v>2451</v>
      </c>
      <c r="D223" s="947" t="s">
        <v>17</v>
      </c>
      <c r="E223" s="950">
        <v>40</v>
      </c>
      <c r="F223" s="950">
        <v>1</v>
      </c>
      <c r="G223" s="951">
        <v>62.75</v>
      </c>
      <c r="H223" s="951">
        <v>61.38</v>
      </c>
      <c r="I223" s="18"/>
    </row>
    <row r="224" spans="1:9">
      <c r="A224" s="943">
        <v>2</v>
      </c>
      <c r="B224" s="944">
        <v>647.096</v>
      </c>
      <c r="C224" s="944" t="s">
        <v>2453</v>
      </c>
      <c r="D224" s="943" t="s">
        <v>17</v>
      </c>
      <c r="E224" s="952">
        <v>1050</v>
      </c>
      <c r="F224" s="945">
        <v>1</v>
      </c>
      <c r="G224" s="946">
        <v>100</v>
      </c>
      <c r="H224" s="946">
        <v>99.43</v>
      </c>
    </row>
    <row r="225" spans="1:9" s="26" customFormat="1">
      <c r="A225" s="947">
        <v>2</v>
      </c>
      <c r="B225" s="948">
        <v>651.072</v>
      </c>
      <c r="C225" s="948" t="s">
        <v>379</v>
      </c>
      <c r="D225" s="947" t="s">
        <v>17</v>
      </c>
      <c r="E225" s="950">
        <v>252</v>
      </c>
      <c r="F225" s="950">
        <v>1</v>
      </c>
      <c r="G225" s="951">
        <v>196.25</v>
      </c>
      <c r="H225" s="951">
        <v>225.75</v>
      </c>
      <c r="I225" s="18"/>
    </row>
    <row r="226" spans="1:9">
      <c r="A226" s="943">
        <v>2</v>
      </c>
      <c r="B226" s="944">
        <v>652.072</v>
      </c>
      <c r="C226" s="944" t="s">
        <v>381</v>
      </c>
      <c r="D226" s="943" t="s">
        <v>2</v>
      </c>
      <c r="E226" s="945">
        <v>26</v>
      </c>
      <c r="F226" s="945">
        <v>2</v>
      </c>
      <c r="G226" s="946">
        <v>600</v>
      </c>
      <c r="H226" s="946">
        <v>551.30999999999995</v>
      </c>
    </row>
    <row r="227" spans="1:9" s="26" customFormat="1">
      <c r="A227" s="947">
        <v>2</v>
      </c>
      <c r="B227" s="948">
        <v>653.072</v>
      </c>
      <c r="C227" s="948" t="s">
        <v>383</v>
      </c>
      <c r="D227" s="947" t="s">
        <v>2</v>
      </c>
      <c r="E227" s="950">
        <v>48</v>
      </c>
      <c r="F227" s="950">
        <v>2</v>
      </c>
      <c r="G227" s="951">
        <v>600</v>
      </c>
      <c r="H227" s="951">
        <v>545.83000000000004</v>
      </c>
      <c r="I227" s="18"/>
    </row>
    <row r="228" spans="1:9">
      <c r="A228" s="943">
        <v>2</v>
      </c>
      <c r="B228" s="944">
        <v>654.072</v>
      </c>
      <c r="C228" s="944" t="s">
        <v>385</v>
      </c>
      <c r="D228" s="943" t="s">
        <v>17</v>
      </c>
      <c r="E228" s="945">
        <v>420</v>
      </c>
      <c r="F228" s="945">
        <v>1</v>
      </c>
      <c r="G228" s="946">
        <v>20.9</v>
      </c>
      <c r="H228" s="946">
        <v>21.05</v>
      </c>
    </row>
    <row r="229" spans="1:9" s="26" customFormat="1">
      <c r="A229" s="947">
        <v>2</v>
      </c>
      <c r="B229" s="948">
        <v>657</v>
      </c>
      <c r="C229" s="948" t="s">
        <v>387</v>
      </c>
      <c r="D229" s="947" t="s">
        <v>17</v>
      </c>
      <c r="E229" s="949">
        <v>9610</v>
      </c>
      <c r="F229" s="950">
        <v>3</v>
      </c>
      <c r="G229" s="951">
        <v>32</v>
      </c>
      <c r="H229" s="951">
        <v>32.22</v>
      </c>
      <c r="I229" s="18"/>
    </row>
    <row r="230" spans="1:9">
      <c r="A230" s="943">
        <v>2</v>
      </c>
      <c r="B230" s="944">
        <v>658</v>
      </c>
      <c r="C230" s="944" t="s">
        <v>2493</v>
      </c>
      <c r="D230" s="943" t="s">
        <v>2</v>
      </c>
      <c r="E230" s="945">
        <v>12</v>
      </c>
      <c r="F230" s="945">
        <v>1</v>
      </c>
      <c r="G230" s="946">
        <v>548</v>
      </c>
      <c r="H230" s="946">
        <v>571.5</v>
      </c>
    </row>
    <row r="231" spans="1:9" s="26" customFormat="1">
      <c r="A231" s="947">
        <v>2</v>
      </c>
      <c r="B231" s="948">
        <v>665</v>
      </c>
      <c r="C231" s="948" t="s">
        <v>390</v>
      </c>
      <c r="D231" s="947" t="s">
        <v>17</v>
      </c>
      <c r="E231" s="949">
        <v>2000</v>
      </c>
      <c r="F231" s="950">
        <v>1</v>
      </c>
      <c r="G231" s="951">
        <v>3</v>
      </c>
      <c r="H231" s="951">
        <v>2.64</v>
      </c>
      <c r="I231" s="18"/>
    </row>
    <row r="232" spans="1:9">
      <c r="A232" s="943">
        <v>2</v>
      </c>
      <c r="B232" s="944">
        <v>666</v>
      </c>
      <c r="C232" s="944" t="s">
        <v>391</v>
      </c>
      <c r="D232" s="943" t="s">
        <v>17</v>
      </c>
      <c r="E232" s="945">
        <v>470</v>
      </c>
      <c r="F232" s="945">
        <v>3</v>
      </c>
      <c r="G232" s="946">
        <v>70</v>
      </c>
      <c r="H232" s="946">
        <v>75.12</v>
      </c>
    </row>
    <row r="233" spans="1:9" s="26" customFormat="1">
      <c r="A233" s="947">
        <v>2</v>
      </c>
      <c r="B233" s="948">
        <v>669</v>
      </c>
      <c r="C233" s="948" t="s">
        <v>393</v>
      </c>
      <c r="D233" s="947" t="s">
        <v>17</v>
      </c>
      <c r="E233" s="949">
        <v>2000</v>
      </c>
      <c r="F233" s="950">
        <v>1</v>
      </c>
      <c r="G233" s="951">
        <v>5</v>
      </c>
      <c r="H233" s="951">
        <v>2.64</v>
      </c>
      <c r="I233" s="18"/>
    </row>
    <row r="234" spans="1:9">
      <c r="A234" s="943">
        <v>2</v>
      </c>
      <c r="B234" s="944">
        <v>670</v>
      </c>
      <c r="C234" s="944" t="s">
        <v>394</v>
      </c>
      <c r="D234" s="943" t="s">
        <v>17</v>
      </c>
      <c r="E234" s="952">
        <v>1680</v>
      </c>
      <c r="F234" s="945">
        <v>1</v>
      </c>
      <c r="G234" s="946">
        <v>92.5</v>
      </c>
      <c r="H234" s="946">
        <v>89.59</v>
      </c>
    </row>
    <row r="235" spans="1:9" s="26" customFormat="1">
      <c r="A235" s="947">
        <v>2</v>
      </c>
      <c r="B235" s="948">
        <v>672</v>
      </c>
      <c r="C235" s="948" t="s">
        <v>395</v>
      </c>
      <c r="D235" s="947" t="s">
        <v>2</v>
      </c>
      <c r="E235" s="950">
        <v>10</v>
      </c>
      <c r="F235" s="950">
        <v>2</v>
      </c>
      <c r="G235" s="951">
        <v>3000</v>
      </c>
      <c r="H235" s="951">
        <v>3020</v>
      </c>
      <c r="I235" s="18"/>
    </row>
    <row r="236" spans="1:9">
      <c r="A236" s="943">
        <v>2</v>
      </c>
      <c r="B236" s="944">
        <v>685</v>
      </c>
      <c r="C236" s="944" t="s">
        <v>396</v>
      </c>
      <c r="D236" s="943" t="s">
        <v>4</v>
      </c>
      <c r="E236" s="945">
        <v>105</v>
      </c>
      <c r="F236" s="945">
        <v>1</v>
      </c>
      <c r="G236" s="946">
        <v>1950</v>
      </c>
      <c r="H236" s="946">
        <v>1952.14</v>
      </c>
    </row>
    <row r="237" spans="1:9" s="26" customFormat="1">
      <c r="A237" s="947">
        <v>2</v>
      </c>
      <c r="B237" s="948">
        <v>691</v>
      </c>
      <c r="C237" s="948" t="s">
        <v>399</v>
      </c>
      <c r="D237" s="947" t="s">
        <v>17</v>
      </c>
      <c r="E237" s="950">
        <v>100</v>
      </c>
      <c r="F237" s="950">
        <v>1</v>
      </c>
      <c r="G237" s="951">
        <v>205</v>
      </c>
      <c r="H237" s="951">
        <v>205</v>
      </c>
      <c r="I237" s="18"/>
    </row>
    <row r="238" spans="1:9">
      <c r="A238" s="943">
        <v>2</v>
      </c>
      <c r="B238" s="944">
        <v>697</v>
      </c>
      <c r="C238" s="944" t="s">
        <v>400</v>
      </c>
      <c r="D238" s="943" t="s">
        <v>17</v>
      </c>
      <c r="E238" s="952">
        <v>3167</v>
      </c>
      <c r="F238" s="945">
        <v>4</v>
      </c>
      <c r="G238" s="946">
        <v>10</v>
      </c>
      <c r="H238" s="946">
        <v>8.91</v>
      </c>
    </row>
    <row r="239" spans="1:9" s="26" customFormat="1">
      <c r="A239" s="947">
        <v>2</v>
      </c>
      <c r="B239" s="948">
        <v>697.1</v>
      </c>
      <c r="C239" s="948" t="s">
        <v>401</v>
      </c>
      <c r="D239" s="947" t="s">
        <v>2</v>
      </c>
      <c r="E239" s="949">
        <v>1705</v>
      </c>
      <c r="F239" s="950">
        <v>8</v>
      </c>
      <c r="G239" s="951">
        <v>235</v>
      </c>
      <c r="H239" s="951">
        <v>224.28</v>
      </c>
      <c r="I239" s="18"/>
    </row>
    <row r="240" spans="1:9">
      <c r="A240" s="943">
        <v>2</v>
      </c>
      <c r="B240" s="944">
        <v>697.2</v>
      </c>
      <c r="C240" s="944" t="s">
        <v>402</v>
      </c>
      <c r="D240" s="943" t="s">
        <v>17</v>
      </c>
      <c r="E240" s="945">
        <v>480</v>
      </c>
      <c r="F240" s="945">
        <v>1</v>
      </c>
      <c r="G240" s="946">
        <v>50</v>
      </c>
      <c r="H240" s="946">
        <v>48.75</v>
      </c>
    </row>
    <row r="241" spans="1:9" s="26" customFormat="1">
      <c r="A241" s="947">
        <v>2</v>
      </c>
      <c r="B241" s="948">
        <v>698.1</v>
      </c>
      <c r="C241" s="948" t="s">
        <v>403</v>
      </c>
      <c r="D241" s="947" t="s">
        <v>1</v>
      </c>
      <c r="E241" s="949">
        <v>40000</v>
      </c>
      <c r="F241" s="950">
        <v>1</v>
      </c>
      <c r="G241" s="951">
        <v>5</v>
      </c>
      <c r="H241" s="951">
        <v>3.94</v>
      </c>
      <c r="I241" s="18"/>
    </row>
    <row r="242" spans="1:9">
      <c r="A242" s="943">
        <v>2</v>
      </c>
      <c r="B242" s="944">
        <v>698.2</v>
      </c>
      <c r="C242" s="944" t="s">
        <v>63</v>
      </c>
      <c r="D242" s="943" t="s">
        <v>1</v>
      </c>
      <c r="E242" s="952">
        <v>5250</v>
      </c>
      <c r="F242" s="945">
        <v>1</v>
      </c>
      <c r="G242" s="946">
        <v>9.5</v>
      </c>
      <c r="H242" s="946">
        <v>8.67</v>
      </c>
    </row>
    <row r="243" spans="1:9" s="26" customFormat="1">
      <c r="A243" s="947">
        <v>2</v>
      </c>
      <c r="B243" s="948">
        <v>698.3</v>
      </c>
      <c r="C243" s="948" t="s">
        <v>404</v>
      </c>
      <c r="D243" s="947" t="s">
        <v>1</v>
      </c>
      <c r="E243" s="950">
        <v>700</v>
      </c>
      <c r="F243" s="950">
        <v>3</v>
      </c>
      <c r="G243" s="951">
        <v>10</v>
      </c>
      <c r="H243" s="951">
        <v>9.9600000000000009</v>
      </c>
      <c r="I243" s="18"/>
    </row>
    <row r="244" spans="1:9">
      <c r="A244" s="943">
        <v>2</v>
      </c>
      <c r="B244" s="944">
        <v>698.4</v>
      </c>
      <c r="C244" s="944" t="s">
        <v>405</v>
      </c>
      <c r="D244" s="943" t="s">
        <v>1</v>
      </c>
      <c r="E244" s="952">
        <v>4010</v>
      </c>
      <c r="F244" s="945">
        <v>4</v>
      </c>
      <c r="G244" s="946">
        <v>10</v>
      </c>
      <c r="H244" s="946">
        <v>9.9600000000000009</v>
      </c>
    </row>
    <row r="245" spans="1:9" s="26" customFormat="1">
      <c r="A245" s="947">
        <v>2</v>
      </c>
      <c r="B245" s="948">
        <v>701</v>
      </c>
      <c r="C245" s="948" t="s">
        <v>406</v>
      </c>
      <c r="D245" s="947" t="s">
        <v>1</v>
      </c>
      <c r="E245" s="949">
        <v>35052</v>
      </c>
      <c r="F245" s="950">
        <v>8</v>
      </c>
      <c r="G245" s="951">
        <v>95</v>
      </c>
      <c r="H245" s="951">
        <v>91.92</v>
      </c>
      <c r="I245" s="18"/>
    </row>
    <row r="246" spans="1:9">
      <c r="A246" s="943">
        <v>2</v>
      </c>
      <c r="B246" s="944">
        <v>701.1</v>
      </c>
      <c r="C246" s="944" t="s">
        <v>407</v>
      </c>
      <c r="D246" s="943" t="s">
        <v>1</v>
      </c>
      <c r="E246" s="952">
        <v>13117</v>
      </c>
      <c r="F246" s="945">
        <v>5</v>
      </c>
      <c r="G246" s="946">
        <v>100</v>
      </c>
      <c r="H246" s="946">
        <v>102.05</v>
      </c>
    </row>
    <row r="247" spans="1:9" s="26" customFormat="1">
      <c r="A247" s="947">
        <v>2</v>
      </c>
      <c r="B247" s="948">
        <v>701.2</v>
      </c>
      <c r="C247" s="948" t="s">
        <v>1422</v>
      </c>
      <c r="D247" s="947" t="s">
        <v>1</v>
      </c>
      <c r="E247" s="949">
        <v>7752</v>
      </c>
      <c r="F247" s="950">
        <v>7</v>
      </c>
      <c r="G247" s="951">
        <v>135</v>
      </c>
      <c r="H247" s="951">
        <v>134.79</v>
      </c>
      <c r="I247" s="18"/>
    </row>
    <row r="248" spans="1:9">
      <c r="A248" s="943">
        <v>2</v>
      </c>
      <c r="B248" s="944">
        <v>702</v>
      </c>
      <c r="C248" s="944" t="s">
        <v>1423</v>
      </c>
      <c r="D248" s="943" t="s">
        <v>7</v>
      </c>
      <c r="E248" s="952">
        <v>6778</v>
      </c>
      <c r="F248" s="945">
        <v>10</v>
      </c>
      <c r="G248" s="946">
        <v>300</v>
      </c>
      <c r="H248" s="946">
        <v>306.44</v>
      </c>
    </row>
    <row r="249" spans="1:9" s="26" customFormat="1">
      <c r="A249" s="947">
        <v>2</v>
      </c>
      <c r="B249" s="948">
        <v>703.1</v>
      </c>
      <c r="C249" s="948" t="s">
        <v>408</v>
      </c>
      <c r="D249" s="947" t="s">
        <v>2</v>
      </c>
      <c r="E249" s="950">
        <v>30</v>
      </c>
      <c r="F249" s="950">
        <v>1</v>
      </c>
      <c r="G249" s="951">
        <v>500</v>
      </c>
      <c r="H249" s="951">
        <v>433.33</v>
      </c>
      <c r="I249" s="18"/>
    </row>
    <row r="250" spans="1:9">
      <c r="A250" s="943">
        <v>2</v>
      </c>
      <c r="B250" s="944">
        <v>707.1</v>
      </c>
      <c r="C250" s="944" t="s">
        <v>60</v>
      </c>
      <c r="D250" s="943" t="s">
        <v>2</v>
      </c>
      <c r="E250" s="945">
        <v>14</v>
      </c>
      <c r="F250" s="945">
        <v>1</v>
      </c>
      <c r="G250" s="946">
        <v>6000</v>
      </c>
      <c r="H250" s="946">
        <v>5331.43</v>
      </c>
    </row>
    <row r="251" spans="1:9" s="26" customFormat="1">
      <c r="A251" s="947">
        <v>2</v>
      </c>
      <c r="B251" s="948">
        <v>707.2</v>
      </c>
      <c r="C251" s="948" t="s">
        <v>415</v>
      </c>
      <c r="D251" s="947" t="s">
        <v>2</v>
      </c>
      <c r="E251" s="950">
        <v>21</v>
      </c>
      <c r="F251" s="950">
        <v>1</v>
      </c>
      <c r="G251" s="951">
        <v>4000</v>
      </c>
      <c r="H251" s="951">
        <v>3789.29</v>
      </c>
      <c r="I251" s="18"/>
    </row>
    <row r="252" spans="1:9">
      <c r="A252" s="943">
        <v>2</v>
      </c>
      <c r="B252" s="944">
        <v>710.4</v>
      </c>
      <c r="C252" s="944" t="s">
        <v>417</v>
      </c>
      <c r="D252" s="943" t="s">
        <v>2</v>
      </c>
      <c r="E252" s="945">
        <v>148</v>
      </c>
      <c r="F252" s="945">
        <v>2</v>
      </c>
      <c r="G252" s="946">
        <v>910</v>
      </c>
      <c r="H252" s="946">
        <v>891.71</v>
      </c>
    </row>
    <row r="253" spans="1:9" s="26" customFormat="1">
      <c r="A253" s="947">
        <v>2</v>
      </c>
      <c r="B253" s="948">
        <v>711</v>
      </c>
      <c r="C253" s="948" t="s">
        <v>418</v>
      </c>
      <c r="D253" s="947" t="s">
        <v>2</v>
      </c>
      <c r="E253" s="950">
        <v>70</v>
      </c>
      <c r="F253" s="950">
        <v>2</v>
      </c>
      <c r="G253" s="951">
        <v>720</v>
      </c>
      <c r="H253" s="951">
        <v>720</v>
      </c>
      <c r="I253" s="18"/>
    </row>
    <row r="254" spans="1:9">
      <c r="A254" s="943">
        <v>2</v>
      </c>
      <c r="B254" s="944">
        <v>711.1</v>
      </c>
      <c r="C254" s="944" t="s">
        <v>419</v>
      </c>
      <c r="D254" s="943" t="s">
        <v>2</v>
      </c>
      <c r="E254" s="945">
        <v>25</v>
      </c>
      <c r="F254" s="945">
        <v>1</v>
      </c>
      <c r="G254" s="946">
        <v>800</v>
      </c>
      <c r="H254" s="946">
        <v>720</v>
      </c>
    </row>
    <row r="255" spans="1:9" s="26" customFormat="1">
      <c r="A255" s="947">
        <v>2</v>
      </c>
      <c r="B255" s="948">
        <v>715</v>
      </c>
      <c r="C255" s="948" t="s">
        <v>422</v>
      </c>
      <c r="D255" s="947" t="s">
        <v>2</v>
      </c>
      <c r="E255" s="950">
        <v>17</v>
      </c>
      <c r="F255" s="950">
        <v>3</v>
      </c>
      <c r="G255" s="951">
        <v>250</v>
      </c>
      <c r="H255" s="951">
        <v>218.75</v>
      </c>
      <c r="I255" s="18"/>
    </row>
    <row r="256" spans="1:9">
      <c r="A256" s="943">
        <v>2</v>
      </c>
      <c r="B256" s="944">
        <v>715.1</v>
      </c>
      <c r="C256" s="944" t="s">
        <v>423</v>
      </c>
      <c r="D256" s="943" t="s">
        <v>2</v>
      </c>
      <c r="E256" s="945">
        <v>6</v>
      </c>
      <c r="F256" s="945">
        <v>1</v>
      </c>
      <c r="G256" s="946">
        <v>250</v>
      </c>
      <c r="H256" s="946">
        <v>263.33</v>
      </c>
    </row>
    <row r="257" spans="1:9" s="26" customFormat="1">
      <c r="A257" s="947">
        <v>2</v>
      </c>
      <c r="B257" s="948">
        <v>734.52</v>
      </c>
      <c r="C257" s="948" t="s">
        <v>623</v>
      </c>
      <c r="D257" s="947" t="s">
        <v>2</v>
      </c>
      <c r="E257" s="950">
        <v>2</v>
      </c>
      <c r="F257" s="950">
        <v>1</v>
      </c>
      <c r="G257" s="951">
        <v>250</v>
      </c>
      <c r="H257" s="951">
        <v>225</v>
      </c>
      <c r="I257" s="18"/>
    </row>
    <row r="258" spans="1:9">
      <c r="A258" s="943">
        <v>2</v>
      </c>
      <c r="B258" s="944">
        <v>740</v>
      </c>
      <c r="C258" s="944" t="s">
        <v>4023</v>
      </c>
      <c r="D258" s="943" t="s">
        <v>428</v>
      </c>
      <c r="E258" s="952">
        <v>1301</v>
      </c>
      <c r="F258" s="945">
        <v>14</v>
      </c>
      <c r="G258" s="946">
        <v>3000</v>
      </c>
      <c r="H258" s="946">
        <v>3200.4</v>
      </c>
    </row>
    <row r="259" spans="1:9" s="26" customFormat="1">
      <c r="A259" s="947">
        <v>2</v>
      </c>
      <c r="B259" s="948">
        <v>745</v>
      </c>
      <c r="C259" s="948" t="s">
        <v>1426</v>
      </c>
      <c r="D259" s="947" t="s">
        <v>2</v>
      </c>
      <c r="E259" s="950">
        <v>2</v>
      </c>
      <c r="F259" s="950">
        <v>1</v>
      </c>
      <c r="G259" s="951">
        <v>37500</v>
      </c>
      <c r="H259" s="951">
        <v>37500</v>
      </c>
      <c r="I259" s="18"/>
    </row>
    <row r="260" spans="1:9">
      <c r="A260" s="943">
        <v>2</v>
      </c>
      <c r="B260" s="944">
        <v>748</v>
      </c>
      <c r="C260" s="944" t="s">
        <v>430</v>
      </c>
      <c r="D260" s="943" t="s">
        <v>22</v>
      </c>
      <c r="E260" s="945">
        <v>36</v>
      </c>
      <c r="F260" s="945">
        <v>11</v>
      </c>
      <c r="G260" s="946">
        <v>96000</v>
      </c>
      <c r="H260" s="946">
        <v>93894.86</v>
      </c>
    </row>
    <row r="261" spans="1:9" s="26" customFormat="1">
      <c r="A261" s="947">
        <v>2</v>
      </c>
      <c r="B261" s="948">
        <v>748.1</v>
      </c>
      <c r="C261" s="948" t="s">
        <v>431</v>
      </c>
      <c r="D261" s="947" t="s">
        <v>2</v>
      </c>
      <c r="E261" s="950">
        <v>135</v>
      </c>
      <c r="F261" s="950">
        <v>10</v>
      </c>
      <c r="G261" s="951">
        <v>500</v>
      </c>
      <c r="H261" s="951">
        <v>755.48</v>
      </c>
      <c r="I261" s="18"/>
    </row>
    <row r="262" spans="1:9">
      <c r="A262" s="943">
        <v>2</v>
      </c>
      <c r="B262" s="944">
        <v>751</v>
      </c>
      <c r="C262" s="944" t="s">
        <v>3902</v>
      </c>
      <c r="D262" s="943" t="s">
        <v>4</v>
      </c>
      <c r="E262" s="952">
        <v>24500</v>
      </c>
      <c r="F262" s="945">
        <v>13</v>
      </c>
      <c r="G262" s="946">
        <v>90</v>
      </c>
      <c r="H262" s="946">
        <v>89.66</v>
      </c>
    </row>
    <row r="263" spans="1:9" s="26" customFormat="1">
      <c r="A263" s="947">
        <v>2</v>
      </c>
      <c r="B263" s="948">
        <v>751.1</v>
      </c>
      <c r="C263" s="948" t="s">
        <v>4004</v>
      </c>
      <c r="D263" s="947" t="s">
        <v>4</v>
      </c>
      <c r="E263" s="949">
        <v>3532</v>
      </c>
      <c r="F263" s="950">
        <v>3</v>
      </c>
      <c r="G263" s="951">
        <v>82.5</v>
      </c>
      <c r="H263" s="951">
        <v>83.5</v>
      </c>
      <c r="I263" s="18"/>
    </row>
    <row r="264" spans="1:9">
      <c r="A264" s="943">
        <v>2</v>
      </c>
      <c r="B264" s="944">
        <v>751.7</v>
      </c>
      <c r="C264" s="944" t="s">
        <v>4005</v>
      </c>
      <c r="D264" s="943" t="s">
        <v>4</v>
      </c>
      <c r="E264" s="952">
        <v>1705</v>
      </c>
      <c r="F264" s="945">
        <v>3</v>
      </c>
      <c r="G264" s="946">
        <v>122.5</v>
      </c>
      <c r="H264" s="946">
        <v>145.71</v>
      </c>
    </row>
    <row r="265" spans="1:9" s="26" customFormat="1">
      <c r="A265" s="947">
        <v>2</v>
      </c>
      <c r="B265" s="948">
        <v>755.35</v>
      </c>
      <c r="C265" s="948" t="s">
        <v>1428</v>
      </c>
      <c r="D265" s="947" t="s">
        <v>22</v>
      </c>
      <c r="E265" s="950">
        <v>13</v>
      </c>
      <c r="F265" s="950">
        <v>4</v>
      </c>
      <c r="G265" s="951">
        <v>16000</v>
      </c>
      <c r="H265" s="951">
        <v>14673.08</v>
      </c>
      <c r="I265" s="18"/>
    </row>
    <row r="266" spans="1:9">
      <c r="A266" s="943">
        <v>2</v>
      </c>
      <c r="B266" s="944">
        <v>755.45</v>
      </c>
      <c r="C266" s="944" t="s">
        <v>1429</v>
      </c>
      <c r="D266" s="943" t="s">
        <v>1</v>
      </c>
      <c r="E266" s="945">
        <v>50</v>
      </c>
      <c r="F266" s="945">
        <v>1</v>
      </c>
      <c r="G266" s="946">
        <v>450</v>
      </c>
      <c r="H266" s="946">
        <v>495</v>
      </c>
    </row>
    <row r="267" spans="1:9" s="26" customFormat="1">
      <c r="A267" s="947">
        <v>2</v>
      </c>
      <c r="B267" s="948">
        <v>755.75</v>
      </c>
      <c r="C267" s="948" t="s">
        <v>1430</v>
      </c>
      <c r="D267" s="947" t="s">
        <v>24</v>
      </c>
      <c r="E267" s="950">
        <v>516</v>
      </c>
      <c r="F267" s="950">
        <v>4</v>
      </c>
      <c r="G267" s="951">
        <v>180</v>
      </c>
      <c r="H267" s="951">
        <v>199.08</v>
      </c>
      <c r="I267" s="18"/>
    </row>
    <row r="268" spans="1:9">
      <c r="A268" s="943">
        <v>2</v>
      </c>
      <c r="B268" s="944">
        <v>755.76</v>
      </c>
      <c r="C268" s="944" t="s">
        <v>1431</v>
      </c>
      <c r="D268" s="943" t="s">
        <v>22</v>
      </c>
      <c r="E268" s="945">
        <v>9</v>
      </c>
      <c r="F268" s="945">
        <v>3</v>
      </c>
      <c r="G268" s="946">
        <v>6000</v>
      </c>
      <c r="H268" s="946">
        <v>5583.33</v>
      </c>
    </row>
    <row r="269" spans="1:9" s="26" customFormat="1">
      <c r="A269" s="947">
        <v>2</v>
      </c>
      <c r="B269" s="948">
        <v>756</v>
      </c>
      <c r="C269" s="948" t="s">
        <v>432</v>
      </c>
      <c r="D269" s="947" t="s">
        <v>22</v>
      </c>
      <c r="E269" s="950">
        <v>24</v>
      </c>
      <c r="F269" s="950">
        <v>6</v>
      </c>
      <c r="G269" s="951">
        <v>7750</v>
      </c>
      <c r="H269" s="951">
        <v>6631.25</v>
      </c>
      <c r="I269" s="18"/>
    </row>
    <row r="270" spans="1:9">
      <c r="A270" s="943">
        <v>2</v>
      </c>
      <c r="B270" s="944">
        <v>765</v>
      </c>
      <c r="C270" s="944" t="s">
        <v>34</v>
      </c>
      <c r="D270" s="943" t="s">
        <v>1</v>
      </c>
      <c r="E270" s="952">
        <v>238428</v>
      </c>
      <c r="F270" s="945">
        <v>11</v>
      </c>
      <c r="G270" s="946">
        <v>3</v>
      </c>
      <c r="H270" s="946">
        <v>3.74</v>
      </c>
    </row>
    <row r="271" spans="1:9" s="26" customFormat="1">
      <c r="A271" s="947">
        <v>2</v>
      </c>
      <c r="B271" s="948">
        <v>767.12099999999998</v>
      </c>
      <c r="C271" s="948" t="s">
        <v>1436</v>
      </c>
      <c r="D271" s="947" t="s">
        <v>17</v>
      </c>
      <c r="E271" s="949">
        <v>215060</v>
      </c>
      <c r="F271" s="950">
        <v>11</v>
      </c>
      <c r="G271" s="951">
        <v>7.5</v>
      </c>
      <c r="H271" s="951">
        <v>6.97</v>
      </c>
      <c r="I271" s="18"/>
    </row>
    <row r="272" spans="1:9">
      <c r="A272" s="943">
        <v>2</v>
      </c>
      <c r="B272" s="944">
        <v>767.4</v>
      </c>
      <c r="C272" s="944" t="s">
        <v>440</v>
      </c>
      <c r="D272" s="943" t="s">
        <v>4</v>
      </c>
      <c r="E272" s="945">
        <v>20</v>
      </c>
      <c r="F272" s="945">
        <v>1</v>
      </c>
      <c r="G272" s="946">
        <v>100</v>
      </c>
      <c r="H272" s="946">
        <v>106</v>
      </c>
    </row>
    <row r="273" spans="1:9" s="26" customFormat="1">
      <c r="A273" s="947">
        <v>2</v>
      </c>
      <c r="B273" s="948">
        <v>767.6</v>
      </c>
      <c r="C273" s="948" t="s">
        <v>441</v>
      </c>
      <c r="D273" s="947" t="s">
        <v>4</v>
      </c>
      <c r="E273" s="950">
        <v>220</v>
      </c>
      <c r="F273" s="950">
        <v>2</v>
      </c>
      <c r="G273" s="951">
        <v>98</v>
      </c>
      <c r="H273" s="951">
        <v>97.33</v>
      </c>
      <c r="I273" s="18"/>
    </row>
    <row r="274" spans="1:9">
      <c r="A274" s="943">
        <v>2</v>
      </c>
      <c r="B274" s="944">
        <v>767.9</v>
      </c>
      <c r="C274" s="944" t="s">
        <v>1437</v>
      </c>
      <c r="D274" s="943" t="s">
        <v>1</v>
      </c>
      <c r="E274" s="952">
        <v>17650</v>
      </c>
      <c r="F274" s="945">
        <v>4</v>
      </c>
      <c r="G274" s="946">
        <v>8</v>
      </c>
      <c r="H274" s="946">
        <v>9.36</v>
      </c>
    </row>
    <row r="275" spans="1:9" s="26" customFormat="1">
      <c r="A275" s="947">
        <v>2</v>
      </c>
      <c r="B275" s="948">
        <v>769</v>
      </c>
      <c r="C275" s="948" t="s">
        <v>443</v>
      </c>
      <c r="D275" s="947" t="s">
        <v>17</v>
      </c>
      <c r="E275" s="949">
        <v>67550</v>
      </c>
      <c r="F275" s="950">
        <v>10</v>
      </c>
      <c r="G275" s="951">
        <v>12</v>
      </c>
      <c r="H275" s="951">
        <v>11.17</v>
      </c>
      <c r="I275" s="18"/>
    </row>
    <row r="276" spans="1:9">
      <c r="A276" s="943">
        <v>2</v>
      </c>
      <c r="B276" s="944">
        <v>772.03599999999994</v>
      </c>
      <c r="C276" s="944" t="s">
        <v>4011</v>
      </c>
      <c r="D276" s="943" t="s">
        <v>2</v>
      </c>
      <c r="E276" s="945">
        <v>90</v>
      </c>
      <c r="F276" s="945">
        <v>1</v>
      </c>
      <c r="G276" s="946">
        <v>430</v>
      </c>
      <c r="H276" s="946">
        <v>403.4</v>
      </c>
    </row>
    <row r="277" spans="1:9" s="26" customFormat="1">
      <c r="A277" s="947">
        <v>2</v>
      </c>
      <c r="B277" s="948">
        <v>775.14700000000005</v>
      </c>
      <c r="C277" s="948" t="s">
        <v>1438</v>
      </c>
      <c r="D277" s="947" t="s">
        <v>2</v>
      </c>
      <c r="E277" s="950">
        <v>14</v>
      </c>
      <c r="F277" s="950">
        <v>1</v>
      </c>
      <c r="G277" s="951">
        <v>800</v>
      </c>
      <c r="H277" s="951">
        <v>833.57</v>
      </c>
      <c r="I277" s="18"/>
    </row>
    <row r="278" spans="1:9">
      <c r="A278" s="943">
        <v>2</v>
      </c>
      <c r="B278" s="944">
        <v>777.673</v>
      </c>
      <c r="C278" s="944" t="s">
        <v>4006</v>
      </c>
      <c r="D278" s="943" t="s">
        <v>2</v>
      </c>
      <c r="E278" s="945">
        <v>14</v>
      </c>
      <c r="F278" s="945">
        <v>1</v>
      </c>
      <c r="G278" s="946">
        <v>800</v>
      </c>
      <c r="H278" s="946">
        <v>832.14</v>
      </c>
    </row>
    <row r="279" spans="1:9" s="26" customFormat="1">
      <c r="A279" s="947">
        <v>2</v>
      </c>
      <c r="B279" s="948">
        <v>790.63099999999997</v>
      </c>
      <c r="C279" s="948" t="s">
        <v>4026</v>
      </c>
      <c r="D279" s="947" t="s">
        <v>2</v>
      </c>
      <c r="E279" s="950">
        <v>120</v>
      </c>
      <c r="F279" s="950">
        <v>1</v>
      </c>
      <c r="G279" s="951">
        <v>67.5</v>
      </c>
      <c r="H279" s="951">
        <v>69.17</v>
      </c>
      <c r="I279" s="18"/>
    </row>
    <row r="280" spans="1:9">
      <c r="A280" s="943">
        <v>2</v>
      </c>
      <c r="B280" s="944">
        <v>791.03300000000002</v>
      </c>
      <c r="C280" s="944" t="s">
        <v>4016</v>
      </c>
      <c r="D280" s="943" t="s">
        <v>2</v>
      </c>
      <c r="E280" s="945">
        <v>72</v>
      </c>
      <c r="F280" s="945">
        <v>1</v>
      </c>
      <c r="G280" s="946">
        <v>78</v>
      </c>
      <c r="H280" s="946">
        <v>80.17</v>
      </c>
    </row>
    <row r="281" spans="1:9" s="26" customFormat="1">
      <c r="A281" s="947">
        <v>2</v>
      </c>
      <c r="B281" s="948">
        <v>795.00900000000001</v>
      </c>
      <c r="C281" s="948" t="s">
        <v>4018</v>
      </c>
      <c r="D281" s="947" t="s">
        <v>2</v>
      </c>
      <c r="E281" s="950">
        <v>75</v>
      </c>
      <c r="F281" s="950">
        <v>1</v>
      </c>
      <c r="G281" s="951">
        <v>79.5</v>
      </c>
      <c r="H281" s="951">
        <v>77.8</v>
      </c>
      <c r="I281" s="18"/>
    </row>
    <row r="282" spans="1:9">
      <c r="A282" s="943">
        <v>2</v>
      </c>
      <c r="B282" s="944">
        <v>804.2</v>
      </c>
      <c r="C282" s="944" t="s">
        <v>487</v>
      </c>
      <c r="D282" s="943" t="s">
        <v>17</v>
      </c>
      <c r="E282" s="952">
        <v>2050</v>
      </c>
      <c r="F282" s="945">
        <v>3</v>
      </c>
      <c r="G282" s="946">
        <v>42.5</v>
      </c>
      <c r="H282" s="946">
        <v>39.67</v>
      </c>
    </row>
    <row r="283" spans="1:9" s="26" customFormat="1">
      <c r="A283" s="947">
        <v>2</v>
      </c>
      <c r="B283" s="948">
        <v>804.3</v>
      </c>
      <c r="C283" s="948" t="s">
        <v>488</v>
      </c>
      <c r="D283" s="947" t="s">
        <v>17</v>
      </c>
      <c r="E283" s="949">
        <v>27436</v>
      </c>
      <c r="F283" s="950">
        <v>5</v>
      </c>
      <c r="G283" s="951">
        <v>62</v>
      </c>
      <c r="H283" s="951">
        <v>68.2</v>
      </c>
      <c r="I283" s="18"/>
    </row>
    <row r="284" spans="1:9">
      <c r="A284" s="943">
        <v>2</v>
      </c>
      <c r="B284" s="944">
        <v>806.3</v>
      </c>
      <c r="C284" s="944" t="s">
        <v>491</v>
      </c>
      <c r="D284" s="943" t="s">
        <v>17</v>
      </c>
      <c r="E284" s="945">
        <v>400</v>
      </c>
      <c r="F284" s="945">
        <v>1</v>
      </c>
      <c r="G284" s="946">
        <v>75</v>
      </c>
      <c r="H284" s="946">
        <v>70</v>
      </c>
    </row>
    <row r="285" spans="1:9" s="26" customFormat="1">
      <c r="A285" s="947">
        <v>2</v>
      </c>
      <c r="B285" s="948">
        <v>811.22</v>
      </c>
      <c r="C285" s="948" t="s">
        <v>496</v>
      </c>
      <c r="D285" s="947" t="s">
        <v>2</v>
      </c>
      <c r="E285" s="950">
        <v>183</v>
      </c>
      <c r="F285" s="950">
        <v>4</v>
      </c>
      <c r="G285" s="951">
        <v>1400</v>
      </c>
      <c r="H285" s="951">
        <v>1365.29</v>
      </c>
      <c r="I285" s="18"/>
    </row>
    <row r="286" spans="1:9">
      <c r="A286" s="943">
        <v>2</v>
      </c>
      <c r="B286" s="944">
        <v>811.3</v>
      </c>
      <c r="C286" s="944" t="s">
        <v>500</v>
      </c>
      <c r="D286" s="943" t="s">
        <v>2</v>
      </c>
      <c r="E286" s="945">
        <v>4</v>
      </c>
      <c r="F286" s="945">
        <v>1</v>
      </c>
      <c r="G286" s="946">
        <v>800</v>
      </c>
      <c r="H286" s="946">
        <v>835</v>
      </c>
    </row>
    <row r="287" spans="1:9" s="26" customFormat="1">
      <c r="A287" s="947">
        <v>2</v>
      </c>
      <c r="B287" s="948">
        <v>811.31</v>
      </c>
      <c r="C287" s="948" t="s">
        <v>501</v>
      </c>
      <c r="D287" s="947" t="s">
        <v>2</v>
      </c>
      <c r="E287" s="950">
        <v>223</v>
      </c>
      <c r="F287" s="950">
        <v>5</v>
      </c>
      <c r="G287" s="951">
        <v>1200</v>
      </c>
      <c r="H287" s="951">
        <v>1256.1099999999999</v>
      </c>
      <c r="I287" s="18"/>
    </row>
    <row r="288" spans="1:9">
      <c r="A288" s="943">
        <v>2</v>
      </c>
      <c r="B288" s="944">
        <v>811.35</v>
      </c>
      <c r="C288" s="944" t="s">
        <v>502</v>
      </c>
      <c r="D288" s="943" t="s">
        <v>2</v>
      </c>
      <c r="E288" s="945">
        <v>3</v>
      </c>
      <c r="F288" s="945">
        <v>1</v>
      </c>
      <c r="G288" s="946">
        <v>250</v>
      </c>
      <c r="H288" s="946">
        <v>233.33</v>
      </c>
    </row>
    <row r="289" spans="1:9" s="26" customFormat="1">
      <c r="A289" s="947">
        <v>2</v>
      </c>
      <c r="B289" s="948">
        <v>811.36</v>
      </c>
      <c r="C289" s="948" t="s">
        <v>503</v>
      </c>
      <c r="D289" s="947" t="s">
        <v>2</v>
      </c>
      <c r="E289" s="950">
        <v>4</v>
      </c>
      <c r="F289" s="950">
        <v>1</v>
      </c>
      <c r="G289" s="951">
        <v>205</v>
      </c>
      <c r="H289" s="951">
        <v>202.5</v>
      </c>
      <c r="I289" s="18"/>
    </row>
    <row r="290" spans="1:9">
      <c r="A290" s="943">
        <v>2</v>
      </c>
      <c r="B290" s="944">
        <v>811.37</v>
      </c>
      <c r="C290" s="944" t="s">
        <v>504</v>
      </c>
      <c r="D290" s="943" t="s">
        <v>2</v>
      </c>
      <c r="E290" s="945">
        <v>4</v>
      </c>
      <c r="F290" s="945">
        <v>1</v>
      </c>
      <c r="G290" s="946">
        <v>230</v>
      </c>
      <c r="H290" s="946">
        <v>202.5</v>
      </c>
    </row>
    <row r="291" spans="1:9" s="26" customFormat="1">
      <c r="A291" s="947">
        <v>2</v>
      </c>
      <c r="B291" s="948">
        <v>811.38</v>
      </c>
      <c r="C291" s="948" t="s">
        <v>3090</v>
      </c>
      <c r="D291" s="947" t="s">
        <v>2</v>
      </c>
      <c r="E291" s="950">
        <v>20</v>
      </c>
      <c r="F291" s="950">
        <v>1</v>
      </c>
      <c r="G291" s="951">
        <v>712.5</v>
      </c>
      <c r="H291" s="951">
        <v>652.75</v>
      </c>
      <c r="I291" s="18"/>
    </row>
    <row r="292" spans="1:9">
      <c r="A292" s="943">
        <v>2</v>
      </c>
      <c r="B292" s="944">
        <v>811.39</v>
      </c>
      <c r="C292" s="944" t="s">
        <v>505</v>
      </c>
      <c r="D292" s="943" t="s">
        <v>2</v>
      </c>
      <c r="E292" s="945">
        <v>36</v>
      </c>
      <c r="F292" s="945">
        <v>2</v>
      </c>
      <c r="G292" s="946">
        <v>345</v>
      </c>
      <c r="H292" s="946">
        <v>315.63</v>
      </c>
    </row>
    <row r="293" spans="1:9" s="26" customFormat="1">
      <c r="A293" s="947">
        <v>2</v>
      </c>
      <c r="B293" s="948">
        <v>812.09</v>
      </c>
      <c r="C293" s="948" t="s">
        <v>506</v>
      </c>
      <c r="D293" s="947" t="s">
        <v>2</v>
      </c>
      <c r="E293" s="950">
        <v>336</v>
      </c>
      <c r="F293" s="950">
        <v>1</v>
      </c>
      <c r="G293" s="951">
        <v>1650</v>
      </c>
      <c r="H293" s="951">
        <v>1512.5</v>
      </c>
      <c r="I293" s="18"/>
    </row>
    <row r="294" spans="1:9">
      <c r="A294" s="943">
        <v>2</v>
      </c>
      <c r="B294" s="944">
        <v>812.13</v>
      </c>
      <c r="C294" s="944" t="s">
        <v>508</v>
      </c>
      <c r="D294" s="943" t="s">
        <v>2</v>
      </c>
      <c r="E294" s="945">
        <v>76</v>
      </c>
      <c r="F294" s="945">
        <v>1</v>
      </c>
      <c r="G294" s="946">
        <v>4200</v>
      </c>
      <c r="H294" s="946">
        <v>3925</v>
      </c>
    </row>
    <row r="295" spans="1:9" s="26" customFormat="1">
      <c r="A295" s="947">
        <v>2</v>
      </c>
      <c r="B295" s="948">
        <v>812.3</v>
      </c>
      <c r="C295" s="948" t="s">
        <v>3113</v>
      </c>
      <c r="D295" s="947" t="s">
        <v>2</v>
      </c>
      <c r="E295" s="950">
        <v>20</v>
      </c>
      <c r="F295" s="950">
        <v>1</v>
      </c>
      <c r="G295" s="951">
        <v>1225</v>
      </c>
      <c r="H295" s="951">
        <v>962.5</v>
      </c>
      <c r="I295" s="18"/>
    </row>
    <row r="296" spans="1:9">
      <c r="A296" s="943">
        <v>2</v>
      </c>
      <c r="B296" s="944">
        <v>813.22</v>
      </c>
      <c r="C296" s="944" t="s">
        <v>3118</v>
      </c>
      <c r="D296" s="943" t="s">
        <v>17</v>
      </c>
      <c r="E296" s="945">
        <v>40</v>
      </c>
      <c r="F296" s="945">
        <v>1</v>
      </c>
      <c r="G296" s="946">
        <v>7.5</v>
      </c>
      <c r="H296" s="946">
        <v>8.75</v>
      </c>
    </row>
    <row r="297" spans="1:9" s="26" customFormat="1">
      <c r="A297" s="947">
        <v>2</v>
      </c>
      <c r="B297" s="948">
        <v>813.3</v>
      </c>
      <c r="C297" s="948" t="s">
        <v>511</v>
      </c>
      <c r="D297" s="947" t="s">
        <v>17</v>
      </c>
      <c r="E297" s="949">
        <v>15600</v>
      </c>
      <c r="F297" s="950">
        <v>2</v>
      </c>
      <c r="G297" s="951">
        <v>2.16</v>
      </c>
      <c r="H297" s="951">
        <v>2.16</v>
      </c>
      <c r="I297" s="18"/>
    </row>
    <row r="298" spans="1:9">
      <c r="A298" s="943">
        <v>2</v>
      </c>
      <c r="B298" s="944">
        <v>813.31</v>
      </c>
      <c r="C298" s="944" t="s">
        <v>512</v>
      </c>
      <c r="D298" s="943" t="s">
        <v>17</v>
      </c>
      <c r="E298" s="952">
        <v>4200</v>
      </c>
      <c r="F298" s="945">
        <v>1</v>
      </c>
      <c r="G298" s="946">
        <v>3</v>
      </c>
      <c r="H298" s="946">
        <v>2.82</v>
      </c>
    </row>
    <row r="299" spans="1:9" s="26" customFormat="1">
      <c r="A299" s="947">
        <v>2</v>
      </c>
      <c r="B299" s="948">
        <v>813.32</v>
      </c>
      <c r="C299" s="948" t="s">
        <v>513</v>
      </c>
      <c r="D299" s="947" t="s">
        <v>17</v>
      </c>
      <c r="E299" s="949">
        <v>36500</v>
      </c>
      <c r="F299" s="950">
        <v>1</v>
      </c>
      <c r="G299" s="951">
        <v>2.8</v>
      </c>
      <c r="H299" s="951">
        <v>2.75</v>
      </c>
      <c r="I299" s="18"/>
    </row>
    <row r="300" spans="1:9">
      <c r="A300" s="943">
        <v>2</v>
      </c>
      <c r="B300" s="944">
        <v>813.52</v>
      </c>
      <c r="C300" s="944" t="s">
        <v>521</v>
      </c>
      <c r="D300" s="943" t="s">
        <v>17</v>
      </c>
      <c r="E300" s="952">
        <v>1000</v>
      </c>
      <c r="F300" s="945">
        <v>1</v>
      </c>
      <c r="G300" s="946">
        <v>6</v>
      </c>
      <c r="H300" s="946">
        <v>5</v>
      </c>
    </row>
    <row r="301" spans="1:9" s="26" customFormat="1">
      <c r="A301" s="947">
        <v>2</v>
      </c>
      <c r="B301" s="948">
        <v>813.53</v>
      </c>
      <c r="C301" s="948" t="s">
        <v>3132</v>
      </c>
      <c r="D301" s="947" t="s">
        <v>17</v>
      </c>
      <c r="E301" s="950">
        <v>40</v>
      </c>
      <c r="F301" s="950">
        <v>1</v>
      </c>
      <c r="G301" s="951">
        <v>7.5</v>
      </c>
      <c r="H301" s="951">
        <v>7.5</v>
      </c>
      <c r="I301" s="18"/>
    </row>
    <row r="302" spans="1:9">
      <c r="A302" s="943">
        <v>2</v>
      </c>
      <c r="B302" s="944">
        <v>813.55</v>
      </c>
      <c r="C302" s="944" t="s">
        <v>3134</v>
      </c>
      <c r="D302" s="943" t="s">
        <v>17</v>
      </c>
      <c r="E302" s="945">
        <v>60</v>
      </c>
      <c r="F302" s="945">
        <v>1</v>
      </c>
      <c r="G302" s="946">
        <v>10</v>
      </c>
      <c r="H302" s="946">
        <v>10</v>
      </c>
    </row>
    <row r="303" spans="1:9" s="26" customFormat="1">
      <c r="A303" s="947">
        <v>2</v>
      </c>
      <c r="B303" s="948">
        <v>813.7</v>
      </c>
      <c r="C303" s="948" t="s">
        <v>3135</v>
      </c>
      <c r="D303" s="947" t="s">
        <v>17</v>
      </c>
      <c r="E303" s="950">
        <v>40</v>
      </c>
      <c r="F303" s="950">
        <v>1</v>
      </c>
      <c r="G303" s="951">
        <v>100</v>
      </c>
      <c r="H303" s="951">
        <v>112.5</v>
      </c>
      <c r="I303" s="18"/>
    </row>
    <row r="304" spans="1:9">
      <c r="A304" s="943">
        <v>2</v>
      </c>
      <c r="B304" s="944">
        <v>813.8</v>
      </c>
      <c r="C304" s="944" t="s">
        <v>1445</v>
      </c>
      <c r="D304" s="943" t="s">
        <v>22</v>
      </c>
      <c r="E304" s="945">
        <v>10</v>
      </c>
      <c r="F304" s="945">
        <v>3</v>
      </c>
      <c r="G304" s="946">
        <v>5000</v>
      </c>
      <c r="H304" s="946">
        <v>4670</v>
      </c>
    </row>
    <row r="305" spans="1:9" s="26" customFormat="1">
      <c r="A305" s="947">
        <v>2</v>
      </c>
      <c r="B305" s="948">
        <v>813.81</v>
      </c>
      <c r="C305" s="948" t="s">
        <v>525</v>
      </c>
      <c r="D305" s="947" t="s">
        <v>22</v>
      </c>
      <c r="E305" s="950">
        <v>4</v>
      </c>
      <c r="F305" s="950">
        <v>2</v>
      </c>
      <c r="G305" s="951">
        <v>3750</v>
      </c>
      <c r="H305" s="951">
        <v>2970</v>
      </c>
      <c r="I305" s="18"/>
    </row>
    <row r="306" spans="1:9">
      <c r="A306" s="943">
        <v>2</v>
      </c>
      <c r="B306" s="944">
        <v>815.1</v>
      </c>
      <c r="C306" s="944" t="s">
        <v>526</v>
      </c>
      <c r="D306" s="943" t="s">
        <v>22</v>
      </c>
      <c r="E306" s="945">
        <v>5</v>
      </c>
      <c r="F306" s="945">
        <v>1</v>
      </c>
      <c r="G306" s="946">
        <v>326000</v>
      </c>
      <c r="H306" s="946">
        <v>322800</v>
      </c>
    </row>
    <row r="307" spans="1:9" s="26" customFormat="1">
      <c r="A307" s="947">
        <v>2</v>
      </c>
      <c r="B307" s="948">
        <v>816.01</v>
      </c>
      <c r="C307" s="948" t="s">
        <v>531</v>
      </c>
      <c r="D307" s="947" t="s">
        <v>22</v>
      </c>
      <c r="E307" s="950">
        <v>5</v>
      </c>
      <c r="F307" s="950">
        <v>2</v>
      </c>
      <c r="G307" s="951">
        <v>300000</v>
      </c>
      <c r="H307" s="951">
        <v>298400</v>
      </c>
      <c r="I307" s="18"/>
    </row>
    <row r="308" spans="1:9">
      <c r="A308" s="943">
        <v>2</v>
      </c>
      <c r="B308" s="944">
        <v>816.02</v>
      </c>
      <c r="C308" s="944" t="s">
        <v>532</v>
      </c>
      <c r="D308" s="943" t="s">
        <v>22</v>
      </c>
      <c r="E308" s="945">
        <v>6</v>
      </c>
      <c r="F308" s="945">
        <v>2</v>
      </c>
      <c r="G308" s="946">
        <v>327500</v>
      </c>
      <c r="H308" s="946">
        <v>321833.33</v>
      </c>
    </row>
    <row r="309" spans="1:9" s="26" customFormat="1">
      <c r="A309" s="947">
        <v>2</v>
      </c>
      <c r="B309" s="948">
        <v>816.03</v>
      </c>
      <c r="C309" s="948" t="s">
        <v>533</v>
      </c>
      <c r="D309" s="947" t="s">
        <v>22</v>
      </c>
      <c r="E309" s="950">
        <v>2</v>
      </c>
      <c r="F309" s="950">
        <v>1</v>
      </c>
      <c r="G309" s="951">
        <v>150000</v>
      </c>
      <c r="H309" s="951">
        <v>150000</v>
      </c>
      <c r="I309" s="18"/>
    </row>
    <row r="310" spans="1:9">
      <c r="A310" s="943">
        <v>2</v>
      </c>
      <c r="B310" s="944">
        <v>816.81</v>
      </c>
      <c r="C310" s="944" t="s">
        <v>535</v>
      </c>
      <c r="D310" s="943" t="s">
        <v>22</v>
      </c>
      <c r="E310" s="945">
        <v>4</v>
      </c>
      <c r="F310" s="945">
        <v>1</v>
      </c>
      <c r="G310" s="946">
        <v>91000</v>
      </c>
      <c r="H310" s="946">
        <v>84250</v>
      </c>
    </row>
    <row r="311" spans="1:9" s="26" customFormat="1">
      <c r="A311" s="947">
        <v>2</v>
      </c>
      <c r="B311" s="948">
        <v>816.9</v>
      </c>
      <c r="C311" s="948" t="s">
        <v>536</v>
      </c>
      <c r="D311" s="947" t="s">
        <v>22</v>
      </c>
      <c r="E311" s="950">
        <v>5</v>
      </c>
      <c r="F311" s="950">
        <v>1</v>
      </c>
      <c r="G311" s="951">
        <v>9000</v>
      </c>
      <c r="H311" s="951">
        <v>8400</v>
      </c>
      <c r="I311" s="18"/>
    </row>
    <row r="312" spans="1:9">
      <c r="A312" s="943">
        <v>2</v>
      </c>
      <c r="B312" s="944">
        <v>817.2</v>
      </c>
      <c r="C312" s="944" t="s">
        <v>3139</v>
      </c>
      <c r="D312" s="943" t="s">
        <v>2</v>
      </c>
      <c r="E312" s="945">
        <v>25</v>
      </c>
      <c r="F312" s="945">
        <v>1</v>
      </c>
      <c r="G312" s="946">
        <v>797.5</v>
      </c>
      <c r="H312" s="946">
        <v>799</v>
      </c>
    </row>
    <row r="313" spans="1:9" s="26" customFormat="1">
      <c r="A313" s="947">
        <v>2</v>
      </c>
      <c r="B313" s="948">
        <v>817.21</v>
      </c>
      <c r="C313" s="948" t="s">
        <v>3140</v>
      </c>
      <c r="D313" s="947" t="s">
        <v>2</v>
      </c>
      <c r="E313" s="950">
        <v>25</v>
      </c>
      <c r="F313" s="950">
        <v>1</v>
      </c>
      <c r="G313" s="951">
        <v>830</v>
      </c>
      <c r="H313" s="951">
        <v>783</v>
      </c>
      <c r="I313" s="18"/>
    </row>
    <row r="314" spans="1:9">
      <c r="A314" s="943">
        <v>2</v>
      </c>
      <c r="B314" s="944">
        <v>818.11</v>
      </c>
      <c r="C314" s="944" t="s">
        <v>3160</v>
      </c>
      <c r="D314" s="943" t="s">
        <v>2</v>
      </c>
      <c r="E314" s="945">
        <v>4</v>
      </c>
      <c r="F314" s="945">
        <v>1</v>
      </c>
      <c r="G314" s="946">
        <v>500</v>
      </c>
      <c r="H314" s="946">
        <v>510</v>
      </c>
    </row>
    <row r="315" spans="1:9" s="26" customFormat="1">
      <c r="A315" s="947">
        <v>2</v>
      </c>
      <c r="B315" s="948">
        <v>818.42</v>
      </c>
      <c r="C315" s="948" t="s">
        <v>3172</v>
      </c>
      <c r="D315" s="947" t="s">
        <v>2</v>
      </c>
      <c r="E315" s="950">
        <v>60</v>
      </c>
      <c r="F315" s="950">
        <v>1</v>
      </c>
      <c r="G315" s="951">
        <v>780</v>
      </c>
      <c r="H315" s="951">
        <v>751.67</v>
      </c>
      <c r="I315" s="18"/>
    </row>
    <row r="316" spans="1:9">
      <c r="A316" s="943">
        <v>2</v>
      </c>
      <c r="B316" s="944">
        <v>818.81</v>
      </c>
      <c r="C316" s="944" t="s">
        <v>3192</v>
      </c>
      <c r="D316" s="943" t="s">
        <v>2</v>
      </c>
      <c r="E316" s="945">
        <v>5</v>
      </c>
      <c r="F316" s="945">
        <v>1</v>
      </c>
      <c r="G316" s="946">
        <v>267.5</v>
      </c>
      <c r="H316" s="946">
        <v>247</v>
      </c>
    </row>
    <row r="317" spans="1:9" s="26" customFormat="1">
      <c r="A317" s="947">
        <v>2</v>
      </c>
      <c r="B317" s="948">
        <v>819.83</v>
      </c>
      <c r="C317" s="948" t="s">
        <v>3213</v>
      </c>
      <c r="D317" s="947" t="s">
        <v>2</v>
      </c>
      <c r="E317" s="950">
        <v>2</v>
      </c>
      <c r="F317" s="950">
        <v>1</v>
      </c>
      <c r="G317" s="951">
        <v>275</v>
      </c>
      <c r="H317" s="951">
        <v>275</v>
      </c>
      <c r="I317" s="18"/>
    </row>
    <row r="318" spans="1:9">
      <c r="A318" s="943">
        <v>2</v>
      </c>
      <c r="B318" s="944">
        <v>819.83100000000002</v>
      </c>
      <c r="C318" s="944" t="s">
        <v>540</v>
      </c>
      <c r="D318" s="943" t="s">
        <v>17</v>
      </c>
      <c r="E318" s="945">
        <v>540</v>
      </c>
      <c r="F318" s="945">
        <v>2</v>
      </c>
      <c r="G318" s="946">
        <v>25</v>
      </c>
      <c r="H318" s="946">
        <v>22</v>
      </c>
    </row>
    <row r="319" spans="1:9" s="26" customFormat="1">
      <c r="A319" s="947">
        <v>2</v>
      </c>
      <c r="B319" s="948">
        <v>819.85</v>
      </c>
      <c r="C319" s="948" t="s">
        <v>3215</v>
      </c>
      <c r="D319" s="947" t="s">
        <v>2</v>
      </c>
      <c r="E319" s="950">
        <v>4</v>
      </c>
      <c r="F319" s="950">
        <v>1</v>
      </c>
      <c r="G319" s="951">
        <v>347.5</v>
      </c>
      <c r="H319" s="951">
        <v>336.25</v>
      </c>
      <c r="I319" s="18"/>
    </row>
    <row r="320" spans="1:9">
      <c r="A320" s="943">
        <v>2</v>
      </c>
      <c r="B320" s="944">
        <v>821.11</v>
      </c>
      <c r="C320" s="944" t="s">
        <v>3221</v>
      </c>
      <c r="D320" s="943" t="s">
        <v>2</v>
      </c>
      <c r="E320" s="945">
        <v>95</v>
      </c>
      <c r="F320" s="945">
        <v>1</v>
      </c>
      <c r="G320" s="946">
        <v>6000</v>
      </c>
      <c r="H320" s="946">
        <v>6230</v>
      </c>
    </row>
    <row r="321" spans="1:9" s="26" customFormat="1">
      <c r="A321" s="947">
        <v>2</v>
      </c>
      <c r="B321" s="948">
        <v>823.61</v>
      </c>
      <c r="C321" s="948" t="s">
        <v>545</v>
      </c>
      <c r="D321" s="947" t="s">
        <v>22</v>
      </c>
      <c r="E321" s="950">
        <v>4</v>
      </c>
      <c r="F321" s="950">
        <v>1</v>
      </c>
      <c r="G321" s="951">
        <v>25000</v>
      </c>
      <c r="H321" s="951">
        <v>26500</v>
      </c>
      <c r="I321" s="18"/>
    </row>
    <row r="322" spans="1:9">
      <c r="A322" s="943">
        <v>2</v>
      </c>
      <c r="B322" s="944">
        <v>823.7</v>
      </c>
      <c r="C322" s="944" t="s">
        <v>547</v>
      </c>
      <c r="D322" s="943" t="s">
        <v>2</v>
      </c>
      <c r="E322" s="945">
        <v>6</v>
      </c>
      <c r="F322" s="945">
        <v>1</v>
      </c>
      <c r="G322" s="946">
        <v>2250</v>
      </c>
      <c r="H322" s="946">
        <v>2250</v>
      </c>
    </row>
    <row r="323" spans="1:9" s="26" customFormat="1">
      <c r="A323" s="947">
        <v>2</v>
      </c>
      <c r="B323" s="948">
        <v>824.4</v>
      </c>
      <c r="C323" s="948" t="s">
        <v>3290</v>
      </c>
      <c r="D323" s="947" t="s">
        <v>22</v>
      </c>
      <c r="E323" s="950">
        <v>4</v>
      </c>
      <c r="F323" s="950">
        <v>1</v>
      </c>
      <c r="G323" s="951">
        <v>9825</v>
      </c>
      <c r="H323" s="951">
        <v>8912.5</v>
      </c>
      <c r="I323" s="18"/>
    </row>
    <row r="324" spans="1:9">
      <c r="A324" s="943">
        <v>2</v>
      </c>
      <c r="B324" s="944">
        <v>824.51</v>
      </c>
      <c r="C324" s="944" t="s">
        <v>550</v>
      </c>
      <c r="D324" s="943" t="s">
        <v>22</v>
      </c>
      <c r="E324" s="945">
        <v>4</v>
      </c>
      <c r="F324" s="945">
        <v>1</v>
      </c>
      <c r="G324" s="946">
        <v>4550</v>
      </c>
      <c r="H324" s="946">
        <v>4900</v>
      </c>
    </row>
    <row r="325" spans="1:9" s="26" customFormat="1">
      <c r="A325" s="947">
        <v>2</v>
      </c>
      <c r="B325" s="948">
        <v>827.21</v>
      </c>
      <c r="C325" s="948" t="s">
        <v>551</v>
      </c>
      <c r="D325" s="947" t="s">
        <v>2</v>
      </c>
      <c r="E325" s="950">
        <v>10</v>
      </c>
      <c r="F325" s="950">
        <v>1</v>
      </c>
      <c r="G325" s="951">
        <v>255</v>
      </c>
      <c r="H325" s="951">
        <v>255</v>
      </c>
      <c r="I325" s="18"/>
    </row>
    <row r="326" spans="1:9">
      <c r="A326" s="943">
        <v>2</v>
      </c>
      <c r="B326" s="944">
        <v>828.01</v>
      </c>
      <c r="C326" s="944" t="s">
        <v>1521</v>
      </c>
      <c r="D326" s="943" t="s">
        <v>3</v>
      </c>
      <c r="E326" s="945">
        <v>940</v>
      </c>
      <c r="F326" s="945">
        <v>2</v>
      </c>
      <c r="G326" s="946">
        <v>25</v>
      </c>
      <c r="H326" s="946">
        <v>24</v>
      </c>
    </row>
    <row r="327" spans="1:9" s="26" customFormat="1">
      <c r="A327" s="947">
        <v>2</v>
      </c>
      <c r="B327" s="948">
        <v>828.1</v>
      </c>
      <c r="C327" s="948" t="s">
        <v>553</v>
      </c>
      <c r="D327" s="947" t="s">
        <v>3</v>
      </c>
      <c r="E327" s="950">
        <v>400</v>
      </c>
      <c r="F327" s="950">
        <v>1</v>
      </c>
      <c r="G327" s="951">
        <v>30</v>
      </c>
      <c r="H327" s="951">
        <v>30</v>
      </c>
      <c r="I327" s="18"/>
    </row>
    <row r="328" spans="1:9">
      <c r="A328" s="943">
        <v>2</v>
      </c>
      <c r="B328" s="944">
        <v>829</v>
      </c>
      <c r="C328" s="944" t="s">
        <v>554</v>
      </c>
      <c r="D328" s="943" t="s">
        <v>3</v>
      </c>
      <c r="E328" s="952">
        <v>3022</v>
      </c>
      <c r="F328" s="945">
        <v>4</v>
      </c>
      <c r="G328" s="946">
        <v>40</v>
      </c>
      <c r="H328" s="946">
        <v>38.25</v>
      </c>
    </row>
    <row r="329" spans="1:9" s="26" customFormat="1">
      <c r="A329" s="947">
        <v>2</v>
      </c>
      <c r="B329" s="948">
        <v>831</v>
      </c>
      <c r="C329" s="948" t="s">
        <v>555</v>
      </c>
      <c r="D329" s="947" t="s">
        <v>3</v>
      </c>
      <c r="E329" s="949">
        <v>1868</v>
      </c>
      <c r="F329" s="950">
        <v>4</v>
      </c>
      <c r="G329" s="951">
        <v>36</v>
      </c>
      <c r="H329" s="951">
        <v>36.51</v>
      </c>
      <c r="I329" s="18"/>
    </row>
    <row r="330" spans="1:9">
      <c r="A330" s="943">
        <v>2</v>
      </c>
      <c r="B330" s="944">
        <v>832</v>
      </c>
      <c r="C330" s="944" t="s">
        <v>556</v>
      </c>
      <c r="D330" s="943" t="s">
        <v>3</v>
      </c>
      <c r="E330" s="952">
        <v>13201</v>
      </c>
      <c r="F330" s="945">
        <v>14</v>
      </c>
      <c r="G330" s="946">
        <v>16.5</v>
      </c>
      <c r="H330" s="946">
        <v>17.149999999999999</v>
      </c>
    </row>
    <row r="331" spans="1:9" s="26" customFormat="1">
      <c r="A331" s="947">
        <v>2</v>
      </c>
      <c r="B331" s="948">
        <v>833.5</v>
      </c>
      <c r="C331" s="948" t="s">
        <v>557</v>
      </c>
      <c r="D331" s="947" t="s">
        <v>2</v>
      </c>
      <c r="E331" s="949">
        <v>3630</v>
      </c>
      <c r="F331" s="950">
        <v>4</v>
      </c>
      <c r="G331" s="951">
        <v>9.1300000000000008</v>
      </c>
      <c r="H331" s="951">
        <v>9.2799999999999994</v>
      </c>
      <c r="I331" s="18"/>
    </row>
    <row r="332" spans="1:9">
      <c r="A332" s="943">
        <v>2</v>
      </c>
      <c r="B332" s="944">
        <v>833.7</v>
      </c>
      <c r="C332" s="944" t="s">
        <v>558</v>
      </c>
      <c r="D332" s="943" t="s">
        <v>2</v>
      </c>
      <c r="E332" s="945">
        <v>661</v>
      </c>
      <c r="F332" s="945">
        <v>7</v>
      </c>
      <c r="G332" s="946">
        <v>94</v>
      </c>
      <c r="H332" s="946">
        <v>90.21</v>
      </c>
    </row>
    <row r="333" spans="1:9" s="26" customFormat="1">
      <c r="A333" s="947">
        <v>2</v>
      </c>
      <c r="B333" s="948">
        <v>834</v>
      </c>
      <c r="C333" s="948" t="s">
        <v>559</v>
      </c>
      <c r="D333" s="947" t="s">
        <v>2</v>
      </c>
      <c r="E333" s="950">
        <v>177</v>
      </c>
      <c r="F333" s="950">
        <v>3</v>
      </c>
      <c r="G333" s="951">
        <v>295</v>
      </c>
      <c r="H333" s="951">
        <v>311.18</v>
      </c>
      <c r="I333" s="18"/>
    </row>
    <row r="334" spans="1:9">
      <c r="A334" s="943">
        <v>2</v>
      </c>
      <c r="B334" s="944">
        <v>834.17</v>
      </c>
      <c r="C334" s="944" t="s">
        <v>560</v>
      </c>
      <c r="D334" s="943" t="s">
        <v>2</v>
      </c>
      <c r="E334" s="945">
        <v>104</v>
      </c>
      <c r="F334" s="945">
        <v>2</v>
      </c>
      <c r="G334" s="946">
        <v>92.5</v>
      </c>
      <c r="H334" s="946">
        <v>83.33</v>
      </c>
    </row>
    <row r="335" spans="1:9" s="26" customFormat="1">
      <c r="A335" s="947">
        <v>2</v>
      </c>
      <c r="B335" s="948">
        <v>834.18</v>
      </c>
      <c r="C335" s="948" t="s">
        <v>561</v>
      </c>
      <c r="D335" s="947" t="s">
        <v>2</v>
      </c>
      <c r="E335" s="950">
        <v>104</v>
      </c>
      <c r="F335" s="950">
        <v>2</v>
      </c>
      <c r="G335" s="951">
        <v>92.5</v>
      </c>
      <c r="H335" s="951">
        <v>83.33</v>
      </c>
      <c r="I335" s="18"/>
    </row>
    <row r="336" spans="1:9">
      <c r="A336" s="943">
        <v>2</v>
      </c>
      <c r="B336" s="944">
        <v>836.5</v>
      </c>
      <c r="C336" s="944" t="s">
        <v>562</v>
      </c>
      <c r="D336" s="943" t="s">
        <v>2</v>
      </c>
      <c r="E336" s="945">
        <v>53</v>
      </c>
      <c r="F336" s="945">
        <v>1</v>
      </c>
      <c r="G336" s="946">
        <v>55</v>
      </c>
      <c r="H336" s="946">
        <v>55</v>
      </c>
    </row>
    <row r="337" spans="1:9" s="26" customFormat="1">
      <c r="A337" s="947">
        <v>2</v>
      </c>
      <c r="B337" s="948">
        <v>840.101</v>
      </c>
      <c r="C337" s="948" t="s">
        <v>1446</v>
      </c>
      <c r="D337" s="947" t="s">
        <v>22</v>
      </c>
      <c r="E337" s="950">
        <v>2</v>
      </c>
      <c r="F337" s="950">
        <v>1</v>
      </c>
      <c r="G337" s="951">
        <v>130000</v>
      </c>
      <c r="H337" s="951">
        <v>130000</v>
      </c>
      <c r="I337" s="18"/>
    </row>
    <row r="338" spans="1:9">
      <c r="A338" s="943">
        <v>2</v>
      </c>
      <c r="B338" s="944">
        <v>840.10199999999998</v>
      </c>
      <c r="C338" s="944" t="s">
        <v>563</v>
      </c>
      <c r="D338" s="943" t="s">
        <v>22</v>
      </c>
      <c r="E338" s="945">
        <v>2</v>
      </c>
      <c r="F338" s="945">
        <v>1</v>
      </c>
      <c r="G338" s="946">
        <v>130000</v>
      </c>
      <c r="H338" s="946">
        <v>130000</v>
      </c>
    </row>
    <row r="339" spans="1:9" s="26" customFormat="1">
      <c r="A339" s="947">
        <v>2</v>
      </c>
      <c r="B339" s="948">
        <v>841.1</v>
      </c>
      <c r="C339" s="948" t="s">
        <v>566</v>
      </c>
      <c r="D339" s="947" t="s">
        <v>2</v>
      </c>
      <c r="E339" s="950">
        <v>39</v>
      </c>
      <c r="F339" s="950">
        <v>5</v>
      </c>
      <c r="G339" s="951">
        <v>2850</v>
      </c>
      <c r="H339" s="951">
        <v>2945.59</v>
      </c>
      <c r="I339" s="18"/>
    </row>
    <row r="340" spans="1:9">
      <c r="A340" s="943">
        <v>2</v>
      </c>
      <c r="B340" s="944">
        <v>841.2</v>
      </c>
      <c r="C340" s="944" t="s">
        <v>567</v>
      </c>
      <c r="D340" s="943" t="s">
        <v>2</v>
      </c>
      <c r="E340" s="945">
        <v>30</v>
      </c>
      <c r="F340" s="945">
        <v>1</v>
      </c>
      <c r="G340" s="946">
        <v>1787.5</v>
      </c>
      <c r="H340" s="946">
        <v>1787.5</v>
      </c>
    </row>
    <row r="341" spans="1:9" s="26" customFormat="1">
      <c r="A341" s="947">
        <v>2</v>
      </c>
      <c r="B341" s="948">
        <v>841.6</v>
      </c>
      <c r="C341" s="948" t="s">
        <v>569</v>
      </c>
      <c r="D341" s="947" t="s">
        <v>2</v>
      </c>
      <c r="E341" s="950">
        <v>10</v>
      </c>
      <c r="F341" s="950">
        <v>1</v>
      </c>
      <c r="G341" s="951">
        <v>1650</v>
      </c>
      <c r="H341" s="951">
        <v>1650</v>
      </c>
      <c r="I341" s="18"/>
    </row>
    <row r="342" spans="1:9">
      <c r="A342" s="943">
        <v>2</v>
      </c>
      <c r="B342" s="944">
        <v>841.8</v>
      </c>
      <c r="C342" s="944" t="s">
        <v>571</v>
      </c>
      <c r="D342" s="943" t="s">
        <v>2</v>
      </c>
      <c r="E342" s="945">
        <v>4</v>
      </c>
      <c r="F342" s="945">
        <v>1</v>
      </c>
      <c r="G342" s="946">
        <v>8580</v>
      </c>
      <c r="H342" s="946">
        <v>8565</v>
      </c>
    </row>
    <row r="343" spans="1:9" s="26" customFormat="1">
      <c r="A343" s="947">
        <v>2</v>
      </c>
      <c r="B343" s="948">
        <v>844.101</v>
      </c>
      <c r="C343" s="948" t="s">
        <v>572</v>
      </c>
      <c r="D343" s="947" t="s">
        <v>22</v>
      </c>
      <c r="E343" s="950">
        <v>5</v>
      </c>
      <c r="F343" s="950">
        <v>2</v>
      </c>
      <c r="G343" s="951">
        <v>6200</v>
      </c>
      <c r="H343" s="951">
        <v>6680</v>
      </c>
      <c r="I343" s="18"/>
    </row>
    <row r="344" spans="1:9">
      <c r="A344" s="943">
        <v>2</v>
      </c>
      <c r="B344" s="944">
        <v>844.10199999999998</v>
      </c>
      <c r="C344" s="944" t="s">
        <v>573</v>
      </c>
      <c r="D344" s="943" t="s">
        <v>22</v>
      </c>
      <c r="E344" s="945">
        <v>5</v>
      </c>
      <c r="F344" s="945">
        <v>2</v>
      </c>
      <c r="G344" s="946">
        <v>6200</v>
      </c>
      <c r="H344" s="946">
        <v>6680</v>
      </c>
    </row>
    <row r="345" spans="1:9" s="26" customFormat="1">
      <c r="A345" s="947">
        <v>2</v>
      </c>
      <c r="B345" s="948">
        <v>844.10299999999995</v>
      </c>
      <c r="C345" s="948" t="s">
        <v>574</v>
      </c>
      <c r="D345" s="947" t="s">
        <v>22</v>
      </c>
      <c r="E345" s="950">
        <v>4</v>
      </c>
      <c r="F345" s="950">
        <v>2</v>
      </c>
      <c r="G345" s="951">
        <v>5800</v>
      </c>
      <c r="H345" s="951">
        <v>5762.5</v>
      </c>
      <c r="I345" s="18"/>
    </row>
    <row r="346" spans="1:9">
      <c r="A346" s="943">
        <v>2</v>
      </c>
      <c r="B346" s="944">
        <v>844.10400000000004</v>
      </c>
      <c r="C346" s="944" t="s">
        <v>575</v>
      </c>
      <c r="D346" s="943" t="s">
        <v>22</v>
      </c>
      <c r="E346" s="945">
        <v>3</v>
      </c>
      <c r="F346" s="945">
        <v>1</v>
      </c>
      <c r="G346" s="946">
        <v>4500</v>
      </c>
      <c r="H346" s="946">
        <v>4883.33</v>
      </c>
    </row>
    <row r="347" spans="1:9" s="26" customFormat="1">
      <c r="A347" s="947">
        <v>2</v>
      </c>
      <c r="B347" s="948">
        <v>846.1</v>
      </c>
      <c r="C347" s="948" t="s">
        <v>577</v>
      </c>
      <c r="D347" s="947" t="s">
        <v>2</v>
      </c>
      <c r="E347" s="950">
        <v>4</v>
      </c>
      <c r="F347" s="950">
        <v>1</v>
      </c>
      <c r="G347" s="951">
        <v>4850</v>
      </c>
      <c r="H347" s="951">
        <v>4850</v>
      </c>
      <c r="I347" s="18"/>
    </row>
    <row r="348" spans="1:9">
      <c r="A348" s="943">
        <v>2</v>
      </c>
      <c r="B348" s="944">
        <v>847.1</v>
      </c>
      <c r="C348" s="944" t="s">
        <v>578</v>
      </c>
      <c r="D348" s="943" t="s">
        <v>2</v>
      </c>
      <c r="E348" s="952">
        <v>1819</v>
      </c>
      <c r="F348" s="945">
        <v>13</v>
      </c>
      <c r="G348" s="946">
        <v>250</v>
      </c>
      <c r="H348" s="946">
        <v>250.37</v>
      </c>
    </row>
    <row r="349" spans="1:9" s="26" customFormat="1">
      <c r="A349" s="947">
        <v>2</v>
      </c>
      <c r="B349" s="948">
        <v>848.1</v>
      </c>
      <c r="C349" s="948" t="s">
        <v>579</v>
      </c>
      <c r="D349" s="947" t="s">
        <v>2</v>
      </c>
      <c r="E349" s="950">
        <v>179</v>
      </c>
      <c r="F349" s="950">
        <v>7</v>
      </c>
      <c r="G349" s="951">
        <v>455</v>
      </c>
      <c r="H349" s="951">
        <v>465.35</v>
      </c>
      <c r="I349" s="18"/>
    </row>
    <row r="350" spans="1:9">
      <c r="A350" s="943">
        <v>2</v>
      </c>
      <c r="B350" s="944">
        <v>850.41</v>
      </c>
      <c r="C350" s="944" t="s">
        <v>580</v>
      </c>
      <c r="D350" s="943" t="s">
        <v>24</v>
      </c>
      <c r="E350" s="952">
        <v>22430</v>
      </c>
      <c r="F350" s="945">
        <v>9</v>
      </c>
      <c r="G350" s="946">
        <v>71</v>
      </c>
      <c r="H350" s="946">
        <v>74.540000000000006</v>
      </c>
    </row>
    <row r="351" spans="1:9" s="26" customFormat="1">
      <c r="A351" s="947">
        <v>2</v>
      </c>
      <c r="B351" s="948">
        <v>851.1</v>
      </c>
      <c r="C351" s="948" t="s">
        <v>581</v>
      </c>
      <c r="D351" s="947" t="s">
        <v>42</v>
      </c>
      <c r="E351" s="949">
        <v>4240</v>
      </c>
      <c r="F351" s="950">
        <v>11</v>
      </c>
      <c r="G351" s="951">
        <v>170</v>
      </c>
      <c r="H351" s="951">
        <v>183.25</v>
      </c>
      <c r="I351" s="18"/>
    </row>
    <row r="352" spans="1:9">
      <c r="A352" s="943">
        <v>2</v>
      </c>
      <c r="B352" s="944">
        <v>852</v>
      </c>
      <c r="C352" s="944" t="s">
        <v>49</v>
      </c>
      <c r="D352" s="943" t="s">
        <v>3</v>
      </c>
      <c r="E352" s="952">
        <v>40502</v>
      </c>
      <c r="F352" s="945">
        <v>22</v>
      </c>
      <c r="G352" s="946">
        <v>25</v>
      </c>
      <c r="H352" s="946">
        <v>25.83</v>
      </c>
    </row>
    <row r="353" spans="1:9" s="26" customFormat="1">
      <c r="A353" s="947">
        <v>2</v>
      </c>
      <c r="B353" s="948">
        <v>853.1</v>
      </c>
      <c r="C353" s="948" t="s">
        <v>582</v>
      </c>
      <c r="D353" s="947" t="s">
        <v>2</v>
      </c>
      <c r="E353" s="950">
        <v>378</v>
      </c>
      <c r="F353" s="950">
        <v>12</v>
      </c>
      <c r="G353" s="951">
        <v>200</v>
      </c>
      <c r="H353" s="951">
        <v>191.68</v>
      </c>
      <c r="I353" s="18"/>
    </row>
    <row r="354" spans="1:9">
      <c r="A354" s="943">
        <v>2</v>
      </c>
      <c r="B354" s="944">
        <v>853.2</v>
      </c>
      <c r="C354" s="944" t="s">
        <v>1453</v>
      </c>
      <c r="D354" s="943" t="s">
        <v>17</v>
      </c>
      <c r="E354" s="945">
        <v>800</v>
      </c>
      <c r="F354" s="945">
        <v>3</v>
      </c>
      <c r="G354" s="946">
        <v>80</v>
      </c>
      <c r="H354" s="946">
        <v>73</v>
      </c>
    </row>
    <row r="355" spans="1:9" s="26" customFormat="1">
      <c r="A355" s="947">
        <v>2</v>
      </c>
      <c r="B355" s="948">
        <v>853.21</v>
      </c>
      <c r="C355" s="948" t="s">
        <v>583</v>
      </c>
      <c r="D355" s="947" t="s">
        <v>17</v>
      </c>
      <c r="E355" s="949">
        <v>7160</v>
      </c>
      <c r="F355" s="950">
        <v>5</v>
      </c>
      <c r="G355" s="951">
        <v>20</v>
      </c>
      <c r="H355" s="951">
        <v>18.78</v>
      </c>
      <c r="I355" s="18"/>
    </row>
    <row r="356" spans="1:9">
      <c r="A356" s="943">
        <v>2</v>
      </c>
      <c r="B356" s="944">
        <v>853.23</v>
      </c>
      <c r="C356" s="944" t="s">
        <v>584</v>
      </c>
      <c r="D356" s="943" t="s">
        <v>17</v>
      </c>
      <c r="E356" s="945">
        <v>400</v>
      </c>
      <c r="F356" s="945">
        <v>1</v>
      </c>
      <c r="G356" s="946">
        <v>66</v>
      </c>
      <c r="H356" s="946">
        <v>66</v>
      </c>
    </row>
    <row r="357" spans="1:9" s="26" customFormat="1">
      <c r="A357" s="947">
        <v>2</v>
      </c>
      <c r="B357" s="948">
        <v>853.33</v>
      </c>
      <c r="C357" s="948" t="s">
        <v>587</v>
      </c>
      <c r="D357" s="947" t="s">
        <v>17</v>
      </c>
      <c r="E357" s="949">
        <v>10480</v>
      </c>
      <c r="F357" s="950">
        <v>4</v>
      </c>
      <c r="G357" s="951">
        <v>95</v>
      </c>
      <c r="H357" s="951">
        <v>96.12</v>
      </c>
      <c r="I357" s="18"/>
    </row>
    <row r="358" spans="1:9">
      <c r="A358" s="943">
        <v>2</v>
      </c>
      <c r="B358" s="944">
        <v>853.40300000000002</v>
      </c>
      <c r="C358" s="944" t="s">
        <v>588</v>
      </c>
      <c r="D358" s="943" t="s">
        <v>42</v>
      </c>
      <c r="E358" s="952">
        <v>6080</v>
      </c>
      <c r="F358" s="945">
        <v>16</v>
      </c>
      <c r="G358" s="946">
        <v>200</v>
      </c>
      <c r="H358" s="946">
        <v>209.64</v>
      </c>
    </row>
    <row r="359" spans="1:9" s="26" customFormat="1">
      <c r="A359" s="947">
        <v>2</v>
      </c>
      <c r="B359" s="948">
        <v>853.8</v>
      </c>
      <c r="C359" s="948" t="s">
        <v>589</v>
      </c>
      <c r="D359" s="947" t="s">
        <v>42</v>
      </c>
      <c r="E359" s="949">
        <v>1748</v>
      </c>
      <c r="F359" s="950">
        <v>12</v>
      </c>
      <c r="G359" s="951">
        <v>70</v>
      </c>
      <c r="H359" s="951">
        <v>73.33</v>
      </c>
      <c r="I359" s="18"/>
    </row>
    <row r="360" spans="1:9">
      <c r="A360" s="943">
        <v>2</v>
      </c>
      <c r="B360" s="944">
        <v>854.01599999999996</v>
      </c>
      <c r="C360" s="944" t="s">
        <v>591</v>
      </c>
      <c r="D360" s="943" t="s">
        <v>17</v>
      </c>
      <c r="E360" s="952">
        <v>549670</v>
      </c>
      <c r="F360" s="945">
        <v>9</v>
      </c>
      <c r="G360" s="946">
        <v>1.28</v>
      </c>
      <c r="H360" s="946">
        <v>1.25</v>
      </c>
    </row>
    <row r="361" spans="1:9" s="26" customFormat="1">
      <c r="A361" s="947">
        <v>2</v>
      </c>
      <c r="B361" s="948">
        <v>854.03599999999994</v>
      </c>
      <c r="C361" s="948" t="s">
        <v>592</v>
      </c>
      <c r="D361" s="947" t="s">
        <v>17</v>
      </c>
      <c r="E361" s="949">
        <v>306035</v>
      </c>
      <c r="F361" s="950">
        <v>16</v>
      </c>
      <c r="G361" s="951">
        <v>3</v>
      </c>
      <c r="H361" s="951">
        <v>2.79</v>
      </c>
      <c r="I361" s="18"/>
    </row>
    <row r="362" spans="1:9">
      <c r="A362" s="943">
        <v>2</v>
      </c>
      <c r="B362" s="944">
        <v>854.1</v>
      </c>
      <c r="C362" s="944" t="s">
        <v>593</v>
      </c>
      <c r="D362" s="943" t="s">
        <v>3</v>
      </c>
      <c r="E362" s="952">
        <v>53084</v>
      </c>
      <c r="F362" s="945">
        <v>11</v>
      </c>
      <c r="G362" s="946">
        <v>4</v>
      </c>
      <c r="H362" s="946">
        <v>3.31</v>
      </c>
    </row>
    <row r="363" spans="1:9" s="26" customFormat="1">
      <c r="A363" s="947">
        <v>2</v>
      </c>
      <c r="B363" s="948">
        <v>854.6</v>
      </c>
      <c r="C363" s="948" t="s">
        <v>1454</v>
      </c>
      <c r="D363" s="947" t="s">
        <v>42</v>
      </c>
      <c r="E363" s="949">
        <v>2130</v>
      </c>
      <c r="F363" s="950">
        <v>6</v>
      </c>
      <c r="G363" s="951">
        <v>30</v>
      </c>
      <c r="H363" s="951">
        <v>28.57</v>
      </c>
      <c r="I363" s="18"/>
    </row>
    <row r="364" spans="1:9">
      <c r="A364" s="943">
        <v>2</v>
      </c>
      <c r="B364" s="944">
        <v>856</v>
      </c>
      <c r="C364" s="944" t="s">
        <v>595</v>
      </c>
      <c r="D364" s="943" t="s">
        <v>42</v>
      </c>
      <c r="E364" s="952">
        <v>10619</v>
      </c>
      <c r="F364" s="945">
        <v>16</v>
      </c>
      <c r="G364" s="946">
        <v>24.43</v>
      </c>
      <c r="H364" s="946">
        <v>18.760000000000002</v>
      </c>
    </row>
    <row r="365" spans="1:9" s="26" customFormat="1">
      <c r="A365" s="947">
        <v>2</v>
      </c>
      <c r="B365" s="948">
        <v>856.12</v>
      </c>
      <c r="C365" s="948" t="s">
        <v>596</v>
      </c>
      <c r="D365" s="947" t="s">
        <v>42</v>
      </c>
      <c r="E365" s="949">
        <v>40871</v>
      </c>
      <c r="F365" s="950">
        <v>20</v>
      </c>
      <c r="G365" s="951">
        <v>28</v>
      </c>
      <c r="H365" s="951">
        <v>27.22</v>
      </c>
      <c r="I365" s="18"/>
    </row>
    <row r="366" spans="1:9">
      <c r="A366" s="943">
        <v>2</v>
      </c>
      <c r="B366" s="944">
        <v>859</v>
      </c>
      <c r="C366" s="944" t="s">
        <v>28</v>
      </c>
      <c r="D366" s="943" t="s">
        <v>42</v>
      </c>
      <c r="E366" s="952">
        <v>747655</v>
      </c>
      <c r="F366" s="945">
        <v>21</v>
      </c>
      <c r="G366" s="946">
        <v>0.4</v>
      </c>
      <c r="H366" s="946">
        <v>0.36</v>
      </c>
    </row>
    <row r="367" spans="1:9" s="26" customFormat="1">
      <c r="A367" s="947">
        <v>2</v>
      </c>
      <c r="B367" s="948">
        <v>859.1</v>
      </c>
      <c r="C367" s="948" t="s">
        <v>1455</v>
      </c>
      <c r="D367" s="947" t="s">
        <v>42</v>
      </c>
      <c r="E367" s="949">
        <v>16051</v>
      </c>
      <c r="F367" s="950">
        <v>16</v>
      </c>
      <c r="G367" s="951">
        <v>5.85</v>
      </c>
      <c r="H367" s="951">
        <v>5.34</v>
      </c>
      <c r="I367" s="18"/>
    </row>
    <row r="368" spans="1:9">
      <c r="A368" s="943">
        <v>2</v>
      </c>
      <c r="B368" s="944">
        <v>860.10599999999999</v>
      </c>
      <c r="C368" s="944" t="s">
        <v>597</v>
      </c>
      <c r="D368" s="943" t="s">
        <v>17</v>
      </c>
      <c r="E368" s="952">
        <v>3700</v>
      </c>
      <c r="F368" s="945">
        <v>1</v>
      </c>
      <c r="G368" s="946">
        <v>2.2799999999999998</v>
      </c>
      <c r="H368" s="946">
        <v>2.4700000000000002</v>
      </c>
    </row>
    <row r="369" spans="1:9" s="26" customFormat="1">
      <c r="A369" s="947">
        <v>2</v>
      </c>
      <c r="B369" s="948">
        <v>860.11199999999997</v>
      </c>
      <c r="C369" s="948" t="s">
        <v>598</v>
      </c>
      <c r="D369" s="947" t="s">
        <v>17</v>
      </c>
      <c r="E369" s="949">
        <v>1080</v>
      </c>
      <c r="F369" s="950">
        <v>1</v>
      </c>
      <c r="G369" s="951">
        <v>10.199999999999999</v>
      </c>
      <c r="H369" s="951">
        <v>12.05</v>
      </c>
      <c r="I369" s="18"/>
    </row>
    <row r="370" spans="1:9">
      <c r="A370" s="943">
        <v>2</v>
      </c>
      <c r="B370" s="944">
        <v>861.10599999999999</v>
      </c>
      <c r="C370" s="944" t="s">
        <v>599</v>
      </c>
      <c r="D370" s="943" t="s">
        <v>17</v>
      </c>
      <c r="E370" s="952">
        <v>3700</v>
      </c>
      <c r="F370" s="945">
        <v>1</v>
      </c>
      <c r="G370" s="946">
        <v>2.2799999999999998</v>
      </c>
      <c r="H370" s="946">
        <v>2.4700000000000002</v>
      </c>
    </row>
    <row r="371" spans="1:9" s="26" customFormat="1">
      <c r="A371" s="947">
        <v>2</v>
      </c>
      <c r="B371" s="948">
        <v>864.04</v>
      </c>
      <c r="C371" s="948" t="s">
        <v>1456</v>
      </c>
      <c r="D371" s="947" t="s">
        <v>3</v>
      </c>
      <c r="E371" s="949">
        <v>9920</v>
      </c>
      <c r="F371" s="950">
        <v>6</v>
      </c>
      <c r="G371" s="951">
        <v>15</v>
      </c>
      <c r="H371" s="951">
        <v>14.23</v>
      </c>
      <c r="I371" s="18"/>
    </row>
    <row r="372" spans="1:9">
      <c r="A372" s="943">
        <v>2</v>
      </c>
      <c r="B372" s="944">
        <v>864.31</v>
      </c>
      <c r="C372" s="944" t="s">
        <v>605</v>
      </c>
      <c r="D372" s="943" t="s">
        <v>2</v>
      </c>
      <c r="E372" s="952">
        <v>1359</v>
      </c>
      <c r="F372" s="945">
        <v>3</v>
      </c>
      <c r="G372" s="946">
        <v>37</v>
      </c>
      <c r="H372" s="946">
        <v>143.38</v>
      </c>
    </row>
    <row r="373" spans="1:9" s="26" customFormat="1">
      <c r="A373" s="947">
        <v>2</v>
      </c>
      <c r="B373" s="948">
        <v>864.32</v>
      </c>
      <c r="C373" s="948" t="s">
        <v>606</v>
      </c>
      <c r="D373" s="947" t="s">
        <v>2</v>
      </c>
      <c r="E373" s="950">
        <v>135</v>
      </c>
      <c r="F373" s="950">
        <v>1</v>
      </c>
      <c r="G373" s="951">
        <v>36</v>
      </c>
      <c r="H373" s="951">
        <v>36.61</v>
      </c>
      <c r="I373" s="18"/>
    </row>
    <row r="374" spans="1:9">
      <c r="A374" s="943">
        <v>2</v>
      </c>
      <c r="B374" s="944">
        <v>864.33</v>
      </c>
      <c r="C374" s="944" t="s">
        <v>607</v>
      </c>
      <c r="D374" s="943" t="s">
        <v>2</v>
      </c>
      <c r="E374" s="945">
        <v>975</v>
      </c>
      <c r="F374" s="945">
        <v>2</v>
      </c>
      <c r="G374" s="946">
        <v>33</v>
      </c>
      <c r="H374" s="946">
        <v>33.31</v>
      </c>
    </row>
    <row r="375" spans="1:9" s="26" customFormat="1">
      <c r="A375" s="947">
        <v>2</v>
      </c>
      <c r="B375" s="948">
        <v>864.34</v>
      </c>
      <c r="C375" s="948" t="s">
        <v>608</v>
      </c>
      <c r="D375" s="947" t="s">
        <v>2</v>
      </c>
      <c r="E375" s="950">
        <v>870</v>
      </c>
      <c r="F375" s="950">
        <v>2</v>
      </c>
      <c r="G375" s="951">
        <v>33</v>
      </c>
      <c r="H375" s="951">
        <v>33.31</v>
      </c>
      <c r="I375" s="18"/>
    </row>
    <row r="376" spans="1:9">
      <c r="A376" s="943">
        <v>2</v>
      </c>
      <c r="B376" s="944">
        <v>864.35</v>
      </c>
      <c r="C376" s="944" t="s">
        <v>609</v>
      </c>
      <c r="D376" s="943" t="s">
        <v>2</v>
      </c>
      <c r="E376" s="952">
        <v>4635</v>
      </c>
      <c r="F376" s="945">
        <v>3</v>
      </c>
      <c r="G376" s="946">
        <v>34.5</v>
      </c>
      <c r="H376" s="946">
        <v>35.01</v>
      </c>
    </row>
    <row r="377" spans="1:9" s="26" customFormat="1">
      <c r="A377" s="947">
        <v>2</v>
      </c>
      <c r="B377" s="948">
        <v>866.10599999999999</v>
      </c>
      <c r="C377" s="948" t="s">
        <v>25</v>
      </c>
      <c r="D377" s="947" t="s">
        <v>17</v>
      </c>
      <c r="E377" s="949">
        <v>1586</v>
      </c>
      <c r="F377" s="950">
        <v>2</v>
      </c>
      <c r="G377" s="951">
        <v>5.5</v>
      </c>
      <c r="H377" s="951">
        <v>5</v>
      </c>
      <c r="I377" s="18"/>
    </row>
    <row r="378" spans="1:9">
      <c r="A378" s="943">
        <v>2</v>
      </c>
      <c r="B378" s="944">
        <v>866.11199999999997</v>
      </c>
      <c r="C378" s="944" t="s">
        <v>610</v>
      </c>
      <c r="D378" s="943" t="s">
        <v>17</v>
      </c>
      <c r="E378" s="952">
        <v>7768</v>
      </c>
      <c r="F378" s="945">
        <v>3</v>
      </c>
      <c r="G378" s="946">
        <v>7.25</v>
      </c>
      <c r="H378" s="946">
        <v>7.48</v>
      </c>
    </row>
    <row r="379" spans="1:9" s="26" customFormat="1">
      <c r="A379" s="947">
        <v>2</v>
      </c>
      <c r="B379" s="948">
        <v>866.20600000000002</v>
      </c>
      <c r="C379" s="948" t="s">
        <v>611</v>
      </c>
      <c r="D379" s="947" t="s">
        <v>17</v>
      </c>
      <c r="E379" s="949">
        <v>102830</v>
      </c>
      <c r="F379" s="950">
        <v>7</v>
      </c>
      <c r="G379" s="951">
        <v>4.5</v>
      </c>
      <c r="H379" s="951">
        <v>4.24</v>
      </c>
      <c r="I379" s="18"/>
    </row>
    <row r="380" spans="1:9">
      <c r="A380" s="943">
        <v>2</v>
      </c>
      <c r="B380" s="944">
        <v>867.10599999999999</v>
      </c>
      <c r="C380" s="944" t="s">
        <v>613</v>
      </c>
      <c r="D380" s="943" t="s">
        <v>17</v>
      </c>
      <c r="E380" s="945">
        <v>934</v>
      </c>
      <c r="F380" s="945">
        <v>2</v>
      </c>
      <c r="G380" s="946">
        <v>5.5</v>
      </c>
      <c r="H380" s="946">
        <v>5</v>
      </c>
    </row>
    <row r="381" spans="1:9" s="26" customFormat="1">
      <c r="A381" s="947">
        <v>2</v>
      </c>
      <c r="B381" s="948">
        <v>867.11199999999997</v>
      </c>
      <c r="C381" s="948" t="s">
        <v>50</v>
      </c>
      <c r="D381" s="947" t="s">
        <v>17</v>
      </c>
      <c r="E381" s="950">
        <v>30</v>
      </c>
      <c r="F381" s="950">
        <v>1</v>
      </c>
      <c r="G381" s="951">
        <v>8</v>
      </c>
      <c r="H381" s="951">
        <v>7</v>
      </c>
      <c r="I381" s="18"/>
    </row>
    <row r="382" spans="1:9">
      <c r="A382" s="943">
        <v>2</v>
      </c>
      <c r="B382" s="944">
        <v>867.20600000000002</v>
      </c>
      <c r="C382" s="944" t="s">
        <v>614</v>
      </c>
      <c r="D382" s="943" t="s">
        <v>17</v>
      </c>
      <c r="E382" s="952">
        <v>28970</v>
      </c>
      <c r="F382" s="945">
        <v>6</v>
      </c>
      <c r="G382" s="946">
        <v>5</v>
      </c>
      <c r="H382" s="946">
        <v>4.8499999999999996</v>
      </c>
    </row>
    <row r="383" spans="1:9" s="26" customFormat="1">
      <c r="A383" s="947">
        <v>2</v>
      </c>
      <c r="B383" s="948">
        <v>874</v>
      </c>
      <c r="C383" s="948" t="s">
        <v>23</v>
      </c>
      <c r="D383" s="947" t="s">
        <v>2</v>
      </c>
      <c r="E383" s="950">
        <v>218</v>
      </c>
      <c r="F383" s="950">
        <v>5</v>
      </c>
      <c r="G383" s="951">
        <v>110</v>
      </c>
      <c r="H383" s="951">
        <v>103.63</v>
      </c>
      <c r="I383" s="18"/>
    </row>
    <row r="384" spans="1:9">
      <c r="A384" s="943">
        <v>2</v>
      </c>
      <c r="B384" s="944">
        <v>874.1</v>
      </c>
      <c r="C384" s="944" t="s">
        <v>617</v>
      </c>
      <c r="D384" s="943" t="s">
        <v>2</v>
      </c>
      <c r="E384" s="945">
        <v>16</v>
      </c>
      <c r="F384" s="945">
        <v>1</v>
      </c>
      <c r="G384" s="946">
        <v>225</v>
      </c>
      <c r="H384" s="946">
        <v>225</v>
      </c>
    </row>
    <row r="385" spans="1:9" s="26" customFormat="1">
      <c r="A385" s="947">
        <v>2</v>
      </c>
      <c r="B385" s="948">
        <v>874.2</v>
      </c>
      <c r="C385" s="948" t="s">
        <v>618</v>
      </c>
      <c r="D385" s="947" t="s">
        <v>2</v>
      </c>
      <c r="E385" s="950">
        <v>325</v>
      </c>
      <c r="F385" s="950">
        <v>9</v>
      </c>
      <c r="G385" s="951">
        <v>200</v>
      </c>
      <c r="H385" s="951">
        <v>185.94</v>
      </c>
      <c r="I385" s="18"/>
    </row>
    <row r="386" spans="1:9">
      <c r="A386" s="943">
        <v>2</v>
      </c>
      <c r="B386" s="944">
        <v>874.4</v>
      </c>
      <c r="C386" s="944" t="s">
        <v>620</v>
      </c>
      <c r="D386" s="943" t="s">
        <v>2</v>
      </c>
      <c r="E386" s="945">
        <v>263</v>
      </c>
      <c r="F386" s="945">
        <v>5</v>
      </c>
      <c r="G386" s="946">
        <v>52.5</v>
      </c>
      <c r="H386" s="946">
        <v>58.36</v>
      </c>
    </row>
    <row r="387" spans="1:9" s="26" customFormat="1">
      <c r="A387" s="947">
        <v>2</v>
      </c>
      <c r="B387" s="948">
        <v>874.7</v>
      </c>
      <c r="C387" s="948" t="s">
        <v>46</v>
      </c>
      <c r="D387" s="947" t="s">
        <v>2</v>
      </c>
      <c r="E387" s="950">
        <v>2</v>
      </c>
      <c r="F387" s="950">
        <v>1</v>
      </c>
      <c r="G387" s="951">
        <v>150</v>
      </c>
      <c r="H387" s="951">
        <v>150</v>
      </c>
      <c r="I387" s="18"/>
    </row>
    <row r="388" spans="1:9">
      <c r="A388" s="943">
        <v>2</v>
      </c>
      <c r="B388" s="944">
        <v>877</v>
      </c>
      <c r="C388" s="944" t="s">
        <v>621</v>
      </c>
      <c r="D388" s="943" t="s">
        <v>2</v>
      </c>
      <c r="E388" s="945">
        <v>20</v>
      </c>
      <c r="F388" s="945">
        <v>1</v>
      </c>
      <c r="G388" s="946">
        <v>97.5</v>
      </c>
      <c r="H388" s="946">
        <v>97.5</v>
      </c>
    </row>
    <row r="389" spans="1:9" s="26" customFormat="1">
      <c r="A389" s="947">
        <v>2</v>
      </c>
      <c r="B389" s="948">
        <v>877.1</v>
      </c>
      <c r="C389" s="948" t="s">
        <v>622</v>
      </c>
      <c r="D389" s="947" t="s">
        <v>2</v>
      </c>
      <c r="E389" s="950">
        <v>109</v>
      </c>
      <c r="F389" s="950">
        <v>4</v>
      </c>
      <c r="G389" s="951">
        <v>50</v>
      </c>
      <c r="H389" s="951">
        <v>43.5</v>
      </c>
      <c r="I389" s="18"/>
    </row>
    <row r="390" spans="1:9">
      <c r="A390" s="943">
        <v>2</v>
      </c>
      <c r="B390" s="944">
        <v>877.2</v>
      </c>
      <c r="C390" s="944" t="s">
        <v>623</v>
      </c>
      <c r="D390" s="943" t="s">
        <v>2</v>
      </c>
      <c r="E390" s="945">
        <v>10</v>
      </c>
      <c r="F390" s="945">
        <v>1</v>
      </c>
      <c r="G390" s="946">
        <v>65</v>
      </c>
      <c r="H390" s="946">
        <v>65</v>
      </c>
    </row>
    <row r="391" spans="1:9" s="26" customFormat="1">
      <c r="A391" s="947">
        <v>2</v>
      </c>
      <c r="B391" s="948">
        <v>901</v>
      </c>
      <c r="C391" s="948" t="s">
        <v>624</v>
      </c>
      <c r="D391" s="947" t="s">
        <v>4</v>
      </c>
      <c r="E391" s="950">
        <v>124</v>
      </c>
      <c r="F391" s="950">
        <v>2</v>
      </c>
      <c r="G391" s="951">
        <v>825</v>
      </c>
      <c r="H391" s="951">
        <v>850</v>
      </c>
      <c r="I391" s="18"/>
    </row>
    <row r="392" spans="1:9">
      <c r="A392" s="943">
        <v>2</v>
      </c>
      <c r="B392" s="944">
        <v>901.3</v>
      </c>
      <c r="C392" s="944" t="s">
        <v>625</v>
      </c>
      <c r="D392" s="943" t="s">
        <v>4</v>
      </c>
      <c r="E392" s="945">
        <v>1.5</v>
      </c>
      <c r="F392" s="945">
        <v>1</v>
      </c>
      <c r="G392" s="946">
        <v>468</v>
      </c>
      <c r="H392" s="946">
        <v>462</v>
      </c>
    </row>
    <row r="393" spans="1:9" s="26" customFormat="1">
      <c r="A393" s="947">
        <v>2</v>
      </c>
      <c r="B393" s="948">
        <v>903</v>
      </c>
      <c r="C393" s="948" t="s">
        <v>626</v>
      </c>
      <c r="D393" s="947" t="s">
        <v>4</v>
      </c>
      <c r="E393" s="950">
        <v>220</v>
      </c>
      <c r="F393" s="950">
        <v>2</v>
      </c>
      <c r="G393" s="951">
        <v>410</v>
      </c>
      <c r="H393" s="951">
        <v>400</v>
      </c>
      <c r="I393" s="18"/>
    </row>
    <row r="394" spans="1:9">
      <c r="A394" s="943">
        <v>2</v>
      </c>
      <c r="B394" s="944">
        <v>904</v>
      </c>
      <c r="C394" s="944" t="s">
        <v>627</v>
      </c>
      <c r="D394" s="943" t="s">
        <v>4</v>
      </c>
      <c r="E394" s="945">
        <v>36</v>
      </c>
      <c r="F394" s="945">
        <v>2</v>
      </c>
      <c r="G394" s="946">
        <v>1207.5</v>
      </c>
      <c r="H394" s="946">
        <v>1172.17</v>
      </c>
    </row>
    <row r="395" spans="1:9" s="26" customFormat="1">
      <c r="A395" s="947">
        <v>2</v>
      </c>
      <c r="B395" s="948">
        <v>905</v>
      </c>
      <c r="C395" s="948" t="s">
        <v>630</v>
      </c>
      <c r="D395" s="947" t="s">
        <v>4</v>
      </c>
      <c r="E395" s="950">
        <v>449</v>
      </c>
      <c r="F395" s="950">
        <v>6</v>
      </c>
      <c r="G395" s="951">
        <v>5845</v>
      </c>
      <c r="H395" s="951">
        <v>5016.62</v>
      </c>
      <c r="I395" s="18"/>
    </row>
    <row r="396" spans="1:9">
      <c r="A396" s="943">
        <v>2</v>
      </c>
      <c r="B396" s="944">
        <v>905.2</v>
      </c>
      <c r="C396" s="944" t="s">
        <v>631</v>
      </c>
      <c r="D396" s="943" t="s">
        <v>4</v>
      </c>
      <c r="E396" s="945">
        <v>3</v>
      </c>
      <c r="F396" s="945">
        <v>1</v>
      </c>
      <c r="G396" s="946">
        <v>8500</v>
      </c>
      <c r="H396" s="946">
        <v>8500</v>
      </c>
    </row>
    <row r="397" spans="1:9" s="26" customFormat="1">
      <c r="A397" s="947">
        <v>2</v>
      </c>
      <c r="B397" s="948">
        <v>909.2</v>
      </c>
      <c r="C397" s="948" t="s">
        <v>635</v>
      </c>
      <c r="D397" s="947" t="s">
        <v>3</v>
      </c>
      <c r="E397" s="949">
        <v>7200</v>
      </c>
      <c r="F397" s="950">
        <v>4</v>
      </c>
      <c r="G397" s="951">
        <v>75</v>
      </c>
      <c r="H397" s="951">
        <v>75.400000000000006</v>
      </c>
      <c r="I397" s="18"/>
    </row>
    <row r="398" spans="1:9">
      <c r="A398" s="943">
        <v>2</v>
      </c>
      <c r="B398" s="944">
        <v>910</v>
      </c>
      <c r="C398" s="944" t="s">
        <v>636</v>
      </c>
      <c r="D398" s="943" t="s">
        <v>100</v>
      </c>
      <c r="E398" s="952">
        <v>1000</v>
      </c>
      <c r="F398" s="945">
        <v>1</v>
      </c>
      <c r="G398" s="946">
        <v>3.45</v>
      </c>
      <c r="H398" s="946">
        <v>3.45</v>
      </c>
    </row>
    <row r="399" spans="1:9" s="26" customFormat="1">
      <c r="A399" s="947">
        <v>2</v>
      </c>
      <c r="B399" s="948">
        <v>910.1</v>
      </c>
      <c r="C399" s="948" t="s">
        <v>637</v>
      </c>
      <c r="D399" s="947" t="s">
        <v>100</v>
      </c>
      <c r="E399" s="949">
        <v>41190</v>
      </c>
      <c r="F399" s="950">
        <v>10</v>
      </c>
      <c r="G399" s="951">
        <v>5</v>
      </c>
      <c r="H399" s="951">
        <v>4.75</v>
      </c>
      <c r="I399" s="18"/>
    </row>
    <row r="400" spans="1:9">
      <c r="A400" s="943">
        <v>2</v>
      </c>
      <c r="B400" s="944">
        <v>912</v>
      </c>
      <c r="C400" s="944" t="s">
        <v>641</v>
      </c>
      <c r="D400" s="943" t="s">
        <v>2</v>
      </c>
      <c r="E400" s="945">
        <v>525</v>
      </c>
      <c r="F400" s="945">
        <v>5</v>
      </c>
      <c r="G400" s="946">
        <v>85</v>
      </c>
      <c r="H400" s="946">
        <v>79.73</v>
      </c>
    </row>
    <row r="401" spans="1:9" s="26" customFormat="1">
      <c r="A401" s="947">
        <v>2</v>
      </c>
      <c r="B401" s="948">
        <v>942.12400000000002</v>
      </c>
      <c r="C401" s="948" t="s">
        <v>647</v>
      </c>
      <c r="D401" s="947" t="s">
        <v>17</v>
      </c>
      <c r="E401" s="949">
        <v>7086</v>
      </c>
      <c r="F401" s="950">
        <v>1</v>
      </c>
      <c r="G401" s="951">
        <v>185</v>
      </c>
      <c r="H401" s="951">
        <v>170.83</v>
      </c>
      <c r="I401" s="18"/>
    </row>
    <row r="402" spans="1:9">
      <c r="A402" s="943">
        <v>2</v>
      </c>
      <c r="B402" s="944">
        <v>948.3</v>
      </c>
      <c r="C402" s="944" t="s">
        <v>3567</v>
      </c>
      <c r="D402" s="943" t="s">
        <v>2</v>
      </c>
      <c r="E402" s="945">
        <v>4</v>
      </c>
      <c r="F402" s="945">
        <v>1</v>
      </c>
      <c r="G402" s="946">
        <v>87500</v>
      </c>
      <c r="H402" s="946">
        <v>100000</v>
      </c>
    </row>
    <row r="403" spans="1:9" s="26" customFormat="1">
      <c r="A403" s="947">
        <v>2</v>
      </c>
      <c r="B403" s="948">
        <v>948.41</v>
      </c>
      <c r="C403" s="948" t="s">
        <v>654</v>
      </c>
      <c r="D403" s="947" t="s">
        <v>2</v>
      </c>
      <c r="E403" s="950">
        <v>28</v>
      </c>
      <c r="F403" s="950">
        <v>1</v>
      </c>
      <c r="G403" s="951">
        <v>8250</v>
      </c>
      <c r="H403" s="951">
        <v>8142.86</v>
      </c>
      <c r="I403" s="18"/>
    </row>
    <row r="404" spans="1:9">
      <c r="A404" s="943">
        <v>2</v>
      </c>
      <c r="B404" s="944">
        <v>948.5</v>
      </c>
      <c r="C404" s="944" t="s">
        <v>655</v>
      </c>
      <c r="D404" s="943" t="s">
        <v>2</v>
      </c>
      <c r="E404" s="945">
        <v>77</v>
      </c>
      <c r="F404" s="945">
        <v>1</v>
      </c>
      <c r="G404" s="946">
        <v>275</v>
      </c>
      <c r="H404" s="946">
        <v>257.14</v>
      </c>
    </row>
    <row r="405" spans="1:9" s="26" customFormat="1">
      <c r="A405" s="947">
        <v>2</v>
      </c>
      <c r="B405" s="948">
        <v>961.20100000000002</v>
      </c>
      <c r="C405" s="948" t="s">
        <v>660</v>
      </c>
      <c r="D405" s="947" t="s">
        <v>22</v>
      </c>
      <c r="E405" s="950">
        <v>4</v>
      </c>
      <c r="F405" s="950">
        <v>2</v>
      </c>
      <c r="G405" s="951">
        <v>650000</v>
      </c>
      <c r="H405" s="951">
        <v>632987.5</v>
      </c>
      <c r="I405" s="18"/>
    </row>
    <row r="406" spans="1:9">
      <c r="A406" s="943">
        <v>2</v>
      </c>
      <c r="B406" s="944">
        <v>961.202</v>
      </c>
      <c r="C406" s="944" t="s">
        <v>660</v>
      </c>
      <c r="D406" s="943" t="s">
        <v>22</v>
      </c>
      <c r="E406" s="945">
        <v>5</v>
      </c>
      <c r="F406" s="945">
        <v>2</v>
      </c>
      <c r="G406" s="946">
        <v>462500</v>
      </c>
      <c r="H406" s="946">
        <v>455000</v>
      </c>
    </row>
    <row r="407" spans="1:9" s="26" customFormat="1">
      <c r="A407" s="947">
        <v>2</v>
      </c>
      <c r="B407" s="948">
        <v>961.20299999999997</v>
      </c>
      <c r="C407" s="948" t="s">
        <v>661</v>
      </c>
      <c r="D407" s="947" t="s">
        <v>22</v>
      </c>
      <c r="E407" s="950">
        <v>5</v>
      </c>
      <c r="F407" s="950">
        <v>2</v>
      </c>
      <c r="G407" s="951">
        <v>730000</v>
      </c>
      <c r="H407" s="951">
        <v>673173</v>
      </c>
      <c r="I407" s="18"/>
    </row>
    <row r="408" spans="1:9">
      <c r="A408" s="943">
        <v>2</v>
      </c>
      <c r="B408" s="944">
        <v>961.20399999999995</v>
      </c>
      <c r="C408" s="944" t="s">
        <v>660</v>
      </c>
      <c r="D408" s="943" t="s">
        <v>22</v>
      </c>
      <c r="E408" s="945">
        <v>3</v>
      </c>
      <c r="F408" s="945">
        <v>1</v>
      </c>
      <c r="G408" s="946">
        <v>425000</v>
      </c>
      <c r="H408" s="946">
        <v>435000</v>
      </c>
    </row>
    <row r="409" spans="1:9" s="26" customFormat="1">
      <c r="A409" s="947">
        <v>2</v>
      </c>
      <c r="B409" s="948">
        <v>961.20500000000004</v>
      </c>
      <c r="C409" s="948" t="s">
        <v>662</v>
      </c>
      <c r="D409" s="947" t="s">
        <v>22</v>
      </c>
      <c r="E409" s="950">
        <v>3</v>
      </c>
      <c r="F409" s="950">
        <v>1</v>
      </c>
      <c r="G409" s="951">
        <v>425000</v>
      </c>
      <c r="H409" s="951">
        <v>448333.33</v>
      </c>
      <c r="I409" s="18"/>
    </row>
    <row r="410" spans="1:9">
      <c r="A410" s="943">
        <v>2</v>
      </c>
      <c r="B410" s="944">
        <v>961.20600000000002</v>
      </c>
      <c r="C410" s="944" t="s">
        <v>662</v>
      </c>
      <c r="D410" s="943" t="s">
        <v>22</v>
      </c>
      <c r="E410" s="945">
        <v>3</v>
      </c>
      <c r="F410" s="945">
        <v>1</v>
      </c>
      <c r="G410" s="946">
        <v>675000</v>
      </c>
      <c r="H410" s="946">
        <v>695000</v>
      </c>
    </row>
    <row r="411" spans="1:9" s="26" customFormat="1">
      <c r="A411" s="947">
        <v>2</v>
      </c>
      <c r="B411" s="948">
        <v>961.20699999999999</v>
      </c>
      <c r="C411" s="948" t="s">
        <v>662</v>
      </c>
      <c r="D411" s="947" t="s">
        <v>22</v>
      </c>
      <c r="E411" s="950">
        <v>3</v>
      </c>
      <c r="F411" s="950">
        <v>1</v>
      </c>
      <c r="G411" s="951">
        <v>675000</v>
      </c>
      <c r="H411" s="951">
        <v>726666.67</v>
      </c>
      <c r="I411" s="18"/>
    </row>
    <row r="412" spans="1:9">
      <c r="A412" s="943">
        <v>2</v>
      </c>
      <c r="B412" s="944">
        <v>961.20799999999997</v>
      </c>
      <c r="C412" s="944" t="s">
        <v>662</v>
      </c>
      <c r="D412" s="943" t="s">
        <v>22</v>
      </c>
      <c r="E412" s="945">
        <v>3</v>
      </c>
      <c r="F412" s="945">
        <v>1</v>
      </c>
      <c r="G412" s="946">
        <v>480000</v>
      </c>
      <c r="H412" s="946">
        <v>475833.33</v>
      </c>
    </row>
    <row r="413" spans="1:9" s="26" customFormat="1">
      <c r="A413" s="947">
        <v>2</v>
      </c>
      <c r="B413" s="948">
        <v>961.20899999999995</v>
      </c>
      <c r="C413" s="948" t="s">
        <v>662</v>
      </c>
      <c r="D413" s="947" t="s">
        <v>22</v>
      </c>
      <c r="E413" s="950">
        <v>3</v>
      </c>
      <c r="F413" s="950">
        <v>1</v>
      </c>
      <c r="G413" s="951">
        <v>450000</v>
      </c>
      <c r="H413" s="951">
        <v>446999.88</v>
      </c>
      <c r="I413" s="18"/>
    </row>
    <row r="414" spans="1:9">
      <c r="A414" s="943">
        <v>2</v>
      </c>
      <c r="B414" s="944">
        <v>961.21</v>
      </c>
      <c r="C414" s="944" t="s">
        <v>662</v>
      </c>
      <c r="D414" s="943" t="s">
        <v>22</v>
      </c>
      <c r="E414" s="945">
        <v>3</v>
      </c>
      <c r="F414" s="945">
        <v>1</v>
      </c>
      <c r="G414" s="946">
        <v>430000</v>
      </c>
      <c r="H414" s="946">
        <v>410000</v>
      </c>
    </row>
    <row r="415" spans="1:9" s="26" customFormat="1">
      <c r="A415" s="947">
        <v>2</v>
      </c>
      <c r="B415" s="948">
        <v>964.1</v>
      </c>
      <c r="C415" s="948" t="s">
        <v>663</v>
      </c>
      <c r="D415" s="947" t="s">
        <v>3</v>
      </c>
      <c r="E415" s="949">
        <v>40220</v>
      </c>
      <c r="F415" s="950">
        <v>2</v>
      </c>
      <c r="G415" s="951">
        <v>3.15</v>
      </c>
      <c r="H415" s="951">
        <v>2.97</v>
      </c>
      <c r="I415" s="18"/>
    </row>
    <row r="416" spans="1:9">
      <c r="A416" s="943">
        <v>2</v>
      </c>
      <c r="B416" s="944">
        <v>966</v>
      </c>
      <c r="C416" s="944" t="s">
        <v>1466</v>
      </c>
      <c r="D416" s="943" t="s">
        <v>3</v>
      </c>
      <c r="E416" s="952">
        <v>110430</v>
      </c>
      <c r="F416" s="945">
        <v>2</v>
      </c>
      <c r="G416" s="946">
        <v>4.9000000000000004</v>
      </c>
      <c r="H416" s="946">
        <v>4.79</v>
      </c>
    </row>
    <row r="417" spans="1:9" s="26" customFormat="1">
      <c r="A417" s="947">
        <v>2</v>
      </c>
      <c r="B417" s="948">
        <v>983</v>
      </c>
      <c r="C417" s="948" t="s">
        <v>671</v>
      </c>
      <c r="D417" s="947" t="s">
        <v>7</v>
      </c>
      <c r="E417" s="949">
        <v>1200</v>
      </c>
      <c r="F417" s="950">
        <v>1</v>
      </c>
      <c r="G417" s="951">
        <v>100</v>
      </c>
      <c r="H417" s="951">
        <v>97.5</v>
      </c>
      <c r="I417" s="18"/>
    </row>
    <row r="418" spans="1:9">
      <c r="A418" s="943">
        <v>2</v>
      </c>
      <c r="B418" s="944">
        <v>983.1</v>
      </c>
      <c r="C418" s="944" t="s">
        <v>672</v>
      </c>
      <c r="D418" s="943" t="s">
        <v>7</v>
      </c>
      <c r="E418" s="952">
        <v>2856</v>
      </c>
      <c r="F418" s="945">
        <v>1</v>
      </c>
      <c r="G418" s="946">
        <v>95</v>
      </c>
      <c r="H418" s="946">
        <v>89.38</v>
      </c>
    </row>
    <row r="419" spans="1:9" s="26" customFormat="1">
      <c r="A419" s="947">
        <v>2</v>
      </c>
      <c r="B419" s="948">
        <v>983.11</v>
      </c>
      <c r="C419" s="948" t="s">
        <v>673</v>
      </c>
      <c r="D419" s="947" t="s">
        <v>7</v>
      </c>
      <c r="E419" s="949">
        <v>2800</v>
      </c>
      <c r="F419" s="950">
        <v>1</v>
      </c>
      <c r="G419" s="951">
        <v>103.5</v>
      </c>
      <c r="H419" s="951">
        <v>113</v>
      </c>
      <c r="I419" s="18"/>
    </row>
    <row r="420" spans="1:9">
      <c r="A420" s="943">
        <v>2</v>
      </c>
      <c r="B420" s="944">
        <v>986</v>
      </c>
      <c r="C420" s="944" t="s">
        <v>675</v>
      </c>
      <c r="D420" s="943" t="s">
        <v>7</v>
      </c>
      <c r="E420" s="952">
        <v>12352</v>
      </c>
      <c r="F420" s="945">
        <v>6</v>
      </c>
      <c r="G420" s="946">
        <v>100</v>
      </c>
      <c r="H420" s="946">
        <v>99.13</v>
      </c>
    </row>
    <row r="421" spans="1:9" s="26" customFormat="1">
      <c r="A421" s="947">
        <v>2</v>
      </c>
      <c r="B421" s="948">
        <v>987</v>
      </c>
      <c r="C421" s="948" t="s">
        <v>1433</v>
      </c>
      <c r="D421" s="947" t="s">
        <v>1</v>
      </c>
      <c r="E421" s="950">
        <v>625</v>
      </c>
      <c r="F421" s="950">
        <v>2</v>
      </c>
      <c r="G421" s="951">
        <v>145</v>
      </c>
      <c r="H421" s="951">
        <v>145</v>
      </c>
      <c r="I421" s="18"/>
    </row>
    <row r="422" spans="1:9">
      <c r="A422" s="943">
        <v>2</v>
      </c>
      <c r="B422" s="944">
        <v>991.1</v>
      </c>
      <c r="C422" s="944" t="s">
        <v>678</v>
      </c>
      <c r="D422" s="943" t="s">
        <v>22</v>
      </c>
      <c r="E422" s="945">
        <v>9</v>
      </c>
      <c r="F422" s="945">
        <v>3</v>
      </c>
      <c r="G422" s="946">
        <v>217500</v>
      </c>
      <c r="H422" s="946">
        <v>229555.56</v>
      </c>
    </row>
    <row r="423" spans="1:9" s="26" customFormat="1">
      <c r="A423" s="947">
        <v>2</v>
      </c>
      <c r="B423" s="948">
        <v>991.2</v>
      </c>
      <c r="C423" s="948" t="s">
        <v>678</v>
      </c>
      <c r="D423" s="947" t="s">
        <v>22</v>
      </c>
      <c r="E423" s="950">
        <v>3</v>
      </c>
      <c r="F423" s="950">
        <v>1</v>
      </c>
      <c r="G423" s="951">
        <v>106175</v>
      </c>
      <c r="H423" s="951">
        <v>92450</v>
      </c>
      <c r="I423" s="18"/>
    </row>
    <row r="424" spans="1:9">
      <c r="A424" s="943">
        <v>2</v>
      </c>
      <c r="B424" s="944">
        <v>994.01</v>
      </c>
      <c r="C424" s="944" t="s">
        <v>682</v>
      </c>
      <c r="D424" s="943" t="s">
        <v>22</v>
      </c>
      <c r="E424" s="945">
        <v>7</v>
      </c>
      <c r="F424" s="945">
        <v>1</v>
      </c>
      <c r="G424" s="946">
        <v>50000</v>
      </c>
      <c r="H424" s="946">
        <v>51750</v>
      </c>
    </row>
    <row r="425" spans="1:9" s="26" customFormat="1">
      <c r="A425" s="947">
        <v>2</v>
      </c>
      <c r="B425" s="948">
        <v>994.1</v>
      </c>
      <c r="C425" s="948" t="s">
        <v>683</v>
      </c>
      <c r="D425" s="947" t="s">
        <v>3</v>
      </c>
      <c r="E425" s="949">
        <v>110600</v>
      </c>
      <c r="F425" s="950">
        <v>7</v>
      </c>
      <c r="G425" s="951">
        <v>13</v>
      </c>
      <c r="H425" s="951">
        <v>13.01</v>
      </c>
      <c r="I425" s="18"/>
    </row>
    <row r="426" spans="1:9">
      <c r="A426" s="943">
        <v>2</v>
      </c>
      <c r="B426" s="944">
        <v>995.01</v>
      </c>
      <c r="C426" s="944" t="s">
        <v>685</v>
      </c>
      <c r="D426" s="943" t="s">
        <v>22</v>
      </c>
      <c r="E426" s="945">
        <v>19</v>
      </c>
      <c r="F426" s="945">
        <v>3</v>
      </c>
      <c r="G426" s="946">
        <v>949217.5</v>
      </c>
      <c r="H426" s="946">
        <v>883280.84</v>
      </c>
    </row>
    <row r="427" spans="1:9" s="26" customFormat="1">
      <c r="A427" s="947">
        <v>2</v>
      </c>
      <c r="B427" s="948">
        <v>995.02</v>
      </c>
      <c r="C427" s="948" t="s">
        <v>687</v>
      </c>
      <c r="D427" s="947" t="s">
        <v>22</v>
      </c>
      <c r="E427" s="950">
        <v>6</v>
      </c>
      <c r="F427" s="950">
        <v>1</v>
      </c>
      <c r="G427" s="951">
        <v>465000</v>
      </c>
      <c r="H427" s="951">
        <v>448690.67</v>
      </c>
      <c r="I427" s="18"/>
    </row>
    <row r="428" spans="1:9">
      <c r="A428" s="943">
        <v>2</v>
      </c>
      <c r="B428" s="944">
        <v>996.01</v>
      </c>
      <c r="C428" s="944" t="s">
        <v>688</v>
      </c>
      <c r="D428" s="943" t="s">
        <v>22</v>
      </c>
      <c r="E428" s="945">
        <v>4</v>
      </c>
      <c r="F428" s="945">
        <v>1</v>
      </c>
      <c r="G428" s="946">
        <v>350000</v>
      </c>
      <c r="H428" s="946">
        <v>303750</v>
      </c>
    </row>
    <row r="429" spans="1:9" s="26" customFormat="1">
      <c r="A429" s="947">
        <v>2</v>
      </c>
      <c r="B429" s="948">
        <v>996.02</v>
      </c>
      <c r="C429" s="948" t="s">
        <v>688</v>
      </c>
      <c r="D429" s="947" t="s">
        <v>22</v>
      </c>
      <c r="E429" s="950">
        <v>4</v>
      </c>
      <c r="F429" s="950">
        <v>1</v>
      </c>
      <c r="G429" s="951">
        <v>622500</v>
      </c>
      <c r="H429" s="951">
        <v>526250</v>
      </c>
      <c r="I429" s="18"/>
    </row>
    <row r="430" spans="1:9">
      <c r="A430" s="943">
        <v>3</v>
      </c>
      <c r="B430" s="944">
        <v>100</v>
      </c>
      <c r="C430" s="944" t="s">
        <v>51</v>
      </c>
      <c r="D430" s="943" t="s">
        <v>22</v>
      </c>
      <c r="E430" s="945">
        <v>34</v>
      </c>
      <c r="F430" s="945">
        <v>6</v>
      </c>
      <c r="G430" s="946">
        <v>42000</v>
      </c>
      <c r="H430" s="946">
        <v>38110.29</v>
      </c>
    </row>
    <row r="431" spans="1:9" s="26" customFormat="1">
      <c r="A431" s="947">
        <v>3</v>
      </c>
      <c r="B431" s="948">
        <v>100.001</v>
      </c>
      <c r="C431" s="948" t="s">
        <v>82</v>
      </c>
      <c r="D431" s="947" t="s">
        <v>24</v>
      </c>
      <c r="E431" s="949">
        <v>3200</v>
      </c>
      <c r="F431" s="950">
        <v>2</v>
      </c>
      <c r="G431" s="951">
        <v>132.5</v>
      </c>
      <c r="H431" s="951">
        <v>130.28</v>
      </c>
      <c r="I431" s="18"/>
    </row>
    <row r="432" spans="1:9">
      <c r="A432" s="943">
        <v>3</v>
      </c>
      <c r="B432" s="944">
        <v>100.002</v>
      </c>
      <c r="C432" s="944" t="s">
        <v>83</v>
      </c>
      <c r="D432" s="943" t="s">
        <v>24</v>
      </c>
      <c r="E432" s="952">
        <v>8980</v>
      </c>
      <c r="F432" s="945">
        <v>5</v>
      </c>
      <c r="G432" s="946">
        <v>95</v>
      </c>
      <c r="H432" s="946">
        <v>97.13</v>
      </c>
    </row>
    <row r="433" spans="1:9" s="26" customFormat="1">
      <c r="A433" s="947">
        <v>3</v>
      </c>
      <c r="B433" s="948">
        <v>100.1</v>
      </c>
      <c r="C433" s="948" t="s">
        <v>85</v>
      </c>
      <c r="D433" s="947" t="s">
        <v>24</v>
      </c>
      <c r="E433" s="949">
        <v>30010</v>
      </c>
      <c r="F433" s="950">
        <v>6</v>
      </c>
      <c r="G433" s="951">
        <v>140</v>
      </c>
      <c r="H433" s="951">
        <v>134.91</v>
      </c>
      <c r="I433" s="18"/>
    </row>
    <row r="434" spans="1:9">
      <c r="A434" s="943">
        <v>3</v>
      </c>
      <c r="B434" s="944">
        <v>101</v>
      </c>
      <c r="C434" s="944" t="s">
        <v>54</v>
      </c>
      <c r="D434" s="943" t="s">
        <v>55</v>
      </c>
      <c r="E434" s="945">
        <v>51.14</v>
      </c>
      <c r="F434" s="945">
        <v>10</v>
      </c>
      <c r="G434" s="946">
        <v>60000</v>
      </c>
      <c r="H434" s="946">
        <v>61354.91</v>
      </c>
    </row>
    <row r="435" spans="1:9" s="26" customFormat="1">
      <c r="A435" s="947">
        <v>3</v>
      </c>
      <c r="B435" s="948">
        <v>101.1</v>
      </c>
      <c r="C435" s="948" t="s">
        <v>1273</v>
      </c>
      <c r="D435" s="947" t="s">
        <v>55</v>
      </c>
      <c r="E435" s="950">
        <v>167.5</v>
      </c>
      <c r="F435" s="950">
        <v>6</v>
      </c>
      <c r="G435" s="951">
        <v>18400</v>
      </c>
      <c r="H435" s="951">
        <v>24116.5</v>
      </c>
      <c r="I435" s="18"/>
    </row>
    <row r="436" spans="1:9">
      <c r="A436" s="943">
        <v>3</v>
      </c>
      <c r="B436" s="944">
        <v>102</v>
      </c>
      <c r="C436" s="944" t="s">
        <v>92</v>
      </c>
      <c r="D436" s="943" t="s">
        <v>55</v>
      </c>
      <c r="E436" s="945">
        <v>4.8499999999999996</v>
      </c>
      <c r="F436" s="945">
        <v>2</v>
      </c>
      <c r="G436" s="946">
        <v>34000</v>
      </c>
      <c r="H436" s="946">
        <v>36714.29</v>
      </c>
    </row>
    <row r="437" spans="1:9" s="26" customFormat="1">
      <c r="A437" s="947">
        <v>3</v>
      </c>
      <c r="B437" s="948">
        <v>102.1</v>
      </c>
      <c r="C437" s="948" t="s">
        <v>93</v>
      </c>
      <c r="D437" s="947" t="s">
        <v>17</v>
      </c>
      <c r="E437" s="949">
        <v>8985</v>
      </c>
      <c r="F437" s="950">
        <v>5</v>
      </c>
      <c r="G437" s="951">
        <v>20</v>
      </c>
      <c r="H437" s="951">
        <v>18.239999999999998</v>
      </c>
      <c r="I437" s="18"/>
    </row>
    <row r="438" spans="1:9">
      <c r="A438" s="943">
        <v>3</v>
      </c>
      <c r="B438" s="944">
        <v>102.12</v>
      </c>
      <c r="C438" s="944" t="s">
        <v>93</v>
      </c>
      <c r="D438" s="943" t="s">
        <v>2</v>
      </c>
      <c r="E438" s="945">
        <v>108</v>
      </c>
      <c r="F438" s="945">
        <v>1</v>
      </c>
      <c r="G438" s="946">
        <v>550</v>
      </c>
      <c r="H438" s="946">
        <v>551.25</v>
      </c>
    </row>
    <row r="439" spans="1:9" s="26" customFormat="1">
      <c r="A439" s="947">
        <v>3</v>
      </c>
      <c r="B439" s="948">
        <v>102.3</v>
      </c>
      <c r="C439" s="948" t="s">
        <v>3995</v>
      </c>
      <c r="D439" s="947" t="s">
        <v>24</v>
      </c>
      <c r="E439" s="950">
        <v>264</v>
      </c>
      <c r="F439" s="950">
        <v>3</v>
      </c>
      <c r="G439" s="951">
        <v>825</v>
      </c>
      <c r="H439" s="951">
        <v>735.23</v>
      </c>
      <c r="I439" s="18"/>
    </row>
    <row r="440" spans="1:9">
      <c r="A440" s="943">
        <v>3</v>
      </c>
      <c r="B440" s="944">
        <v>102.33</v>
      </c>
      <c r="C440" s="944" t="s">
        <v>1275</v>
      </c>
      <c r="D440" s="943" t="s">
        <v>24</v>
      </c>
      <c r="E440" s="945">
        <v>428</v>
      </c>
      <c r="F440" s="945">
        <v>5</v>
      </c>
      <c r="G440" s="946">
        <v>300</v>
      </c>
      <c r="H440" s="946">
        <v>332.8</v>
      </c>
    </row>
    <row r="441" spans="1:9" s="26" customFormat="1">
      <c r="A441" s="947">
        <v>3</v>
      </c>
      <c r="B441" s="948">
        <v>102.511</v>
      </c>
      <c r="C441" s="948" t="s">
        <v>4029</v>
      </c>
      <c r="D441" s="947" t="s">
        <v>2</v>
      </c>
      <c r="E441" s="950">
        <v>775</v>
      </c>
      <c r="F441" s="950">
        <v>8</v>
      </c>
      <c r="G441" s="951">
        <v>450</v>
      </c>
      <c r="H441" s="951">
        <v>449.65</v>
      </c>
      <c r="I441" s="18"/>
    </row>
    <row r="442" spans="1:9">
      <c r="A442" s="943">
        <v>3</v>
      </c>
      <c r="B442" s="944">
        <v>102.521</v>
      </c>
      <c r="C442" s="944" t="s">
        <v>1276</v>
      </c>
      <c r="D442" s="943" t="s">
        <v>17</v>
      </c>
      <c r="E442" s="952">
        <v>15040</v>
      </c>
      <c r="F442" s="945">
        <v>7</v>
      </c>
      <c r="G442" s="946">
        <v>10</v>
      </c>
      <c r="H442" s="946">
        <v>9.76</v>
      </c>
    </row>
    <row r="443" spans="1:9" s="26" customFormat="1">
      <c r="A443" s="947">
        <v>3</v>
      </c>
      <c r="B443" s="948">
        <v>102.55</v>
      </c>
      <c r="C443" s="948" t="s">
        <v>1277</v>
      </c>
      <c r="D443" s="947" t="s">
        <v>24</v>
      </c>
      <c r="E443" s="950">
        <v>820</v>
      </c>
      <c r="F443" s="950">
        <v>5</v>
      </c>
      <c r="G443" s="951">
        <v>275</v>
      </c>
      <c r="H443" s="951">
        <v>252.67</v>
      </c>
      <c r="I443" s="18"/>
    </row>
    <row r="444" spans="1:9">
      <c r="A444" s="943">
        <v>3</v>
      </c>
      <c r="B444" s="944">
        <v>103</v>
      </c>
      <c r="C444" s="944" t="s">
        <v>35</v>
      </c>
      <c r="D444" s="943" t="s">
        <v>2</v>
      </c>
      <c r="E444" s="945">
        <v>892</v>
      </c>
      <c r="F444" s="945">
        <v>8</v>
      </c>
      <c r="G444" s="946">
        <v>1775</v>
      </c>
      <c r="H444" s="946">
        <v>1772.11</v>
      </c>
    </row>
    <row r="445" spans="1:9" s="26" customFormat="1">
      <c r="A445" s="947">
        <v>3</v>
      </c>
      <c r="B445" s="948">
        <v>104</v>
      </c>
      <c r="C445" s="948" t="s">
        <v>94</v>
      </c>
      <c r="D445" s="947" t="s">
        <v>2</v>
      </c>
      <c r="E445" s="950">
        <v>212</v>
      </c>
      <c r="F445" s="950">
        <v>9</v>
      </c>
      <c r="G445" s="951">
        <v>4000</v>
      </c>
      <c r="H445" s="951">
        <v>3454.57</v>
      </c>
      <c r="I445" s="18"/>
    </row>
    <row r="446" spans="1:9">
      <c r="A446" s="943">
        <v>3</v>
      </c>
      <c r="B446" s="944">
        <v>105</v>
      </c>
      <c r="C446" s="944" t="s">
        <v>95</v>
      </c>
      <c r="D446" s="943" t="s">
        <v>2</v>
      </c>
      <c r="E446" s="945">
        <v>66</v>
      </c>
      <c r="F446" s="945">
        <v>4</v>
      </c>
      <c r="G446" s="946">
        <v>650</v>
      </c>
      <c r="H446" s="946">
        <v>632.27</v>
      </c>
    </row>
    <row r="447" spans="1:9" s="26" customFormat="1">
      <c r="A447" s="947">
        <v>3</v>
      </c>
      <c r="B447" s="948">
        <v>106.12</v>
      </c>
      <c r="C447" s="948" t="s">
        <v>96</v>
      </c>
      <c r="D447" s="947" t="s">
        <v>17</v>
      </c>
      <c r="E447" s="950">
        <v>160</v>
      </c>
      <c r="F447" s="950">
        <v>1</v>
      </c>
      <c r="G447" s="951">
        <v>100</v>
      </c>
      <c r="H447" s="951">
        <v>100</v>
      </c>
      <c r="I447" s="18"/>
    </row>
    <row r="448" spans="1:9">
      <c r="A448" s="943">
        <v>3</v>
      </c>
      <c r="B448" s="944">
        <v>106.88</v>
      </c>
      <c r="C448" s="944" t="s">
        <v>98</v>
      </c>
      <c r="D448" s="943" t="s">
        <v>2</v>
      </c>
      <c r="E448" s="945">
        <v>24</v>
      </c>
      <c r="F448" s="945">
        <v>3</v>
      </c>
      <c r="G448" s="946">
        <v>8732.5</v>
      </c>
      <c r="H448" s="946">
        <v>8158</v>
      </c>
    </row>
    <row r="449" spans="1:9" s="26" customFormat="1">
      <c r="A449" s="947">
        <v>3</v>
      </c>
      <c r="B449" s="948">
        <v>107.855</v>
      </c>
      <c r="C449" s="948" t="s">
        <v>102</v>
      </c>
      <c r="D449" s="947" t="s">
        <v>17</v>
      </c>
      <c r="E449" s="950">
        <v>160</v>
      </c>
      <c r="F449" s="950">
        <v>1</v>
      </c>
      <c r="G449" s="951">
        <v>63</v>
      </c>
      <c r="H449" s="951">
        <v>65.25</v>
      </c>
      <c r="I449" s="18"/>
    </row>
    <row r="450" spans="1:9">
      <c r="A450" s="943">
        <v>3</v>
      </c>
      <c r="B450" s="944">
        <v>107.97</v>
      </c>
      <c r="C450" s="944" t="s">
        <v>103</v>
      </c>
      <c r="D450" s="943" t="s">
        <v>100</v>
      </c>
      <c r="E450" s="952">
        <v>85400</v>
      </c>
      <c r="F450" s="945">
        <v>2</v>
      </c>
      <c r="G450" s="946">
        <v>56.7</v>
      </c>
      <c r="H450" s="946">
        <v>58.53</v>
      </c>
    </row>
    <row r="451" spans="1:9" s="26" customFormat="1">
      <c r="A451" s="947">
        <v>3</v>
      </c>
      <c r="B451" s="948">
        <v>112.1</v>
      </c>
      <c r="C451" s="948" t="s">
        <v>4030</v>
      </c>
      <c r="D451" s="947" t="s">
        <v>22</v>
      </c>
      <c r="E451" s="950">
        <v>6</v>
      </c>
      <c r="F451" s="950">
        <v>1</v>
      </c>
      <c r="G451" s="951">
        <v>33500</v>
      </c>
      <c r="H451" s="951">
        <v>35416.67</v>
      </c>
      <c r="I451" s="18"/>
    </row>
    <row r="452" spans="1:9">
      <c r="A452" s="943">
        <v>3</v>
      </c>
      <c r="B452" s="944">
        <v>114.1</v>
      </c>
      <c r="C452" s="944" t="s">
        <v>104</v>
      </c>
      <c r="D452" s="943" t="s">
        <v>22</v>
      </c>
      <c r="E452" s="945">
        <v>11</v>
      </c>
      <c r="F452" s="945">
        <v>3</v>
      </c>
      <c r="G452" s="946">
        <v>162500</v>
      </c>
      <c r="H452" s="946">
        <v>120454.55</v>
      </c>
    </row>
    <row r="453" spans="1:9" s="26" customFormat="1">
      <c r="A453" s="947">
        <v>3</v>
      </c>
      <c r="B453" s="948">
        <v>115.1</v>
      </c>
      <c r="C453" s="948" t="s">
        <v>105</v>
      </c>
      <c r="D453" s="947" t="s">
        <v>22</v>
      </c>
      <c r="E453" s="950">
        <v>3</v>
      </c>
      <c r="F453" s="950">
        <v>1</v>
      </c>
      <c r="G453" s="951">
        <v>1200000</v>
      </c>
      <c r="H453" s="951">
        <v>1233333.33</v>
      </c>
      <c r="I453" s="18"/>
    </row>
    <row r="454" spans="1:9">
      <c r="A454" s="943">
        <v>3</v>
      </c>
      <c r="B454" s="944">
        <v>120</v>
      </c>
      <c r="C454" s="944" t="s">
        <v>107</v>
      </c>
      <c r="D454" s="943" t="s">
        <v>4</v>
      </c>
      <c r="E454" s="952">
        <v>259030</v>
      </c>
      <c r="F454" s="945">
        <v>5</v>
      </c>
      <c r="G454" s="946">
        <v>42</v>
      </c>
      <c r="H454" s="946">
        <v>47.17</v>
      </c>
    </row>
    <row r="455" spans="1:9" s="26" customFormat="1">
      <c r="A455" s="947">
        <v>3</v>
      </c>
      <c r="B455" s="948">
        <v>120.1</v>
      </c>
      <c r="C455" s="948" t="s">
        <v>19</v>
      </c>
      <c r="D455" s="947" t="s">
        <v>4</v>
      </c>
      <c r="E455" s="949">
        <v>180750</v>
      </c>
      <c r="F455" s="950">
        <v>11</v>
      </c>
      <c r="G455" s="951">
        <v>60</v>
      </c>
      <c r="H455" s="951">
        <v>52.02</v>
      </c>
      <c r="I455" s="18"/>
    </row>
    <row r="456" spans="1:9">
      <c r="A456" s="943">
        <v>3</v>
      </c>
      <c r="B456" s="944">
        <v>121</v>
      </c>
      <c r="C456" s="944" t="s">
        <v>108</v>
      </c>
      <c r="D456" s="943" t="s">
        <v>4</v>
      </c>
      <c r="E456" s="952">
        <v>4955</v>
      </c>
      <c r="F456" s="945">
        <v>5</v>
      </c>
      <c r="G456" s="946">
        <v>150</v>
      </c>
      <c r="H456" s="946">
        <v>168.75</v>
      </c>
    </row>
    <row r="457" spans="1:9" s="26" customFormat="1">
      <c r="A457" s="947">
        <v>3</v>
      </c>
      <c r="B457" s="948">
        <v>123</v>
      </c>
      <c r="C457" s="948" t="s">
        <v>109</v>
      </c>
      <c r="D457" s="947" t="s">
        <v>4</v>
      </c>
      <c r="E457" s="950">
        <v>560</v>
      </c>
      <c r="F457" s="950">
        <v>1</v>
      </c>
      <c r="G457" s="951">
        <v>82.5</v>
      </c>
      <c r="H457" s="951">
        <v>70.5</v>
      </c>
      <c r="I457" s="18"/>
    </row>
    <row r="458" spans="1:9">
      <c r="A458" s="943">
        <v>3</v>
      </c>
      <c r="B458" s="944">
        <v>127</v>
      </c>
      <c r="C458" s="944" t="s">
        <v>111</v>
      </c>
      <c r="D458" s="943" t="s">
        <v>4</v>
      </c>
      <c r="E458" s="952">
        <v>2800</v>
      </c>
      <c r="F458" s="945">
        <v>1</v>
      </c>
      <c r="G458" s="946">
        <v>250</v>
      </c>
      <c r="H458" s="946">
        <v>273.29000000000002</v>
      </c>
    </row>
    <row r="459" spans="1:9" s="26" customFormat="1">
      <c r="A459" s="947">
        <v>3</v>
      </c>
      <c r="B459" s="948">
        <v>127.1</v>
      </c>
      <c r="C459" s="948" t="s">
        <v>112</v>
      </c>
      <c r="D459" s="947" t="s">
        <v>4</v>
      </c>
      <c r="E459" s="950">
        <v>700</v>
      </c>
      <c r="F459" s="950">
        <v>7</v>
      </c>
      <c r="G459" s="951">
        <v>2300</v>
      </c>
      <c r="H459" s="951">
        <v>2330.8000000000002</v>
      </c>
      <c r="I459" s="18"/>
    </row>
    <row r="460" spans="1:9">
      <c r="A460" s="943">
        <v>3</v>
      </c>
      <c r="B460" s="944">
        <v>127.4</v>
      </c>
      <c r="C460" s="944" t="s">
        <v>113</v>
      </c>
      <c r="D460" s="943" t="s">
        <v>1</v>
      </c>
      <c r="E460" s="952">
        <v>7180</v>
      </c>
      <c r="F460" s="945">
        <v>7</v>
      </c>
      <c r="G460" s="946">
        <v>1255</v>
      </c>
      <c r="H460" s="946">
        <v>1254.52</v>
      </c>
    </row>
    <row r="461" spans="1:9" s="26" customFormat="1">
      <c r="A461" s="947">
        <v>3</v>
      </c>
      <c r="B461" s="948">
        <v>127.41</v>
      </c>
      <c r="C461" s="948" t="s">
        <v>114</v>
      </c>
      <c r="D461" s="947" t="s">
        <v>4</v>
      </c>
      <c r="E461" s="949">
        <v>1295</v>
      </c>
      <c r="F461" s="950">
        <v>7</v>
      </c>
      <c r="G461" s="951">
        <v>4650</v>
      </c>
      <c r="H461" s="951">
        <v>4526.1099999999997</v>
      </c>
      <c r="I461" s="18"/>
    </row>
    <row r="462" spans="1:9">
      <c r="A462" s="943">
        <v>3</v>
      </c>
      <c r="B462" s="944">
        <v>129.19999999999999</v>
      </c>
      <c r="C462" s="944" t="s">
        <v>115</v>
      </c>
      <c r="D462" s="943" t="s">
        <v>1</v>
      </c>
      <c r="E462" s="952">
        <v>89200</v>
      </c>
      <c r="F462" s="945">
        <v>1</v>
      </c>
      <c r="G462" s="946">
        <v>10</v>
      </c>
      <c r="H462" s="946">
        <v>9.06</v>
      </c>
    </row>
    <row r="463" spans="1:9" s="26" customFormat="1">
      <c r="A463" s="947">
        <v>3</v>
      </c>
      <c r="B463" s="948">
        <v>129.6</v>
      </c>
      <c r="C463" s="948" t="s">
        <v>117</v>
      </c>
      <c r="D463" s="947" t="s">
        <v>1</v>
      </c>
      <c r="E463" s="949">
        <v>20901</v>
      </c>
      <c r="F463" s="950">
        <v>4</v>
      </c>
      <c r="G463" s="951">
        <v>35</v>
      </c>
      <c r="H463" s="951">
        <v>38.17</v>
      </c>
      <c r="I463" s="18"/>
    </row>
    <row r="464" spans="1:9">
      <c r="A464" s="943">
        <v>3</v>
      </c>
      <c r="B464" s="944">
        <v>140</v>
      </c>
      <c r="C464" s="944" t="s">
        <v>118</v>
      </c>
      <c r="D464" s="943" t="s">
        <v>4</v>
      </c>
      <c r="E464" s="952">
        <v>16089</v>
      </c>
      <c r="F464" s="945">
        <v>4</v>
      </c>
      <c r="G464" s="946">
        <v>68</v>
      </c>
      <c r="H464" s="946">
        <v>67.319999999999993</v>
      </c>
    </row>
    <row r="465" spans="1:9" s="26" customFormat="1">
      <c r="A465" s="947">
        <v>3</v>
      </c>
      <c r="B465" s="948">
        <v>140.1</v>
      </c>
      <c r="C465" s="948" t="s">
        <v>119</v>
      </c>
      <c r="D465" s="947" t="s">
        <v>4</v>
      </c>
      <c r="E465" s="949">
        <v>1650</v>
      </c>
      <c r="F465" s="950">
        <v>1</v>
      </c>
      <c r="G465" s="951">
        <v>77.5</v>
      </c>
      <c r="H465" s="951">
        <v>73.5</v>
      </c>
      <c r="I465" s="18"/>
    </row>
    <row r="466" spans="1:9">
      <c r="A466" s="943">
        <v>3</v>
      </c>
      <c r="B466" s="944">
        <v>141</v>
      </c>
      <c r="C466" s="944" t="s">
        <v>120</v>
      </c>
      <c r="D466" s="943" t="s">
        <v>4</v>
      </c>
      <c r="E466" s="952">
        <v>25870</v>
      </c>
      <c r="F466" s="945">
        <v>5</v>
      </c>
      <c r="G466" s="946">
        <v>50</v>
      </c>
      <c r="H466" s="946">
        <v>48.31</v>
      </c>
    </row>
    <row r="467" spans="1:9" s="26" customFormat="1">
      <c r="A467" s="947">
        <v>3</v>
      </c>
      <c r="B467" s="948">
        <v>141.1</v>
      </c>
      <c r="C467" s="948" t="s">
        <v>121</v>
      </c>
      <c r="D467" s="947" t="s">
        <v>4</v>
      </c>
      <c r="E467" s="949">
        <v>5045</v>
      </c>
      <c r="F467" s="950">
        <v>8</v>
      </c>
      <c r="G467" s="951">
        <v>100</v>
      </c>
      <c r="H467" s="951">
        <v>95.15</v>
      </c>
      <c r="I467" s="18"/>
    </row>
    <row r="468" spans="1:9">
      <c r="A468" s="943">
        <v>3</v>
      </c>
      <c r="B468" s="944">
        <v>142</v>
      </c>
      <c r="C468" s="944" t="s">
        <v>122</v>
      </c>
      <c r="D468" s="943" t="s">
        <v>4</v>
      </c>
      <c r="E468" s="952">
        <v>17040</v>
      </c>
      <c r="F468" s="945">
        <v>8</v>
      </c>
      <c r="G468" s="946">
        <v>30</v>
      </c>
      <c r="H468" s="946">
        <v>31.06</v>
      </c>
    </row>
    <row r="469" spans="1:9" s="26" customFormat="1">
      <c r="A469" s="947">
        <v>3</v>
      </c>
      <c r="B469" s="948">
        <v>144</v>
      </c>
      <c r="C469" s="948" t="s">
        <v>124</v>
      </c>
      <c r="D469" s="947" t="s">
        <v>4</v>
      </c>
      <c r="E469" s="949">
        <v>6665</v>
      </c>
      <c r="F469" s="950">
        <v>11</v>
      </c>
      <c r="G469" s="951">
        <v>160</v>
      </c>
      <c r="H469" s="951">
        <v>180.53</v>
      </c>
      <c r="I469" s="18"/>
    </row>
    <row r="470" spans="1:9">
      <c r="A470" s="943">
        <v>3</v>
      </c>
      <c r="B470" s="944">
        <v>145</v>
      </c>
      <c r="C470" s="944" t="s">
        <v>125</v>
      </c>
      <c r="D470" s="943" t="s">
        <v>2</v>
      </c>
      <c r="E470" s="945">
        <v>27</v>
      </c>
      <c r="F470" s="945">
        <v>4</v>
      </c>
      <c r="G470" s="946">
        <v>1000</v>
      </c>
      <c r="H470" s="946">
        <v>898.82</v>
      </c>
    </row>
    <row r="471" spans="1:9" s="26" customFormat="1">
      <c r="A471" s="947">
        <v>3</v>
      </c>
      <c r="B471" s="948">
        <v>146</v>
      </c>
      <c r="C471" s="948" t="s">
        <v>126</v>
      </c>
      <c r="D471" s="947" t="s">
        <v>2</v>
      </c>
      <c r="E471" s="950">
        <v>551</v>
      </c>
      <c r="F471" s="950">
        <v>8</v>
      </c>
      <c r="G471" s="951">
        <v>900</v>
      </c>
      <c r="H471" s="951">
        <v>812.96</v>
      </c>
      <c r="I471" s="18"/>
    </row>
    <row r="472" spans="1:9">
      <c r="A472" s="943">
        <v>3</v>
      </c>
      <c r="B472" s="944">
        <v>149.19999999999999</v>
      </c>
      <c r="C472" s="944" t="s">
        <v>1284</v>
      </c>
      <c r="D472" s="943" t="s">
        <v>22</v>
      </c>
      <c r="E472" s="945">
        <v>1</v>
      </c>
      <c r="F472" s="945">
        <v>1</v>
      </c>
      <c r="G472" s="946">
        <v>50000</v>
      </c>
      <c r="H472" s="946">
        <v>50000</v>
      </c>
    </row>
    <row r="473" spans="1:9" s="26" customFormat="1">
      <c r="A473" s="947">
        <v>3</v>
      </c>
      <c r="B473" s="948">
        <v>150</v>
      </c>
      <c r="C473" s="948" t="s">
        <v>128</v>
      </c>
      <c r="D473" s="947" t="s">
        <v>4</v>
      </c>
      <c r="E473" s="949">
        <v>2300</v>
      </c>
      <c r="F473" s="950">
        <v>7</v>
      </c>
      <c r="G473" s="951">
        <v>48</v>
      </c>
      <c r="H473" s="951">
        <v>46.16</v>
      </c>
      <c r="I473" s="18"/>
    </row>
    <row r="474" spans="1:9">
      <c r="A474" s="943">
        <v>3</v>
      </c>
      <c r="B474" s="944">
        <v>150.1</v>
      </c>
      <c r="C474" s="944" t="s">
        <v>129</v>
      </c>
      <c r="D474" s="943" t="s">
        <v>4</v>
      </c>
      <c r="E474" s="952">
        <v>13684</v>
      </c>
      <c r="F474" s="945">
        <v>2</v>
      </c>
      <c r="G474" s="946">
        <v>48</v>
      </c>
      <c r="H474" s="946">
        <v>50.31</v>
      </c>
    </row>
    <row r="475" spans="1:9" s="26" customFormat="1">
      <c r="A475" s="947">
        <v>3</v>
      </c>
      <c r="B475" s="948">
        <v>151</v>
      </c>
      <c r="C475" s="948" t="s">
        <v>5</v>
      </c>
      <c r="D475" s="947" t="s">
        <v>4</v>
      </c>
      <c r="E475" s="949">
        <v>229827</v>
      </c>
      <c r="F475" s="950">
        <v>15</v>
      </c>
      <c r="G475" s="951">
        <v>55</v>
      </c>
      <c r="H475" s="951">
        <v>55.88</v>
      </c>
      <c r="I475" s="18"/>
    </row>
    <row r="476" spans="1:9">
      <c r="A476" s="943">
        <v>3</v>
      </c>
      <c r="B476" s="944">
        <v>151.01</v>
      </c>
      <c r="C476" s="944" t="s">
        <v>130</v>
      </c>
      <c r="D476" s="943" t="s">
        <v>4</v>
      </c>
      <c r="E476" s="952">
        <v>34735</v>
      </c>
      <c r="F476" s="945">
        <v>4</v>
      </c>
      <c r="G476" s="946">
        <v>50</v>
      </c>
      <c r="H476" s="946">
        <v>50.47</v>
      </c>
    </row>
    <row r="477" spans="1:9" s="26" customFormat="1">
      <c r="A477" s="947">
        <v>3</v>
      </c>
      <c r="B477" s="948">
        <v>151.1</v>
      </c>
      <c r="C477" s="948" t="s">
        <v>131</v>
      </c>
      <c r="D477" s="947" t="s">
        <v>4</v>
      </c>
      <c r="E477" s="949">
        <v>6280</v>
      </c>
      <c r="F477" s="950">
        <v>5</v>
      </c>
      <c r="G477" s="951">
        <v>70</v>
      </c>
      <c r="H477" s="951">
        <v>70.81</v>
      </c>
      <c r="I477" s="18"/>
    </row>
    <row r="478" spans="1:9">
      <c r="A478" s="943">
        <v>3</v>
      </c>
      <c r="B478" s="944">
        <v>151.19999999999999</v>
      </c>
      <c r="C478" s="944" t="s">
        <v>52</v>
      </c>
      <c r="D478" s="943" t="s">
        <v>4</v>
      </c>
      <c r="E478" s="952">
        <v>18420</v>
      </c>
      <c r="F478" s="945">
        <v>5</v>
      </c>
      <c r="G478" s="946">
        <v>60</v>
      </c>
      <c r="H478" s="946">
        <v>59.91</v>
      </c>
    </row>
    <row r="479" spans="1:9" s="26" customFormat="1">
      <c r="A479" s="947">
        <v>3</v>
      </c>
      <c r="B479" s="948">
        <v>152</v>
      </c>
      <c r="C479" s="948" t="s">
        <v>132</v>
      </c>
      <c r="D479" s="947" t="s">
        <v>4</v>
      </c>
      <c r="E479" s="950">
        <v>90</v>
      </c>
      <c r="F479" s="950">
        <v>1</v>
      </c>
      <c r="G479" s="951">
        <v>100</v>
      </c>
      <c r="H479" s="951">
        <v>102.44</v>
      </c>
      <c r="I479" s="18"/>
    </row>
    <row r="480" spans="1:9">
      <c r="A480" s="943">
        <v>3</v>
      </c>
      <c r="B480" s="944">
        <v>153</v>
      </c>
      <c r="C480" s="944" t="s">
        <v>134</v>
      </c>
      <c r="D480" s="943" t="s">
        <v>4</v>
      </c>
      <c r="E480" s="945">
        <v>600</v>
      </c>
      <c r="F480" s="945">
        <v>3</v>
      </c>
      <c r="G480" s="946">
        <v>175</v>
      </c>
      <c r="H480" s="946">
        <v>192.5</v>
      </c>
    </row>
    <row r="481" spans="1:9" s="26" customFormat="1">
      <c r="A481" s="947">
        <v>3</v>
      </c>
      <c r="B481" s="948">
        <v>153.1</v>
      </c>
      <c r="C481" s="948" t="s">
        <v>135</v>
      </c>
      <c r="D481" s="947" t="s">
        <v>4</v>
      </c>
      <c r="E481" s="950">
        <v>23</v>
      </c>
      <c r="F481" s="950">
        <v>2</v>
      </c>
      <c r="G481" s="951">
        <v>500</v>
      </c>
      <c r="H481" s="951">
        <v>439.44</v>
      </c>
      <c r="I481" s="18"/>
    </row>
    <row r="482" spans="1:9">
      <c r="A482" s="943">
        <v>3</v>
      </c>
      <c r="B482" s="944">
        <v>156</v>
      </c>
      <c r="C482" s="944" t="s">
        <v>26</v>
      </c>
      <c r="D482" s="943" t="s">
        <v>7</v>
      </c>
      <c r="E482" s="952">
        <v>20531</v>
      </c>
      <c r="F482" s="945">
        <v>9</v>
      </c>
      <c r="G482" s="946">
        <v>60</v>
      </c>
      <c r="H482" s="946">
        <v>57.73</v>
      </c>
    </row>
    <row r="483" spans="1:9" s="26" customFormat="1">
      <c r="A483" s="947">
        <v>3</v>
      </c>
      <c r="B483" s="948">
        <v>156.1</v>
      </c>
      <c r="C483" s="948" t="s">
        <v>137</v>
      </c>
      <c r="D483" s="947" t="s">
        <v>7</v>
      </c>
      <c r="E483" s="949">
        <v>8080</v>
      </c>
      <c r="F483" s="950">
        <v>3</v>
      </c>
      <c r="G483" s="951">
        <v>60</v>
      </c>
      <c r="H483" s="951">
        <v>64.650000000000006</v>
      </c>
      <c r="I483" s="18"/>
    </row>
    <row r="484" spans="1:9">
      <c r="A484" s="943">
        <v>3</v>
      </c>
      <c r="B484" s="944">
        <v>156.5</v>
      </c>
      <c r="C484" s="944" t="s">
        <v>138</v>
      </c>
      <c r="D484" s="943" t="s">
        <v>4</v>
      </c>
      <c r="E484" s="945">
        <v>270</v>
      </c>
      <c r="F484" s="945">
        <v>1</v>
      </c>
      <c r="G484" s="946">
        <v>100</v>
      </c>
      <c r="H484" s="946">
        <v>94.83</v>
      </c>
    </row>
    <row r="485" spans="1:9" s="26" customFormat="1">
      <c r="A485" s="947">
        <v>3</v>
      </c>
      <c r="B485" s="948">
        <v>170</v>
      </c>
      <c r="C485" s="948" t="s">
        <v>1287</v>
      </c>
      <c r="D485" s="947" t="s">
        <v>1</v>
      </c>
      <c r="E485" s="949">
        <v>748604</v>
      </c>
      <c r="F485" s="950">
        <v>11</v>
      </c>
      <c r="G485" s="951">
        <v>9</v>
      </c>
      <c r="H485" s="951">
        <v>8.39</v>
      </c>
      <c r="I485" s="18"/>
    </row>
    <row r="486" spans="1:9">
      <c r="A486" s="943">
        <v>3</v>
      </c>
      <c r="B486" s="944">
        <v>180.01</v>
      </c>
      <c r="C486" s="944" t="s">
        <v>1288</v>
      </c>
      <c r="D486" s="943" t="s">
        <v>22</v>
      </c>
      <c r="E486" s="945">
        <v>41</v>
      </c>
      <c r="F486" s="945">
        <v>9</v>
      </c>
      <c r="G486" s="946">
        <v>10000</v>
      </c>
      <c r="H486" s="946">
        <v>9060.99</v>
      </c>
    </row>
    <row r="487" spans="1:9" s="26" customFormat="1">
      <c r="A487" s="947">
        <v>3</v>
      </c>
      <c r="B487" s="948">
        <v>180.02</v>
      </c>
      <c r="C487" s="948" t="s">
        <v>1289</v>
      </c>
      <c r="D487" s="947" t="s">
        <v>24</v>
      </c>
      <c r="E487" s="949">
        <v>1282</v>
      </c>
      <c r="F487" s="950">
        <v>8</v>
      </c>
      <c r="G487" s="951">
        <v>10</v>
      </c>
      <c r="H487" s="951">
        <v>12.9</v>
      </c>
      <c r="I487" s="18"/>
    </row>
    <row r="488" spans="1:9">
      <c r="A488" s="943">
        <v>3</v>
      </c>
      <c r="B488" s="944">
        <v>180.03</v>
      </c>
      <c r="C488" s="944" t="s">
        <v>1290</v>
      </c>
      <c r="D488" s="943" t="s">
        <v>24</v>
      </c>
      <c r="E488" s="952">
        <v>2576</v>
      </c>
      <c r="F488" s="945">
        <v>9</v>
      </c>
      <c r="G488" s="946">
        <v>130</v>
      </c>
      <c r="H488" s="946">
        <v>133.18</v>
      </c>
    </row>
    <row r="489" spans="1:9" s="26" customFormat="1">
      <c r="A489" s="947">
        <v>3</v>
      </c>
      <c r="B489" s="948">
        <v>181.11</v>
      </c>
      <c r="C489" s="948" t="s">
        <v>58</v>
      </c>
      <c r="D489" s="947" t="s">
        <v>7</v>
      </c>
      <c r="E489" s="949">
        <v>13392</v>
      </c>
      <c r="F489" s="950">
        <v>9</v>
      </c>
      <c r="G489" s="951">
        <v>62.25</v>
      </c>
      <c r="H489" s="951">
        <v>60.92</v>
      </c>
      <c r="I489" s="18"/>
    </row>
    <row r="490" spans="1:9">
      <c r="A490" s="943">
        <v>3</v>
      </c>
      <c r="B490" s="944">
        <v>181.12</v>
      </c>
      <c r="C490" s="944" t="s">
        <v>141</v>
      </c>
      <c r="D490" s="943" t="s">
        <v>7</v>
      </c>
      <c r="E490" s="952">
        <v>1464</v>
      </c>
      <c r="F490" s="945">
        <v>9</v>
      </c>
      <c r="G490" s="946">
        <v>149</v>
      </c>
      <c r="H490" s="946">
        <v>142.35</v>
      </c>
    </row>
    <row r="491" spans="1:9" s="26" customFormat="1">
      <c r="A491" s="947">
        <v>3</v>
      </c>
      <c r="B491" s="948">
        <v>181.13</v>
      </c>
      <c r="C491" s="948" t="s">
        <v>142</v>
      </c>
      <c r="D491" s="947" t="s">
        <v>7</v>
      </c>
      <c r="E491" s="949">
        <v>1128</v>
      </c>
      <c r="F491" s="950">
        <v>9</v>
      </c>
      <c r="G491" s="951">
        <v>222.5</v>
      </c>
      <c r="H491" s="951">
        <v>227.3</v>
      </c>
      <c r="I491" s="18"/>
    </row>
    <row r="492" spans="1:9">
      <c r="A492" s="943">
        <v>3</v>
      </c>
      <c r="B492" s="944">
        <v>181.14</v>
      </c>
      <c r="C492" s="944" t="s">
        <v>59</v>
      </c>
      <c r="D492" s="943" t="s">
        <v>7</v>
      </c>
      <c r="E492" s="945">
        <v>687</v>
      </c>
      <c r="F492" s="945">
        <v>9</v>
      </c>
      <c r="G492" s="946">
        <v>572.5</v>
      </c>
      <c r="H492" s="946">
        <v>584.16</v>
      </c>
    </row>
    <row r="493" spans="1:9" s="26" customFormat="1">
      <c r="A493" s="947">
        <v>3</v>
      </c>
      <c r="B493" s="948">
        <v>182.1</v>
      </c>
      <c r="C493" s="948" t="s">
        <v>143</v>
      </c>
      <c r="D493" s="947" t="s">
        <v>22</v>
      </c>
      <c r="E493" s="950">
        <v>14</v>
      </c>
      <c r="F493" s="950">
        <v>4</v>
      </c>
      <c r="G493" s="951">
        <v>5350</v>
      </c>
      <c r="H493" s="951">
        <v>5907.14</v>
      </c>
      <c r="I493" s="18"/>
    </row>
    <row r="494" spans="1:9">
      <c r="A494" s="943">
        <v>3</v>
      </c>
      <c r="B494" s="944">
        <v>182.2</v>
      </c>
      <c r="C494" s="944" t="s">
        <v>144</v>
      </c>
      <c r="D494" s="943" t="s">
        <v>17</v>
      </c>
      <c r="E494" s="952">
        <v>1040</v>
      </c>
      <c r="F494" s="945">
        <v>3</v>
      </c>
      <c r="G494" s="946">
        <v>200</v>
      </c>
      <c r="H494" s="946">
        <v>183.89</v>
      </c>
    </row>
    <row r="495" spans="1:9" s="26" customFormat="1">
      <c r="A495" s="947">
        <v>3</v>
      </c>
      <c r="B495" s="948">
        <v>182.3</v>
      </c>
      <c r="C495" s="948" t="s">
        <v>145</v>
      </c>
      <c r="D495" s="947" t="s">
        <v>22</v>
      </c>
      <c r="E495" s="950">
        <v>4</v>
      </c>
      <c r="F495" s="950">
        <v>1</v>
      </c>
      <c r="G495" s="951">
        <v>22500</v>
      </c>
      <c r="H495" s="951">
        <v>26250</v>
      </c>
      <c r="I495" s="18"/>
    </row>
    <row r="496" spans="1:9">
      <c r="A496" s="943">
        <v>3</v>
      </c>
      <c r="B496" s="944">
        <v>183.1</v>
      </c>
      <c r="C496" s="944" t="s">
        <v>146</v>
      </c>
      <c r="D496" s="943" t="s">
        <v>20</v>
      </c>
      <c r="E496" s="952">
        <v>5000</v>
      </c>
      <c r="F496" s="945">
        <v>1</v>
      </c>
      <c r="G496" s="946">
        <v>10</v>
      </c>
      <c r="H496" s="946">
        <v>8.9</v>
      </c>
    </row>
    <row r="497" spans="1:9" s="26" customFormat="1">
      <c r="A497" s="947">
        <v>3</v>
      </c>
      <c r="B497" s="948">
        <v>183.2</v>
      </c>
      <c r="C497" s="948" t="s">
        <v>147</v>
      </c>
      <c r="D497" s="947" t="s">
        <v>100</v>
      </c>
      <c r="E497" s="949">
        <v>7000</v>
      </c>
      <c r="F497" s="950">
        <v>1</v>
      </c>
      <c r="G497" s="951">
        <v>5</v>
      </c>
      <c r="H497" s="951">
        <v>4.6100000000000003</v>
      </c>
      <c r="I497" s="18"/>
    </row>
    <row r="498" spans="1:9">
      <c r="A498" s="943">
        <v>3</v>
      </c>
      <c r="B498" s="944">
        <v>184.1</v>
      </c>
      <c r="C498" s="944" t="s">
        <v>148</v>
      </c>
      <c r="D498" s="943" t="s">
        <v>7</v>
      </c>
      <c r="E498" s="945">
        <v>355</v>
      </c>
      <c r="F498" s="945">
        <v>9</v>
      </c>
      <c r="G498" s="946">
        <v>470</v>
      </c>
      <c r="H498" s="946">
        <v>451.86</v>
      </c>
    </row>
    <row r="499" spans="1:9" s="26" customFormat="1">
      <c r="A499" s="947">
        <v>3</v>
      </c>
      <c r="B499" s="948">
        <v>201</v>
      </c>
      <c r="C499" s="948" t="s">
        <v>155</v>
      </c>
      <c r="D499" s="947" t="s">
        <v>2</v>
      </c>
      <c r="E499" s="949">
        <v>1338</v>
      </c>
      <c r="F499" s="950">
        <v>6</v>
      </c>
      <c r="G499" s="951">
        <v>5550</v>
      </c>
      <c r="H499" s="951">
        <v>5347.5</v>
      </c>
      <c r="I499" s="18"/>
    </row>
    <row r="500" spans="1:9">
      <c r="A500" s="943">
        <v>3</v>
      </c>
      <c r="B500" s="944">
        <v>201.3</v>
      </c>
      <c r="C500" s="944" t="s">
        <v>156</v>
      </c>
      <c r="D500" s="943" t="s">
        <v>2</v>
      </c>
      <c r="E500" s="945">
        <v>25</v>
      </c>
      <c r="F500" s="945">
        <v>2</v>
      </c>
      <c r="G500" s="946">
        <v>9000</v>
      </c>
      <c r="H500" s="946">
        <v>8368.75</v>
      </c>
    </row>
    <row r="501" spans="1:9" s="26" customFormat="1">
      <c r="A501" s="947">
        <v>3</v>
      </c>
      <c r="B501" s="948">
        <v>201.5</v>
      </c>
      <c r="C501" s="948" t="s">
        <v>2075</v>
      </c>
      <c r="D501" s="947" t="s">
        <v>2</v>
      </c>
      <c r="E501" s="950">
        <v>35</v>
      </c>
      <c r="F501" s="950">
        <v>1</v>
      </c>
      <c r="G501" s="951">
        <v>5975</v>
      </c>
      <c r="H501" s="951">
        <v>6235</v>
      </c>
      <c r="I501" s="18"/>
    </row>
    <row r="502" spans="1:9">
      <c r="A502" s="943">
        <v>3</v>
      </c>
      <c r="B502" s="944">
        <v>202</v>
      </c>
      <c r="C502" s="944" t="s">
        <v>157</v>
      </c>
      <c r="D502" s="943" t="s">
        <v>2</v>
      </c>
      <c r="E502" s="945">
        <v>872</v>
      </c>
      <c r="F502" s="945">
        <v>8</v>
      </c>
      <c r="G502" s="946">
        <v>6000</v>
      </c>
      <c r="H502" s="946">
        <v>5987.72</v>
      </c>
    </row>
    <row r="503" spans="1:9" s="26" customFormat="1">
      <c r="A503" s="947">
        <v>3</v>
      </c>
      <c r="B503" s="948">
        <v>202.01</v>
      </c>
      <c r="C503" s="948" t="s">
        <v>2076</v>
      </c>
      <c r="D503" s="947" t="s">
        <v>2</v>
      </c>
      <c r="E503" s="950">
        <v>5</v>
      </c>
      <c r="F503" s="950">
        <v>1</v>
      </c>
      <c r="G503" s="951">
        <v>9300</v>
      </c>
      <c r="H503" s="951">
        <v>8420</v>
      </c>
      <c r="I503" s="18"/>
    </row>
    <row r="504" spans="1:9">
      <c r="A504" s="943">
        <v>3</v>
      </c>
      <c r="B504" s="944">
        <v>202.2</v>
      </c>
      <c r="C504" s="944" t="s">
        <v>158</v>
      </c>
      <c r="D504" s="943" t="s">
        <v>2</v>
      </c>
      <c r="E504" s="945">
        <v>9</v>
      </c>
      <c r="F504" s="945">
        <v>1</v>
      </c>
      <c r="G504" s="946">
        <v>10000</v>
      </c>
      <c r="H504" s="946">
        <v>10444.44</v>
      </c>
    </row>
    <row r="505" spans="1:9" s="26" customFormat="1">
      <c r="A505" s="947">
        <v>3</v>
      </c>
      <c r="B505" s="948">
        <v>203</v>
      </c>
      <c r="C505" s="948" t="s">
        <v>159</v>
      </c>
      <c r="D505" s="947" t="s">
        <v>2</v>
      </c>
      <c r="E505" s="950">
        <v>57</v>
      </c>
      <c r="F505" s="950">
        <v>2</v>
      </c>
      <c r="G505" s="951">
        <v>12500</v>
      </c>
      <c r="H505" s="951">
        <v>12972.22</v>
      </c>
      <c r="I505" s="18"/>
    </row>
    <row r="506" spans="1:9">
      <c r="A506" s="943">
        <v>3</v>
      </c>
      <c r="B506" s="944">
        <v>204</v>
      </c>
      <c r="C506" s="944" t="s">
        <v>160</v>
      </c>
      <c r="D506" s="943" t="s">
        <v>2</v>
      </c>
      <c r="E506" s="945">
        <v>295</v>
      </c>
      <c r="F506" s="945">
        <v>6</v>
      </c>
      <c r="G506" s="946">
        <v>3000</v>
      </c>
      <c r="H506" s="946">
        <v>2919.3</v>
      </c>
    </row>
    <row r="507" spans="1:9" s="26" customFormat="1">
      <c r="A507" s="947">
        <v>3</v>
      </c>
      <c r="B507" s="948">
        <v>205</v>
      </c>
      <c r="C507" s="948" t="s">
        <v>161</v>
      </c>
      <c r="D507" s="947" t="s">
        <v>2</v>
      </c>
      <c r="E507" s="950">
        <v>10</v>
      </c>
      <c r="F507" s="950">
        <v>1</v>
      </c>
      <c r="G507" s="951">
        <v>8250</v>
      </c>
      <c r="H507" s="951">
        <v>8560</v>
      </c>
      <c r="I507" s="18"/>
    </row>
    <row r="508" spans="1:9">
      <c r="A508" s="943">
        <v>3</v>
      </c>
      <c r="B508" s="944">
        <v>209</v>
      </c>
      <c r="C508" s="944" t="s">
        <v>1296</v>
      </c>
      <c r="D508" s="943" t="s">
        <v>2</v>
      </c>
      <c r="E508" s="945">
        <v>13</v>
      </c>
      <c r="F508" s="945">
        <v>1</v>
      </c>
      <c r="G508" s="946">
        <v>5500</v>
      </c>
      <c r="H508" s="946">
        <v>5423.08</v>
      </c>
    </row>
    <row r="509" spans="1:9" s="26" customFormat="1">
      <c r="A509" s="947">
        <v>3</v>
      </c>
      <c r="B509" s="948">
        <v>209.1</v>
      </c>
      <c r="C509" s="948" t="s">
        <v>166</v>
      </c>
      <c r="D509" s="947" t="s">
        <v>2</v>
      </c>
      <c r="E509" s="950">
        <v>18</v>
      </c>
      <c r="F509" s="950">
        <v>2</v>
      </c>
      <c r="G509" s="951">
        <v>5000</v>
      </c>
      <c r="H509" s="951">
        <v>4572.7299999999996</v>
      </c>
      <c r="I509" s="18"/>
    </row>
    <row r="510" spans="1:9">
      <c r="A510" s="943">
        <v>3</v>
      </c>
      <c r="B510" s="944">
        <v>209.2</v>
      </c>
      <c r="C510" s="944" t="s">
        <v>167</v>
      </c>
      <c r="D510" s="943" t="s">
        <v>2</v>
      </c>
      <c r="E510" s="945">
        <v>3</v>
      </c>
      <c r="F510" s="945">
        <v>1</v>
      </c>
      <c r="G510" s="946">
        <v>13000</v>
      </c>
      <c r="H510" s="946">
        <v>12283.33</v>
      </c>
    </row>
    <row r="511" spans="1:9" s="26" customFormat="1">
      <c r="A511" s="947">
        <v>3</v>
      </c>
      <c r="B511" s="948">
        <v>209.3</v>
      </c>
      <c r="C511" s="948" t="s">
        <v>168</v>
      </c>
      <c r="D511" s="947" t="s">
        <v>2</v>
      </c>
      <c r="E511" s="950">
        <v>21</v>
      </c>
      <c r="F511" s="950">
        <v>1</v>
      </c>
      <c r="G511" s="951">
        <v>1500</v>
      </c>
      <c r="H511" s="951">
        <v>1385.71</v>
      </c>
      <c r="I511" s="18"/>
    </row>
    <row r="512" spans="1:9">
      <c r="A512" s="943">
        <v>3</v>
      </c>
      <c r="B512" s="944">
        <v>210.02</v>
      </c>
      <c r="C512" s="944" t="s">
        <v>170</v>
      </c>
      <c r="D512" s="943" t="s">
        <v>2</v>
      </c>
      <c r="E512" s="945">
        <v>3</v>
      </c>
      <c r="F512" s="945">
        <v>1</v>
      </c>
      <c r="G512" s="946">
        <v>2250</v>
      </c>
      <c r="H512" s="946">
        <v>2250</v>
      </c>
    </row>
    <row r="513" spans="1:9" s="26" customFormat="1">
      <c r="A513" s="947">
        <v>3</v>
      </c>
      <c r="B513" s="948">
        <v>220</v>
      </c>
      <c r="C513" s="948" t="s">
        <v>172</v>
      </c>
      <c r="D513" s="947" t="s">
        <v>2</v>
      </c>
      <c r="E513" s="949">
        <v>6208</v>
      </c>
      <c r="F513" s="950">
        <v>11</v>
      </c>
      <c r="G513" s="951">
        <v>500</v>
      </c>
      <c r="H513" s="951">
        <v>493.73</v>
      </c>
      <c r="I513" s="18"/>
    </row>
    <row r="514" spans="1:9">
      <c r="A514" s="943">
        <v>3</v>
      </c>
      <c r="B514" s="944">
        <v>220.2</v>
      </c>
      <c r="C514" s="944" t="s">
        <v>173</v>
      </c>
      <c r="D514" s="943" t="s">
        <v>17</v>
      </c>
      <c r="E514" s="952">
        <v>1603</v>
      </c>
      <c r="F514" s="945">
        <v>8</v>
      </c>
      <c r="G514" s="946">
        <v>487.5</v>
      </c>
      <c r="H514" s="946">
        <v>452.37</v>
      </c>
    </row>
    <row r="515" spans="1:9" s="26" customFormat="1">
      <c r="A515" s="947">
        <v>3</v>
      </c>
      <c r="B515" s="948">
        <v>220.3</v>
      </c>
      <c r="C515" s="948" t="s">
        <v>174</v>
      </c>
      <c r="D515" s="947" t="s">
        <v>2</v>
      </c>
      <c r="E515" s="950">
        <v>126</v>
      </c>
      <c r="F515" s="950">
        <v>5</v>
      </c>
      <c r="G515" s="951">
        <v>1000</v>
      </c>
      <c r="H515" s="951">
        <v>946.03</v>
      </c>
      <c r="I515" s="18"/>
    </row>
    <row r="516" spans="1:9">
      <c r="A516" s="943">
        <v>3</v>
      </c>
      <c r="B516" s="944">
        <v>220.5</v>
      </c>
      <c r="C516" s="944" t="s">
        <v>175</v>
      </c>
      <c r="D516" s="943" t="s">
        <v>2</v>
      </c>
      <c r="E516" s="952">
        <v>1654</v>
      </c>
      <c r="F516" s="945">
        <v>7</v>
      </c>
      <c r="G516" s="946">
        <v>875</v>
      </c>
      <c r="H516" s="946">
        <v>818.12</v>
      </c>
    </row>
    <row r="517" spans="1:9" s="26" customFormat="1">
      <c r="A517" s="947">
        <v>3</v>
      </c>
      <c r="B517" s="948">
        <v>220.6</v>
      </c>
      <c r="C517" s="948" t="s">
        <v>176</v>
      </c>
      <c r="D517" s="947" t="s">
        <v>17</v>
      </c>
      <c r="E517" s="950">
        <v>44</v>
      </c>
      <c r="F517" s="950">
        <v>1</v>
      </c>
      <c r="G517" s="951">
        <v>200</v>
      </c>
      <c r="H517" s="951">
        <v>150</v>
      </c>
      <c r="I517" s="18"/>
    </row>
    <row r="518" spans="1:9">
      <c r="A518" s="943">
        <v>3</v>
      </c>
      <c r="B518" s="944">
        <v>220.7</v>
      </c>
      <c r="C518" s="944" t="s">
        <v>177</v>
      </c>
      <c r="D518" s="943" t="s">
        <v>2</v>
      </c>
      <c r="E518" s="945">
        <v>641</v>
      </c>
      <c r="F518" s="945">
        <v>6</v>
      </c>
      <c r="G518" s="946">
        <v>500</v>
      </c>
      <c r="H518" s="946">
        <v>490.51</v>
      </c>
    </row>
    <row r="519" spans="1:9" s="26" customFormat="1">
      <c r="A519" s="947">
        <v>3</v>
      </c>
      <c r="B519" s="948">
        <v>220.8</v>
      </c>
      <c r="C519" s="948" t="s">
        <v>178</v>
      </c>
      <c r="D519" s="947" t="s">
        <v>2</v>
      </c>
      <c r="E519" s="950">
        <v>284</v>
      </c>
      <c r="F519" s="950">
        <v>6</v>
      </c>
      <c r="G519" s="951">
        <v>1000</v>
      </c>
      <c r="H519" s="951">
        <v>963.43</v>
      </c>
      <c r="I519" s="18"/>
    </row>
    <row r="520" spans="1:9">
      <c r="A520" s="943">
        <v>3</v>
      </c>
      <c r="B520" s="944">
        <v>221</v>
      </c>
      <c r="C520" s="944" t="s">
        <v>180</v>
      </c>
      <c r="D520" s="943" t="s">
        <v>2</v>
      </c>
      <c r="E520" s="952">
        <v>1259</v>
      </c>
      <c r="F520" s="945">
        <v>8</v>
      </c>
      <c r="G520" s="946">
        <v>1000</v>
      </c>
      <c r="H520" s="946">
        <v>1014.8</v>
      </c>
    </row>
    <row r="521" spans="1:9" s="26" customFormat="1">
      <c r="A521" s="947">
        <v>3</v>
      </c>
      <c r="B521" s="948">
        <v>221.1</v>
      </c>
      <c r="C521" s="948" t="s">
        <v>1300</v>
      </c>
      <c r="D521" s="947" t="s">
        <v>2</v>
      </c>
      <c r="E521" s="950">
        <v>404</v>
      </c>
      <c r="F521" s="950">
        <v>5</v>
      </c>
      <c r="G521" s="951">
        <v>800</v>
      </c>
      <c r="H521" s="951">
        <v>755.45</v>
      </c>
      <c r="I521" s="18"/>
    </row>
    <row r="522" spans="1:9">
      <c r="A522" s="943">
        <v>3</v>
      </c>
      <c r="B522" s="944">
        <v>222</v>
      </c>
      <c r="C522" s="944" t="s">
        <v>181</v>
      </c>
      <c r="D522" s="943" t="s">
        <v>2</v>
      </c>
      <c r="E522" s="945">
        <v>304</v>
      </c>
      <c r="F522" s="945">
        <v>4</v>
      </c>
      <c r="G522" s="946">
        <v>775</v>
      </c>
      <c r="H522" s="946">
        <v>692.78</v>
      </c>
    </row>
    <row r="523" spans="1:9" s="26" customFormat="1">
      <c r="A523" s="947">
        <v>3</v>
      </c>
      <c r="B523" s="948">
        <v>222.1</v>
      </c>
      <c r="C523" s="948" t="s">
        <v>182</v>
      </c>
      <c r="D523" s="947" t="s">
        <v>2</v>
      </c>
      <c r="E523" s="949">
        <v>1740</v>
      </c>
      <c r="F523" s="950">
        <v>4</v>
      </c>
      <c r="G523" s="951">
        <v>1200</v>
      </c>
      <c r="H523" s="951">
        <v>1178.3800000000001</v>
      </c>
      <c r="I523" s="18"/>
    </row>
    <row r="524" spans="1:9">
      <c r="A524" s="943">
        <v>3</v>
      </c>
      <c r="B524" s="944">
        <v>222.2</v>
      </c>
      <c r="C524" s="944" t="s">
        <v>183</v>
      </c>
      <c r="D524" s="943" t="s">
        <v>2</v>
      </c>
      <c r="E524" s="945">
        <v>39</v>
      </c>
      <c r="F524" s="945">
        <v>4</v>
      </c>
      <c r="G524" s="946">
        <v>1100</v>
      </c>
      <c r="H524" s="946">
        <v>1132.5999999999999</v>
      </c>
    </row>
    <row r="525" spans="1:9" s="26" customFormat="1">
      <c r="A525" s="947">
        <v>3</v>
      </c>
      <c r="B525" s="948">
        <v>222.3</v>
      </c>
      <c r="C525" s="948" t="s">
        <v>29</v>
      </c>
      <c r="D525" s="947" t="s">
        <v>2</v>
      </c>
      <c r="E525" s="949">
        <v>1122</v>
      </c>
      <c r="F525" s="950">
        <v>6</v>
      </c>
      <c r="G525" s="951">
        <v>1050</v>
      </c>
      <c r="H525" s="951">
        <v>1068.1600000000001</v>
      </c>
      <c r="I525" s="18"/>
    </row>
    <row r="526" spans="1:9">
      <c r="A526" s="943">
        <v>3</v>
      </c>
      <c r="B526" s="944">
        <v>222.4</v>
      </c>
      <c r="C526" s="944" t="s">
        <v>4031</v>
      </c>
      <c r="D526" s="943" t="s">
        <v>2</v>
      </c>
      <c r="E526" s="945">
        <v>201</v>
      </c>
      <c r="F526" s="945">
        <v>1</v>
      </c>
      <c r="G526" s="946">
        <v>1500</v>
      </c>
      <c r="H526" s="946">
        <v>1658.33</v>
      </c>
    </row>
    <row r="527" spans="1:9" s="26" customFormat="1">
      <c r="A527" s="947">
        <v>3</v>
      </c>
      <c r="B527" s="948">
        <v>223.1</v>
      </c>
      <c r="C527" s="948" t="s">
        <v>184</v>
      </c>
      <c r="D527" s="947" t="s">
        <v>2</v>
      </c>
      <c r="E527" s="950">
        <v>256</v>
      </c>
      <c r="F527" s="950">
        <v>3</v>
      </c>
      <c r="G527" s="951">
        <v>150</v>
      </c>
      <c r="H527" s="951">
        <v>125</v>
      </c>
      <c r="I527" s="18"/>
    </row>
    <row r="528" spans="1:9">
      <c r="A528" s="943">
        <v>3</v>
      </c>
      <c r="B528" s="944">
        <v>223.2</v>
      </c>
      <c r="C528" s="944" t="s">
        <v>185</v>
      </c>
      <c r="D528" s="943" t="s">
        <v>2</v>
      </c>
      <c r="E528" s="945">
        <v>353</v>
      </c>
      <c r="F528" s="945">
        <v>6</v>
      </c>
      <c r="G528" s="946">
        <v>100</v>
      </c>
      <c r="H528" s="946">
        <v>82.5</v>
      </c>
    </row>
    <row r="529" spans="1:9" s="26" customFormat="1">
      <c r="A529" s="947">
        <v>3</v>
      </c>
      <c r="B529" s="948">
        <v>224.1</v>
      </c>
      <c r="C529" s="948" t="s">
        <v>186</v>
      </c>
      <c r="D529" s="947" t="s">
        <v>2</v>
      </c>
      <c r="E529" s="950">
        <v>9</v>
      </c>
      <c r="F529" s="950">
        <v>1</v>
      </c>
      <c r="G529" s="951">
        <v>500</v>
      </c>
      <c r="H529" s="951">
        <v>538.89</v>
      </c>
      <c r="I529" s="18"/>
    </row>
    <row r="530" spans="1:9">
      <c r="A530" s="943">
        <v>3</v>
      </c>
      <c r="B530" s="944">
        <v>224.12</v>
      </c>
      <c r="C530" s="944" t="s">
        <v>187</v>
      </c>
      <c r="D530" s="943" t="s">
        <v>2</v>
      </c>
      <c r="E530" s="952">
        <v>1535</v>
      </c>
      <c r="F530" s="945">
        <v>5</v>
      </c>
      <c r="G530" s="946">
        <v>537.5</v>
      </c>
      <c r="H530" s="946">
        <v>563.66</v>
      </c>
    </row>
    <row r="531" spans="1:9" s="26" customFormat="1">
      <c r="A531" s="947">
        <v>3</v>
      </c>
      <c r="B531" s="948">
        <v>227.3</v>
      </c>
      <c r="C531" s="948" t="s">
        <v>189</v>
      </c>
      <c r="D531" s="947" t="s">
        <v>4</v>
      </c>
      <c r="E531" s="949">
        <v>16403</v>
      </c>
      <c r="F531" s="950">
        <v>13</v>
      </c>
      <c r="G531" s="951">
        <v>310</v>
      </c>
      <c r="H531" s="951">
        <v>318.55</v>
      </c>
      <c r="I531" s="18"/>
    </row>
    <row r="532" spans="1:9">
      <c r="A532" s="943">
        <v>3</v>
      </c>
      <c r="B532" s="944">
        <v>227.31</v>
      </c>
      <c r="C532" s="944" t="s">
        <v>190</v>
      </c>
      <c r="D532" s="943" t="s">
        <v>17</v>
      </c>
      <c r="E532" s="952">
        <v>113383</v>
      </c>
      <c r="F532" s="945">
        <v>9</v>
      </c>
      <c r="G532" s="946">
        <v>12</v>
      </c>
      <c r="H532" s="946">
        <v>11.32</v>
      </c>
    </row>
    <row r="533" spans="1:9" s="26" customFormat="1">
      <c r="A533" s="947">
        <v>3</v>
      </c>
      <c r="B533" s="948">
        <v>227.4</v>
      </c>
      <c r="C533" s="948" t="s">
        <v>191</v>
      </c>
      <c r="D533" s="947" t="s">
        <v>3</v>
      </c>
      <c r="E533" s="950">
        <v>79</v>
      </c>
      <c r="F533" s="950">
        <v>3</v>
      </c>
      <c r="G533" s="951">
        <v>185</v>
      </c>
      <c r="H533" s="951">
        <v>146.21</v>
      </c>
      <c r="I533" s="18"/>
    </row>
    <row r="534" spans="1:9">
      <c r="A534" s="943">
        <v>3</v>
      </c>
      <c r="B534" s="944">
        <v>234.12</v>
      </c>
      <c r="C534" s="944" t="s">
        <v>195</v>
      </c>
      <c r="D534" s="943" t="s">
        <v>17</v>
      </c>
      <c r="E534" s="952">
        <v>44260</v>
      </c>
      <c r="F534" s="945">
        <v>2</v>
      </c>
      <c r="G534" s="946">
        <v>125</v>
      </c>
      <c r="H534" s="946">
        <v>120.26</v>
      </c>
    </row>
    <row r="535" spans="1:9" s="26" customFormat="1">
      <c r="A535" s="947">
        <v>3</v>
      </c>
      <c r="B535" s="948">
        <v>234.15</v>
      </c>
      <c r="C535" s="948" t="s">
        <v>196</v>
      </c>
      <c r="D535" s="947" t="s">
        <v>17</v>
      </c>
      <c r="E535" s="949">
        <v>9040</v>
      </c>
      <c r="F535" s="950">
        <v>1</v>
      </c>
      <c r="G535" s="951">
        <v>100</v>
      </c>
      <c r="H535" s="951">
        <v>108.25</v>
      </c>
      <c r="I535" s="18"/>
    </row>
    <row r="536" spans="1:9">
      <c r="A536" s="943">
        <v>3</v>
      </c>
      <c r="B536" s="944">
        <v>234.18</v>
      </c>
      <c r="C536" s="944" t="s">
        <v>197</v>
      </c>
      <c r="D536" s="943" t="s">
        <v>17</v>
      </c>
      <c r="E536" s="952">
        <v>2520</v>
      </c>
      <c r="F536" s="945">
        <v>1</v>
      </c>
      <c r="G536" s="946">
        <v>115</v>
      </c>
      <c r="H536" s="946">
        <v>115.29</v>
      </c>
    </row>
    <row r="537" spans="1:9" s="26" customFormat="1">
      <c r="A537" s="947">
        <v>3</v>
      </c>
      <c r="B537" s="948">
        <v>234.24</v>
      </c>
      <c r="C537" s="948" t="s">
        <v>198</v>
      </c>
      <c r="D537" s="947" t="s">
        <v>17</v>
      </c>
      <c r="E537" s="949">
        <v>5360</v>
      </c>
      <c r="F537" s="950">
        <v>1</v>
      </c>
      <c r="G537" s="951">
        <v>150</v>
      </c>
      <c r="H537" s="951">
        <v>151.25</v>
      </c>
      <c r="I537" s="18"/>
    </row>
    <row r="538" spans="1:9">
      <c r="A538" s="943">
        <v>3</v>
      </c>
      <c r="B538" s="944">
        <v>235.12</v>
      </c>
      <c r="C538" s="944" t="s">
        <v>201</v>
      </c>
      <c r="D538" s="943" t="s">
        <v>2</v>
      </c>
      <c r="E538" s="945">
        <v>14</v>
      </c>
      <c r="F538" s="945">
        <v>1</v>
      </c>
      <c r="G538" s="946">
        <v>1350</v>
      </c>
      <c r="H538" s="946">
        <v>1407.14</v>
      </c>
    </row>
    <row r="539" spans="1:9" s="26" customFormat="1">
      <c r="A539" s="947">
        <v>3</v>
      </c>
      <c r="B539" s="948">
        <v>235.15</v>
      </c>
      <c r="C539" s="948" t="s">
        <v>202</v>
      </c>
      <c r="D539" s="947" t="s">
        <v>2</v>
      </c>
      <c r="E539" s="950">
        <v>28</v>
      </c>
      <c r="F539" s="950">
        <v>1</v>
      </c>
      <c r="G539" s="951">
        <v>1650</v>
      </c>
      <c r="H539" s="951">
        <v>1535.71</v>
      </c>
      <c r="I539" s="18"/>
    </row>
    <row r="540" spans="1:9">
      <c r="A540" s="943">
        <v>3</v>
      </c>
      <c r="B540" s="944">
        <v>235.18</v>
      </c>
      <c r="C540" s="944" t="s">
        <v>203</v>
      </c>
      <c r="D540" s="943" t="s">
        <v>2</v>
      </c>
      <c r="E540" s="945">
        <v>16</v>
      </c>
      <c r="F540" s="945">
        <v>1</v>
      </c>
      <c r="G540" s="946">
        <v>1800</v>
      </c>
      <c r="H540" s="946">
        <v>1762.5</v>
      </c>
    </row>
    <row r="541" spans="1:9" s="26" customFormat="1">
      <c r="A541" s="947">
        <v>3</v>
      </c>
      <c r="B541" s="948">
        <v>235.24</v>
      </c>
      <c r="C541" s="948" t="s">
        <v>204</v>
      </c>
      <c r="D541" s="947" t="s">
        <v>2</v>
      </c>
      <c r="E541" s="950">
        <v>9</v>
      </c>
      <c r="F541" s="950">
        <v>1</v>
      </c>
      <c r="G541" s="951">
        <v>2000</v>
      </c>
      <c r="H541" s="951">
        <v>1933.33</v>
      </c>
      <c r="I541" s="18"/>
    </row>
    <row r="542" spans="1:9">
      <c r="A542" s="943">
        <v>3</v>
      </c>
      <c r="B542" s="944">
        <v>238.1</v>
      </c>
      <c r="C542" s="944" t="s">
        <v>207</v>
      </c>
      <c r="D542" s="943" t="s">
        <v>17</v>
      </c>
      <c r="E542" s="952">
        <v>2400</v>
      </c>
      <c r="F542" s="945">
        <v>4</v>
      </c>
      <c r="G542" s="946">
        <v>195</v>
      </c>
      <c r="H542" s="946">
        <v>187.46</v>
      </c>
    </row>
    <row r="543" spans="1:9" s="26" customFormat="1">
      <c r="A543" s="947">
        <v>3</v>
      </c>
      <c r="B543" s="948">
        <v>238.12</v>
      </c>
      <c r="C543" s="948" t="s">
        <v>208</v>
      </c>
      <c r="D543" s="947" t="s">
        <v>17</v>
      </c>
      <c r="E543" s="949">
        <v>2200</v>
      </c>
      <c r="F543" s="950">
        <v>2</v>
      </c>
      <c r="G543" s="951">
        <v>210</v>
      </c>
      <c r="H543" s="951">
        <v>226.82</v>
      </c>
      <c r="I543" s="18"/>
    </row>
    <row r="544" spans="1:9">
      <c r="A544" s="943">
        <v>3</v>
      </c>
      <c r="B544" s="944">
        <v>238.18</v>
      </c>
      <c r="C544" s="944" t="s">
        <v>2139</v>
      </c>
      <c r="D544" s="943" t="s">
        <v>17</v>
      </c>
      <c r="E544" s="945">
        <v>800</v>
      </c>
      <c r="F544" s="945">
        <v>1</v>
      </c>
      <c r="G544" s="946">
        <v>235</v>
      </c>
      <c r="H544" s="946">
        <v>241.5</v>
      </c>
    </row>
    <row r="545" spans="1:9" s="26" customFormat="1">
      <c r="A545" s="947">
        <v>3</v>
      </c>
      <c r="B545" s="948">
        <v>241.12</v>
      </c>
      <c r="C545" s="948" t="s">
        <v>3996</v>
      </c>
      <c r="D545" s="947" t="s">
        <v>17</v>
      </c>
      <c r="E545" s="949">
        <v>22825</v>
      </c>
      <c r="F545" s="950">
        <v>5</v>
      </c>
      <c r="G545" s="951">
        <v>130</v>
      </c>
      <c r="H545" s="951">
        <v>127.03</v>
      </c>
      <c r="I545" s="18"/>
    </row>
    <row r="546" spans="1:9">
      <c r="A546" s="943">
        <v>3</v>
      </c>
      <c r="B546" s="944">
        <v>241.15</v>
      </c>
      <c r="C546" s="944" t="s">
        <v>3997</v>
      </c>
      <c r="D546" s="943" t="s">
        <v>17</v>
      </c>
      <c r="E546" s="952">
        <v>3000</v>
      </c>
      <c r="F546" s="945">
        <v>3</v>
      </c>
      <c r="G546" s="946">
        <v>150</v>
      </c>
      <c r="H546" s="946">
        <v>151.79</v>
      </c>
    </row>
    <row r="547" spans="1:9" s="26" customFormat="1">
      <c r="A547" s="947">
        <v>3</v>
      </c>
      <c r="B547" s="948">
        <v>241.18</v>
      </c>
      <c r="C547" s="948" t="s">
        <v>3998</v>
      </c>
      <c r="D547" s="947" t="s">
        <v>17</v>
      </c>
      <c r="E547" s="950">
        <v>875</v>
      </c>
      <c r="F547" s="950">
        <v>2</v>
      </c>
      <c r="G547" s="951">
        <v>180</v>
      </c>
      <c r="H547" s="951">
        <v>166.54</v>
      </c>
      <c r="I547" s="18"/>
    </row>
    <row r="548" spans="1:9">
      <c r="A548" s="943">
        <v>3</v>
      </c>
      <c r="B548" s="944">
        <v>241.24</v>
      </c>
      <c r="C548" s="944" t="s">
        <v>3999</v>
      </c>
      <c r="D548" s="943" t="s">
        <v>17</v>
      </c>
      <c r="E548" s="945">
        <v>60</v>
      </c>
      <c r="F548" s="945">
        <v>1</v>
      </c>
      <c r="G548" s="946">
        <v>310</v>
      </c>
      <c r="H548" s="946">
        <v>313</v>
      </c>
    </row>
    <row r="549" spans="1:9" s="26" customFormat="1">
      <c r="A549" s="947">
        <v>3</v>
      </c>
      <c r="B549" s="948">
        <v>241.36</v>
      </c>
      <c r="C549" s="948" t="s">
        <v>4000</v>
      </c>
      <c r="D549" s="947" t="s">
        <v>17</v>
      </c>
      <c r="E549" s="950">
        <v>50</v>
      </c>
      <c r="F549" s="950">
        <v>1</v>
      </c>
      <c r="G549" s="951">
        <v>625</v>
      </c>
      <c r="H549" s="951">
        <v>610</v>
      </c>
      <c r="I549" s="18"/>
    </row>
    <row r="550" spans="1:9">
      <c r="A550" s="943">
        <v>3</v>
      </c>
      <c r="B550" s="944">
        <v>242.12</v>
      </c>
      <c r="C550" s="944" t="s">
        <v>219</v>
      </c>
      <c r="D550" s="943" t="s">
        <v>2</v>
      </c>
      <c r="E550" s="945">
        <v>51</v>
      </c>
      <c r="F550" s="945">
        <v>5</v>
      </c>
      <c r="G550" s="946">
        <v>1800</v>
      </c>
      <c r="H550" s="946">
        <v>1680.67</v>
      </c>
    </row>
    <row r="551" spans="1:9" s="26" customFormat="1">
      <c r="A551" s="947">
        <v>3</v>
      </c>
      <c r="B551" s="948">
        <v>242.15</v>
      </c>
      <c r="C551" s="948" t="s">
        <v>220</v>
      </c>
      <c r="D551" s="947" t="s">
        <v>2</v>
      </c>
      <c r="E551" s="950">
        <v>9</v>
      </c>
      <c r="F551" s="950">
        <v>1</v>
      </c>
      <c r="G551" s="951">
        <v>3000</v>
      </c>
      <c r="H551" s="951">
        <v>2716.67</v>
      </c>
      <c r="I551" s="18"/>
    </row>
    <row r="552" spans="1:9">
      <c r="A552" s="943">
        <v>3</v>
      </c>
      <c r="B552" s="944">
        <v>242.18</v>
      </c>
      <c r="C552" s="944" t="s">
        <v>221</v>
      </c>
      <c r="D552" s="943" t="s">
        <v>2</v>
      </c>
      <c r="E552" s="945">
        <v>6</v>
      </c>
      <c r="F552" s="945">
        <v>1</v>
      </c>
      <c r="G552" s="946">
        <v>2000</v>
      </c>
      <c r="H552" s="946">
        <v>1883.33</v>
      </c>
    </row>
    <row r="553" spans="1:9" s="26" customFormat="1">
      <c r="A553" s="947">
        <v>3</v>
      </c>
      <c r="B553" s="948">
        <v>242.24</v>
      </c>
      <c r="C553" s="948" t="s">
        <v>222</v>
      </c>
      <c r="D553" s="947" t="s">
        <v>2</v>
      </c>
      <c r="E553" s="950">
        <v>12</v>
      </c>
      <c r="F553" s="950">
        <v>1</v>
      </c>
      <c r="G553" s="951">
        <v>2250</v>
      </c>
      <c r="H553" s="951">
        <v>1933.33</v>
      </c>
      <c r="I553" s="18"/>
    </row>
    <row r="554" spans="1:9">
      <c r="A554" s="943">
        <v>3</v>
      </c>
      <c r="B554" s="944">
        <v>244.12</v>
      </c>
      <c r="C554" s="944" t="s">
        <v>229</v>
      </c>
      <c r="D554" s="943" t="s">
        <v>17</v>
      </c>
      <c r="E554" s="952">
        <v>5210</v>
      </c>
      <c r="F554" s="945">
        <v>2</v>
      </c>
      <c r="G554" s="946">
        <v>117.5</v>
      </c>
      <c r="H554" s="946">
        <v>112.27</v>
      </c>
    </row>
    <row r="555" spans="1:9" s="26" customFormat="1">
      <c r="A555" s="947">
        <v>3</v>
      </c>
      <c r="B555" s="948">
        <v>244.15</v>
      </c>
      <c r="C555" s="948" t="s">
        <v>230</v>
      </c>
      <c r="D555" s="947" t="s">
        <v>17</v>
      </c>
      <c r="E555" s="950">
        <v>60</v>
      </c>
      <c r="F555" s="950">
        <v>1</v>
      </c>
      <c r="G555" s="951">
        <v>125</v>
      </c>
      <c r="H555" s="951">
        <v>116.67</v>
      </c>
      <c r="I555" s="18"/>
    </row>
    <row r="556" spans="1:9">
      <c r="A556" s="943">
        <v>3</v>
      </c>
      <c r="B556" s="944">
        <v>244.18</v>
      </c>
      <c r="C556" s="944" t="s">
        <v>231</v>
      </c>
      <c r="D556" s="943" t="s">
        <v>17</v>
      </c>
      <c r="E556" s="952">
        <v>4025</v>
      </c>
      <c r="F556" s="945">
        <v>1</v>
      </c>
      <c r="G556" s="946">
        <v>115</v>
      </c>
      <c r="H556" s="946">
        <v>119.29</v>
      </c>
    </row>
    <row r="557" spans="1:9" s="26" customFormat="1">
      <c r="A557" s="947">
        <v>3</v>
      </c>
      <c r="B557" s="948">
        <v>244.24</v>
      </c>
      <c r="C557" s="948" t="s">
        <v>232</v>
      </c>
      <c r="D557" s="947" t="s">
        <v>17</v>
      </c>
      <c r="E557" s="950">
        <v>600</v>
      </c>
      <c r="F557" s="950">
        <v>1</v>
      </c>
      <c r="G557" s="951">
        <v>165</v>
      </c>
      <c r="H557" s="951">
        <v>153.33000000000001</v>
      </c>
      <c r="I557" s="18"/>
    </row>
    <row r="558" spans="1:9">
      <c r="A558" s="943">
        <v>3</v>
      </c>
      <c r="B558" s="944">
        <v>250.06</v>
      </c>
      <c r="C558" s="944" t="s">
        <v>235</v>
      </c>
      <c r="D558" s="943" t="s">
        <v>17</v>
      </c>
      <c r="E558" s="945">
        <v>350</v>
      </c>
      <c r="F558" s="945">
        <v>1</v>
      </c>
      <c r="G558" s="946">
        <v>175</v>
      </c>
      <c r="H558" s="946">
        <v>149.29</v>
      </c>
    </row>
    <row r="559" spans="1:9" s="26" customFormat="1">
      <c r="A559" s="947">
        <v>3</v>
      </c>
      <c r="B559" s="948">
        <v>250.08</v>
      </c>
      <c r="C559" s="948" t="s">
        <v>236</v>
      </c>
      <c r="D559" s="947" t="s">
        <v>17</v>
      </c>
      <c r="E559" s="949">
        <v>1200</v>
      </c>
      <c r="F559" s="950">
        <v>1</v>
      </c>
      <c r="G559" s="951">
        <v>165</v>
      </c>
      <c r="H559" s="951">
        <v>170</v>
      </c>
      <c r="I559" s="18"/>
    </row>
    <row r="560" spans="1:9">
      <c r="A560" s="943">
        <v>3</v>
      </c>
      <c r="B560" s="944">
        <v>250.12</v>
      </c>
      <c r="C560" s="944" t="s">
        <v>2186</v>
      </c>
      <c r="D560" s="943" t="s">
        <v>17</v>
      </c>
      <c r="E560" s="945">
        <v>200</v>
      </c>
      <c r="F560" s="945">
        <v>1</v>
      </c>
      <c r="G560" s="946">
        <v>200</v>
      </c>
      <c r="H560" s="946">
        <v>175</v>
      </c>
    </row>
    <row r="561" spans="1:9" s="26" customFormat="1">
      <c r="A561" s="947">
        <v>3</v>
      </c>
      <c r="B561" s="948">
        <v>252.11199999999999</v>
      </c>
      <c r="C561" s="948" t="s">
        <v>237</v>
      </c>
      <c r="D561" s="947" t="s">
        <v>2</v>
      </c>
      <c r="E561" s="950">
        <v>14</v>
      </c>
      <c r="F561" s="950">
        <v>1</v>
      </c>
      <c r="G561" s="951">
        <v>1100</v>
      </c>
      <c r="H561" s="951">
        <v>1050</v>
      </c>
      <c r="I561" s="18"/>
    </row>
    <row r="562" spans="1:9">
      <c r="A562" s="943">
        <v>3</v>
      </c>
      <c r="B562" s="944">
        <v>252.12</v>
      </c>
      <c r="C562" s="944" t="s">
        <v>1313</v>
      </c>
      <c r="D562" s="943" t="s">
        <v>17</v>
      </c>
      <c r="E562" s="945">
        <v>660</v>
      </c>
      <c r="F562" s="945">
        <v>1</v>
      </c>
      <c r="G562" s="946">
        <v>125</v>
      </c>
      <c r="H562" s="946">
        <v>102.5</v>
      </c>
    </row>
    <row r="563" spans="1:9" s="26" customFormat="1">
      <c r="A563" s="947">
        <v>3</v>
      </c>
      <c r="B563" s="948">
        <v>252.6</v>
      </c>
      <c r="C563" s="948" t="s">
        <v>2194</v>
      </c>
      <c r="D563" s="947" t="s">
        <v>17</v>
      </c>
      <c r="E563" s="950">
        <v>200</v>
      </c>
      <c r="F563" s="950">
        <v>1</v>
      </c>
      <c r="G563" s="951">
        <v>500</v>
      </c>
      <c r="H563" s="951">
        <v>490</v>
      </c>
      <c r="I563" s="18"/>
    </row>
    <row r="564" spans="1:9">
      <c r="A564" s="943">
        <v>3</v>
      </c>
      <c r="B564" s="944">
        <v>258</v>
      </c>
      <c r="C564" s="944" t="s">
        <v>238</v>
      </c>
      <c r="D564" s="943" t="s">
        <v>1</v>
      </c>
      <c r="E564" s="952">
        <v>1896</v>
      </c>
      <c r="F564" s="945">
        <v>6</v>
      </c>
      <c r="G564" s="946">
        <v>100</v>
      </c>
      <c r="H564" s="946">
        <v>93.33</v>
      </c>
    </row>
    <row r="565" spans="1:9" s="26" customFormat="1">
      <c r="A565" s="947">
        <v>3</v>
      </c>
      <c r="B565" s="948">
        <v>269.08</v>
      </c>
      <c r="C565" s="948" t="s">
        <v>241</v>
      </c>
      <c r="D565" s="947" t="s">
        <v>17</v>
      </c>
      <c r="E565" s="949">
        <v>9600</v>
      </c>
      <c r="F565" s="950">
        <v>1</v>
      </c>
      <c r="G565" s="951">
        <v>68.5</v>
      </c>
      <c r="H565" s="951">
        <v>71</v>
      </c>
      <c r="I565" s="18"/>
    </row>
    <row r="566" spans="1:9">
      <c r="A566" s="943">
        <v>3</v>
      </c>
      <c r="B566" s="944">
        <v>280</v>
      </c>
      <c r="C566" s="944" t="s">
        <v>244</v>
      </c>
      <c r="D566" s="943" t="s">
        <v>1</v>
      </c>
      <c r="E566" s="945">
        <v>15</v>
      </c>
      <c r="F566" s="945">
        <v>1</v>
      </c>
      <c r="G566" s="946">
        <v>1100</v>
      </c>
      <c r="H566" s="946">
        <v>1164</v>
      </c>
    </row>
    <row r="567" spans="1:9" s="26" customFormat="1">
      <c r="A567" s="947">
        <v>3</v>
      </c>
      <c r="B567" s="948">
        <v>302.08</v>
      </c>
      <c r="C567" s="948" t="s">
        <v>248</v>
      </c>
      <c r="D567" s="947" t="s">
        <v>17</v>
      </c>
      <c r="E567" s="950">
        <v>400</v>
      </c>
      <c r="F567" s="950">
        <v>1</v>
      </c>
      <c r="G567" s="951">
        <v>225</v>
      </c>
      <c r="H567" s="951">
        <v>210</v>
      </c>
      <c r="I567" s="18"/>
    </row>
    <row r="568" spans="1:9">
      <c r="A568" s="943">
        <v>3</v>
      </c>
      <c r="B568" s="944">
        <v>302.10000000000002</v>
      </c>
      <c r="C568" s="944" t="s">
        <v>249</v>
      </c>
      <c r="D568" s="943" t="s">
        <v>17</v>
      </c>
      <c r="E568" s="952">
        <v>1205</v>
      </c>
      <c r="F568" s="945">
        <v>1</v>
      </c>
      <c r="G568" s="946">
        <v>220</v>
      </c>
      <c r="H568" s="946">
        <v>210</v>
      </c>
    </row>
    <row r="569" spans="1:9" s="26" customFormat="1">
      <c r="A569" s="947">
        <v>3</v>
      </c>
      <c r="B569" s="948">
        <v>302.12</v>
      </c>
      <c r="C569" s="948" t="s">
        <v>250</v>
      </c>
      <c r="D569" s="947" t="s">
        <v>17</v>
      </c>
      <c r="E569" s="949">
        <v>1200</v>
      </c>
      <c r="F569" s="950">
        <v>1</v>
      </c>
      <c r="G569" s="951">
        <v>230</v>
      </c>
      <c r="H569" s="951">
        <v>226.88</v>
      </c>
      <c r="I569" s="18"/>
    </row>
    <row r="570" spans="1:9">
      <c r="A570" s="943">
        <v>3</v>
      </c>
      <c r="B570" s="944">
        <v>303.06</v>
      </c>
      <c r="C570" s="944" t="s">
        <v>251</v>
      </c>
      <c r="D570" s="943" t="s">
        <v>17</v>
      </c>
      <c r="E570" s="952">
        <v>1515</v>
      </c>
      <c r="F570" s="945">
        <v>3</v>
      </c>
      <c r="G570" s="946">
        <v>185</v>
      </c>
      <c r="H570" s="946">
        <v>177.5</v>
      </c>
    </row>
    <row r="571" spans="1:9" s="26" customFormat="1">
      <c r="A571" s="947">
        <v>3</v>
      </c>
      <c r="B571" s="948">
        <v>303.10000000000002</v>
      </c>
      <c r="C571" s="948" t="s">
        <v>253</v>
      </c>
      <c r="D571" s="947" t="s">
        <v>17</v>
      </c>
      <c r="E571" s="950">
        <v>150</v>
      </c>
      <c r="F571" s="950">
        <v>1</v>
      </c>
      <c r="G571" s="951">
        <v>320</v>
      </c>
      <c r="H571" s="951">
        <v>288</v>
      </c>
      <c r="I571" s="18"/>
    </row>
    <row r="572" spans="1:9">
      <c r="A572" s="943">
        <v>3</v>
      </c>
      <c r="B572" s="944">
        <v>309</v>
      </c>
      <c r="C572" s="944" t="s">
        <v>256</v>
      </c>
      <c r="D572" s="943" t="s">
        <v>100</v>
      </c>
      <c r="E572" s="952">
        <v>23580</v>
      </c>
      <c r="F572" s="945">
        <v>4</v>
      </c>
      <c r="G572" s="946">
        <v>8.5</v>
      </c>
      <c r="H572" s="946">
        <v>8.3699999999999992</v>
      </c>
    </row>
    <row r="573" spans="1:9" s="26" customFormat="1">
      <c r="A573" s="947">
        <v>3</v>
      </c>
      <c r="B573" s="948">
        <v>347.1</v>
      </c>
      <c r="C573" s="948" t="s">
        <v>260</v>
      </c>
      <c r="D573" s="947" t="s">
        <v>17</v>
      </c>
      <c r="E573" s="950">
        <v>600</v>
      </c>
      <c r="F573" s="950">
        <v>1</v>
      </c>
      <c r="G573" s="951">
        <v>100</v>
      </c>
      <c r="H573" s="951">
        <v>98.75</v>
      </c>
      <c r="I573" s="18"/>
    </row>
    <row r="574" spans="1:9">
      <c r="A574" s="943">
        <v>3</v>
      </c>
      <c r="B574" s="944">
        <v>347.15</v>
      </c>
      <c r="C574" s="944" t="s">
        <v>1329</v>
      </c>
      <c r="D574" s="943" t="s">
        <v>17</v>
      </c>
      <c r="E574" s="945">
        <v>200</v>
      </c>
      <c r="F574" s="945">
        <v>1</v>
      </c>
      <c r="G574" s="946">
        <v>150</v>
      </c>
      <c r="H574" s="946">
        <v>150</v>
      </c>
    </row>
    <row r="575" spans="1:9" s="26" customFormat="1">
      <c r="A575" s="947">
        <v>3</v>
      </c>
      <c r="B575" s="948">
        <v>350.06</v>
      </c>
      <c r="C575" s="948" t="s">
        <v>264</v>
      </c>
      <c r="D575" s="947" t="s">
        <v>2</v>
      </c>
      <c r="E575" s="950">
        <v>16</v>
      </c>
      <c r="F575" s="950">
        <v>1</v>
      </c>
      <c r="G575" s="951">
        <v>2800</v>
      </c>
      <c r="H575" s="951">
        <v>2675</v>
      </c>
      <c r="I575" s="18"/>
    </row>
    <row r="576" spans="1:9">
      <c r="A576" s="943">
        <v>3</v>
      </c>
      <c r="B576" s="944">
        <v>350.1</v>
      </c>
      <c r="C576" s="944" t="s">
        <v>266</v>
      </c>
      <c r="D576" s="943" t="s">
        <v>2</v>
      </c>
      <c r="E576" s="945">
        <v>28</v>
      </c>
      <c r="F576" s="945">
        <v>1</v>
      </c>
      <c r="G576" s="946">
        <v>5750</v>
      </c>
      <c r="H576" s="946">
        <v>5621.43</v>
      </c>
    </row>
    <row r="577" spans="1:9" s="26" customFormat="1">
      <c r="A577" s="947">
        <v>3</v>
      </c>
      <c r="B577" s="948">
        <v>357.06</v>
      </c>
      <c r="C577" s="948" t="s">
        <v>268</v>
      </c>
      <c r="D577" s="947" t="s">
        <v>2</v>
      </c>
      <c r="E577" s="950">
        <v>34</v>
      </c>
      <c r="F577" s="950">
        <v>2</v>
      </c>
      <c r="G577" s="951">
        <v>650</v>
      </c>
      <c r="H577" s="951">
        <v>656.92</v>
      </c>
      <c r="I577" s="18"/>
    </row>
    <row r="578" spans="1:9">
      <c r="A578" s="943">
        <v>3</v>
      </c>
      <c r="B578" s="944">
        <v>357.08</v>
      </c>
      <c r="C578" s="944" t="s">
        <v>269</v>
      </c>
      <c r="D578" s="943" t="s">
        <v>2</v>
      </c>
      <c r="E578" s="945">
        <v>39</v>
      </c>
      <c r="F578" s="945">
        <v>2</v>
      </c>
      <c r="G578" s="946">
        <v>650</v>
      </c>
      <c r="H578" s="946">
        <v>660.77</v>
      </c>
    </row>
    <row r="579" spans="1:9" s="26" customFormat="1">
      <c r="A579" s="947">
        <v>3</v>
      </c>
      <c r="B579" s="948">
        <v>357.1</v>
      </c>
      <c r="C579" s="948" t="s">
        <v>270</v>
      </c>
      <c r="D579" s="947" t="s">
        <v>2</v>
      </c>
      <c r="E579" s="950">
        <v>30</v>
      </c>
      <c r="F579" s="950">
        <v>1</v>
      </c>
      <c r="G579" s="951">
        <v>662.5</v>
      </c>
      <c r="H579" s="951">
        <v>661.67</v>
      </c>
      <c r="I579" s="18"/>
    </row>
    <row r="580" spans="1:9">
      <c r="A580" s="943">
        <v>3</v>
      </c>
      <c r="B580" s="944">
        <v>357.12</v>
      </c>
      <c r="C580" s="944" t="s">
        <v>271</v>
      </c>
      <c r="D580" s="943" t="s">
        <v>2</v>
      </c>
      <c r="E580" s="945">
        <v>47</v>
      </c>
      <c r="F580" s="945">
        <v>3</v>
      </c>
      <c r="G580" s="946">
        <v>662.5</v>
      </c>
      <c r="H580" s="946">
        <v>645.88</v>
      </c>
    </row>
    <row r="581" spans="1:9" s="26" customFormat="1">
      <c r="A581" s="947">
        <v>3</v>
      </c>
      <c r="B581" s="948">
        <v>358</v>
      </c>
      <c r="C581" s="948" t="s">
        <v>274</v>
      </c>
      <c r="D581" s="947" t="s">
        <v>2</v>
      </c>
      <c r="E581" s="949">
        <v>1040</v>
      </c>
      <c r="F581" s="950">
        <v>6</v>
      </c>
      <c r="G581" s="951">
        <v>330</v>
      </c>
      <c r="H581" s="951">
        <v>306.35000000000002</v>
      </c>
      <c r="I581" s="18"/>
    </row>
    <row r="582" spans="1:9">
      <c r="A582" s="943">
        <v>3</v>
      </c>
      <c r="B582" s="944">
        <v>358.1</v>
      </c>
      <c r="C582" s="944" t="s">
        <v>275</v>
      </c>
      <c r="D582" s="943" t="s">
        <v>2</v>
      </c>
      <c r="E582" s="945">
        <v>30</v>
      </c>
      <c r="F582" s="945">
        <v>1</v>
      </c>
      <c r="G582" s="946">
        <v>250</v>
      </c>
      <c r="H582" s="946">
        <v>227</v>
      </c>
    </row>
    <row r="583" spans="1:9" s="26" customFormat="1">
      <c r="A583" s="947">
        <v>3</v>
      </c>
      <c r="B583" s="948">
        <v>367.1</v>
      </c>
      <c r="C583" s="948" t="s">
        <v>2316</v>
      </c>
      <c r="D583" s="947" t="s">
        <v>2</v>
      </c>
      <c r="E583" s="950">
        <v>10</v>
      </c>
      <c r="F583" s="950">
        <v>1</v>
      </c>
      <c r="G583" s="951">
        <v>2200</v>
      </c>
      <c r="H583" s="951">
        <v>2140</v>
      </c>
      <c r="I583" s="18"/>
    </row>
    <row r="584" spans="1:9">
      <c r="A584" s="943">
        <v>3</v>
      </c>
      <c r="B584" s="944">
        <v>370.1</v>
      </c>
      <c r="C584" s="944" t="s">
        <v>282</v>
      </c>
      <c r="D584" s="943" t="s">
        <v>2</v>
      </c>
      <c r="E584" s="945">
        <v>7</v>
      </c>
      <c r="F584" s="945">
        <v>1</v>
      </c>
      <c r="G584" s="946">
        <v>10000</v>
      </c>
      <c r="H584" s="946">
        <v>9428.57</v>
      </c>
    </row>
    <row r="585" spans="1:9" s="26" customFormat="1">
      <c r="A585" s="947">
        <v>3</v>
      </c>
      <c r="B585" s="948">
        <v>370.2</v>
      </c>
      <c r="C585" s="948" t="s">
        <v>1343</v>
      </c>
      <c r="D585" s="947" t="s">
        <v>2</v>
      </c>
      <c r="E585" s="950">
        <v>6</v>
      </c>
      <c r="F585" s="950">
        <v>1</v>
      </c>
      <c r="G585" s="951">
        <v>15000</v>
      </c>
      <c r="H585" s="951">
        <v>14333.33</v>
      </c>
      <c r="I585" s="18"/>
    </row>
    <row r="586" spans="1:9">
      <c r="A586" s="943">
        <v>3</v>
      </c>
      <c r="B586" s="944">
        <v>370.4</v>
      </c>
      <c r="C586" s="944" t="s">
        <v>283</v>
      </c>
      <c r="D586" s="943" t="s">
        <v>2</v>
      </c>
      <c r="E586" s="945">
        <v>6</v>
      </c>
      <c r="F586" s="945">
        <v>1</v>
      </c>
      <c r="G586" s="946">
        <v>15000</v>
      </c>
      <c r="H586" s="946">
        <v>14666.67</v>
      </c>
    </row>
    <row r="587" spans="1:9" s="26" customFormat="1">
      <c r="A587" s="947">
        <v>3</v>
      </c>
      <c r="B587" s="948">
        <v>371.08</v>
      </c>
      <c r="C587" s="948" t="s">
        <v>286</v>
      </c>
      <c r="D587" s="947" t="s">
        <v>2</v>
      </c>
      <c r="E587" s="950">
        <v>12</v>
      </c>
      <c r="F587" s="950">
        <v>1</v>
      </c>
      <c r="G587" s="951">
        <v>1400</v>
      </c>
      <c r="H587" s="951">
        <v>1383.33</v>
      </c>
      <c r="I587" s="18"/>
    </row>
    <row r="588" spans="1:9">
      <c r="A588" s="943">
        <v>3</v>
      </c>
      <c r="B588" s="944">
        <v>371.1</v>
      </c>
      <c r="C588" s="944" t="s">
        <v>2335</v>
      </c>
      <c r="D588" s="943" t="s">
        <v>2</v>
      </c>
      <c r="E588" s="945">
        <v>10</v>
      </c>
      <c r="F588" s="945">
        <v>1</v>
      </c>
      <c r="G588" s="946">
        <v>2350</v>
      </c>
      <c r="H588" s="946">
        <v>2335</v>
      </c>
    </row>
    <row r="589" spans="1:9" s="26" customFormat="1">
      <c r="A589" s="947">
        <v>3</v>
      </c>
      <c r="B589" s="948">
        <v>373.1</v>
      </c>
      <c r="C589" s="948" t="s">
        <v>2337</v>
      </c>
      <c r="D589" s="947" t="s">
        <v>17</v>
      </c>
      <c r="E589" s="949">
        <v>1687</v>
      </c>
      <c r="F589" s="950">
        <v>1</v>
      </c>
      <c r="G589" s="951">
        <v>125</v>
      </c>
      <c r="H589" s="951">
        <v>125</v>
      </c>
      <c r="I589" s="18"/>
    </row>
    <row r="590" spans="1:9">
      <c r="A590" s="943">
        <v>3</v>
      </c>
      <c r="B590" s="944">
        <v>376.1</v>
      </c>
      <c r="C590" s="944" t="s">
        <v>291</v>
      </c>
      <c r="D590" s="943" t="s">
        <v>2</v>
      </c>
      <c r="E590" s="945">
        <v>7</v>
      </c>
      <c r="F590" s="945">
        <v>1</v>
      </c>
      <c r="G590" s="946">
        <v>4000</v>
      </c>
      <c r="H590" s="946">
        <v>3628.57</v>
      </c>
    </row>
    <row r="591" spans="1:9" s="26" customFormat="1">
      <c r="A591" s="947">
        <v>3</v>
      </c>
      <c r="B591" s="948">
        <v>376.2</v>
      </c>
      <c r="C591" s="948" t="s">
        <v>292</v>
      </c>
      <c r="D591" s="947" t="s">
        <v>2</v>
      </c>
      <c r="E591" s="950">
        <v>128</v>
      </c>
      <c r="F591" s="950">
        <v>4</v>
      </c>
      <c r="G591" s="951">
        <v>4000</v>
      </c>
      <c r="H591" s="951">
        <v>4162.07</v>
      </c>
      <c r="I591" s="18"/>
    </row>
    <row r="592" spans="1:9">
      <c r="A592" s="943">
        <v>3</v>
      </c>
      <c r="B592" s="944">
        <v>376.3</v>
      </c>
      <c r="C592" s="944" t="s">
        <v>293</v>
      </c>
      <c r="D592" s="943" t="s">
        <v>2</v>
      </c>
      <c r="E592" s="945">
        <v>35</v>
      </c>
      <c r="F592" s="945">
        <v>1</v>
      </c>
      <c r="G592" s="946">
        <v>1800</v>
      </c>
      <c r="H592" s="946">
        <v>1695.71</v>
      </c>
    </row>
    <row r="593" spans="1:9" s="26" customFormat="1">
      <c r="A593" s="947">
        <v>3</v>
      </c>
      <c r="B593" s="948">
        <v>381</v>
      </c>
      <c r="C593" s="948" t="s">
        <v>295</v>
      </c>
      <c r="D593" s="947" t="s">
        <v>2</v>
      </c>
      <c r="E593" s="950">
        <v>462</v>
      </c>
      <c r="F593" s="950">
        <v>2</v>
      </c>
      <c r="G593" s="951">
        <v>500</v>
      </c>
      <c r="H593" s="951">
        <v>495.83</v>
      </c>
      <c r="I593" s="18"/>
    </row>
    <row r="594" spans="1:9">
      <c r="A594" s="943">
        <v>3</v>
      </c>
      <c r="B594" s="944">
        <v>381.01</v>
      </c>
      <c r="C594" s="944" t="s">
        <v>296</v>
      </c>
      <c r="D594" s="943" t="s">
        <v>2</v>
      </c>
      <c r="E594" s="945">
        <v>5</v>
      </c>
      <c r="F594" s="945">
        <v>1</v>
      </c>
      <c r="G594" s="946">
        <v>400</v>
      </c>
      <c r="H594" s="946">
        <v>408</v>
      </c>
    </row>
    <row r="595" spans="1:9" s="26" customFormat="1">
      <c r="A595" s="947">
        <v>3</v>
      </c>
      <c r="B595" s="948">
        <v>381.3</v>
      </c>
      <c r="C595" s="948" t="s">
        <v>298</v>
      </c>
      <c r="D595" s="947" t="s">
        <v>2</v>
      </c>
      <c r="E595" s="950">
        <v>435</v>
      </c>
      <c r="F595" s="950">
        <v>5</v>
      </c>
      <c r="G595" s="951">
        <v>250</v>
      </c>
      <c r="H595" s="951">
        <v>251.67</v>
      </c>
      <c r="I595" s="18"/>
    </row>
    <row r="596" spans="1:9">
      <c r="A596" s="943">
        <v>3</v>
      </c>
      <c r="B596" s="944">
        <v>384</v>
      </c>
      <c r="C596" s="944" t="s">
        <v>299</v>
      </c>
      <c r="D596" s="943" t="s">
        <v>2</v>
      </c>
      <c r="E596" s="945">
        <v>48</v>
      </c>
      <c r="F596" s="945">
        <v>2</v>
      </c>
      <c r="G596" s="946">
        <v>625</v>
      </c>
      <c r="H596" s="946">
        <v>548.75</v>
      </c>
    </row>
    <row r="597" spans="1:9" s="26" customFormat="1">
      <c r="A597" s="947">
        <v>3</v>
      </c>
      <c r="B597" s="948">
        <v>384.1</v>
      </c>
      <c r="C597" s="948" t="s">
        <v>1356</v>
      </c>
      <c r="D597" s="947" t="s">
        <v>2</v>
      </c>
      <c r="E597" s="950">
        <v>3</v>
      </c>
      <c r="F597" s="950">
        <v>1</v>
      </c>
      <c r="G597" s="951">
        <v>750</v>
      </c>
      <c r="H597" s="951">
        <v>700</v>
      </c>
      <c r="I597" s="18"/>
    </row>
    <row r="598" spans="1:9">
      <c r="A598" s="943">
        <v>3</v>
      </c>
      <c r="B598" s="944">
        <v>402</v>
      </c>
      <c r="C598" s="944" t="s">
        <v>301</v>
      </c>
      <c r="D598" s="943" t="s">
        <v>4</v>
      </c>
      <c r="E598" s="952">
        <v>65766</v>
      </c>
      <c r="F598" s="945">
        <v>8</v>
      </c>
      <c r="G598" s="946">
        <v>90</v>
      </c>
      <c r="H598" s="946">
        <v>91.91</v>
      </c>
    </row>
    <row r="599" spans="1:9" s="26" customFormat="1">
      <c r="A599" s="947">
        <v>3</v>
      </c>
      <c r="B599" s="948">
        <v>402.1</v>
      </c>
      <c r="C599" s="948" t="s">
        <v>301</v>
      </c>
      <c r="D599" s="947" t="s">
        <v>7</v>
      </c>
      <c r="E599" s="950">
        <v>145</v>
      </c>
      <c r="F599" s="950">
        <v>1</v>
      </c>
      <c r="G599" s="951">
        <v>90</v>
      </c>
      <c r="H599" s="951">
        <v>90</v>
      </c>
      <c r="I599" s="18"/>
    </row>
    <row r="600" spans="1:9">
      <c r="A600" s="943">
        <v>3</v>
      </c>
      <c r="B600" s="944">
        <v>402.12</v>
      </c>
      <c r="C600" s="944" t="s">
        <v>302</v>
      </c>
      <c r="D600" s="943" t="s">
        <v>4</v>
      </c>
      <c r="E600" s="952">
        <v>1350</v>
      </c>
      <c r="F600" s="945">
        <v>1</v>
      </c>
      <c r="G600" s="946">
        <v>88</v>
      </c>
      <c r="H600" s="946">
        <v>87.33</v>
      </c>
    </row>
    <row r="601" spans="1:9" s="26" customFormat="1">
      <c r="A601" s="947">
        <v>3</v>
      </c>
      <c r="B601" s="948">
        <v>402.13</v>
      </c>
      <c r="C601" s="948" t="s">
        <v>1359</v>
      </c>
      <c r="D601" s="947" t="s">
        <v>17</v>
      </c>
      <c r="E601" s="949">
        <v>22000</v>
      </c>
      <c r="F601" s="950">
        <v>1</v>
      </c>
      <c r="G601" s="951">
        <v>7</v>
      </c>
      <c r="H601" s="951">
        <v>7</v>
      </c>
      <c r="I601" s="18"/>
    </row>
    <row r="602" spans="1:9">
      <c r="A602" s="943">
        <v>3</v>
      </c>
      <c r="B602" s="944">
        <v>403.1</v>
      </c>
      <c r="C602" s="944" t="s">
        <v>304</v>
      </c>
      <c r="D602" s="943" t="s">
        <v>7</v>
      </c>
      <c r="E602" s="952">
        <v>8000</v>
      </c>
      <c r="F602" s="945">
        <v>1</v>
      </c>
      <c r="G602" s="946">
        <v>40</v>
      </c>
      <c r="H602" s="946">
        <v>36.880000000000003</v>
      </c>
    </row>
    <row r="603" spans="1:9" s="26" customFormat="1">
      <c r="A603" s="947">
        <v>3</v>
      </c>
      <c r="B603" s="948">
        <v>415.1</v>
      </c>
      <c r="C603" s="948" t="s">
        <v>1360</v>
      </c>
      <c r="D603" s="947" t="s">
        <v>1</v>
      </c>
      <c r="E603" s="949">
        <v>48200</v>
      </c>
      <c r="F603" s="950">
        <v>2</v>
      </c>
      <c r="G603" s="951">
        <v>10</v>
      </c>
      <c r="H603" s="951">
        <v>9.2100000000000009</v>
      </c>
      <c r="I603" s="18"/>
    </row>
    <row r="604" spans="1:9">
      <c r="A604" s="943">
        <v>3</v>
      </c>
      <c r="B604" s="944">
        <v>415.2</v>
      </c>
      <c r="C604" s="944" t="s">
        <v>1361</v>
      </c>
      <c r="D604" s="943" t="s">
        <v>1</v>
      </c>
      <c r="E604" s="952">
        <v>3632218</v>
      </c>
      <c r="F604" s="945">
        <v>13</v>
      </c>
      <c r="G604" s="946">
        <v>17</v>
      </c>
      <c r="H604" s="946">
        <v>17.36</v>
      </c>
    </row>
    <row r="605" spans="1:9" s="26" customFormat="1">
      <c r="A605" s="947">
        <v>3</v>
      </c>
      <c r="B605" s="948">
        <v>415.4</v>
      </c>
      <c r="C605" s="948" t="s">
        <v>1362</v>
      </c>
      <c r="D605" s="947" t="s">
        <v>1</v>
      </c>
      <c r="E605" s="949">
        <v>22674</v>
      </c>
      <c r="F605" s="950">
        <v>3</v>
      </c>
      <c r="G605" s="951">
        <v>29</v>
      </c>
      <c r="H605" s="951">
        <v>28.83</v>
      </c>
      <c r="I605" s="18"/>
    </row>
    <row r="606" spans="1:9">
      <c r="A606" s="943">
        <v>3</v>
      </c>
      <c r="B606" s="944">
        <v>431</v>
      </c>
      <c r="C606" s="944" t="s">
        <v>27</v>
      </c>
      <c r="D606" s="943" t="s">
        <v>1</v>
      </c>
      <c r="E606" s="952">
        <v>3580</v>
      </c>
      <c r="F606" s="945">
        <v>3</v>
      </c>
      <c r="G606" s="946">
        <v>80</v>
      </c>
      <c r="H606" s="946">
        <v>79.8</v>
      </c>
    </row>
    <row r="607" spans="1:9" s="26" customFormat="1">
      <c r="A607" s="947">
        <v>3</v>
      </c>
      <c r="B607" s="948">
        <v>440</v>
      </c>
      <c r="C607" s="948" t="s">
        <v>305</v>
      </c>
      <c r="D607" s="947" t="s">
        <v>100</v>
      </c>
      <c r="E607" s="949">
        <v>1041794</v>
      </c>
      <c r="F607" s="950">
        <v>9</v>
      </c>
      <c r="G607" s="951">
        <v>0.4</v>
      </c>
      <c r="H607" s="951">
        <v>0.35</v>
      </c>
      <c r="I607" s="18"/>
    </row>
    <row r="608" spans="1:9">
      <c r="A608" s="943">
        <v>3</v>
      </c>
      <c r="B608" s="944">
        <v>443</v>
      </c>
      <c r="C608" s="944" t="s">
        <v>306</v>
      </c>
      <c r="D608" s="943" t="s">
        <v>307</v>
      </c>
      <c r="E608" s="953">
        <v>1695.6</v>
      </c>
      <c r="F608" s="945">
        <v>10</v>
      </c>
      <c r="G608" s="946">
        <v>65</v>
      </c>
      <c r="H608" s="946">
        <v>70.63</v>
      </c>
    </row>
    <row r="609" spans="1:9" s="26" customFormat="1">
      <c r="A609" s="947">
        <v>3</v>
      </c>
      <c r="B609" s="948">
        <v>450.22</v>
      </c>
      <c r="C609" s="948" t="s">
        <v>4033</v>
      </c>
      <c r="D609" s="947" t="s">
        <v>7</v>
      </c>
      <c r="E609" s="949">
        <v>22990</v>
      </c>
      <c r="F609" s="950">
        <v>3</v>
      </c>
      <c r="G609" s="951">
        <v>172.5</v>
      </c>
      <c r="H609" s="951">
        <v>174.15</v>
      </c>
      <c r="I609" s="18"/>
    </row>
    <row r="610" spans="1:9">
      <c r="A610" s="943">
        <v>3</v>
      </c>
      <c r="B610" s="944">
        <v>450.221</v>
      </c>
      <c r="C610" s="944" t="s">
        <v>4034</v>
      </c>
      <c r="D610" s="943" t="s">
        <v>7</v>
      </c>
      <c r="E610" s="952">
        <v>10754</v>
      </c>
      <c r="F610" s="945">
        <v>4</v>
      </c>
      <c r="G610" s="946">
        <v>300</v>
      </c>
      <c r="H610" s="946">
        <v>304.67</v>
      </c>
    </row>
    <row r="611" spans="1:9" s="26" customFormat="1">
      <c r="A611" s="947">
        <v>3</v>
      </c>
      <c r="B611" s="948">
        <v>450.23</v>
      </c>
      <c r="C611" s="948" t="s">
        <v>308</v>
      </c>
      <c r="D611" s="947" t="s">
        <v>7</v>
      </c>
      <c r="E611" s="949">
        <v>31181</v>
      </c>
      <c r="F611" s="950">
        <v>2</v>
      </c>
      <c r="G611" s="951">
        <v>155</v>
      </c>
      <c r="H611" s="951">
        <v>208.88</v>
      </c>
      <c r="I611" s="18"/>
    </row>
    <row r="612" spans="1:9">
      <c r="A612" s="943">
        <v>3</v>
      </c>
      <c r="B612" s="944">
        <v>450.23099999999999</v>
      </c>
      <c r="C612" s="944" t="s">
        <v>1367</v>
      </c>
      <c r="D612" s="943" t="s">
        <v>7</v>
      </c>
      <c r="E612" s="952">
        <v>109375</v>
      </c>
      <c r="F612" s="945">
        <v>6</v>
      </c>
      <c r="G612" s="946">
        <v>161.5</v>
      </c>
      <c r="H612" s="946">
        <v>162.78</v>
      </c>
    </row>
    <row r="613" spans="1:9" s="26" customFormat="1">
      <c r="A613" s="947">
        <v>3</v>
      </c>
      <c r="B613" s="948">
        <v>450.31</v>
      </c>
      <c r="C613" s="948" t="s">
        <v>53</v>
      </c>
      <c r="D613" s="947" t="s">
        <v>7</v>
      </c>
      <c r="E613" s="949">
        <v>82681</v>
      </c>
      <c r="F613" s="950">
        <v>7</v>
      </c>
      <c r="G613" s="951">
        <v>165.5</v>
      </c>
      <c r="H613" s="951">
        <v>160.49</v>
      </c>
      <c r="I613" s="18"/>
    </row>
    <row r="614" spans="1:9">
      <c r="A614" s="943">
        <v>3</v>
      </c>
      <c r="B614" s="944">
        <v>450.32</v>
      </c>
      <c r="C614" s="944" t="s">
        <v>309</v>
      </c>
      <c r="D614" s="943" t="s">
        <v>7</v>
      </c>
      <c r="E614" s="952">
        <v>117876</v>
      </c>
      <c r="F614" s="945">
        <v>7</v>
      </c>
      <c r="G614" s="946">
        <v>142.5</v>
      </c>
      <c r="H614" s="946">
        <v>146.51</v>
      </c>
    </row>
    <row r="615" spans="1:9" s="26" customFormat="1">
      <c r="A615" s="947">
        <v>3</v>
      </c>
      <c r="B615" s="948">
        <v>450.42</v>
      </c>
      <c r="C615" s="948" t="s">
        <v>37</v>
      </c>
      <c r="D615" s="947" t="s">
        <v>7</v>
      </c>
      <c r="E615" s="949">
        <v>122814</v>
      </c>
      <c r="F615" s="950">
        <v>8</v>
      </c>
      <c r="G615" s="951">
        <v>150</v>
      </c>
      <c r="H615" s="951">
        <v>147.94999999999999</v>
      </c>
      <c r="I615" s="18"/>
    </row>
    <row r="616" spans="1:9">
      <c r="A616" s="943">
        <v>3</v>
      </c>
      <c r="B616" s="944">
        <v>450.52</v>
      </c>
      <c r="C616" s="944" t="s">
        <v>310</v>
      </c>
      <c r="D616" s="943" t="s">
        <v>7</v>
      </c>
      <c r="E616" s="952">
        <v>7596</v>
      </c>
      <c r="F616" s="945">
        <v>2</v>
      </c>
      <c r="G616" s="946">
        <v>150</v>
      </c>
      <c r="H616" s="946">
        <v>165.6</v>
      </c>
    </row>
    <row r="617" spans="1:9" s="26" customFormat="1">
      <c r="A617" s="947">
        <v>3</v>
      </c>
      <c r="B617" s="948">
        <v>450.53</v>
      </c>
      <c r="C617" s="948" t="s">
        <v>1372</v>
      </c>
      <c r="D617" s="947" t="s">
        <v>7</v>
      </c>
      <c r="E617" s="950">
        <v>300</v>
      </c>
      <c r="F617" s="950">
        <v>1</v>
      </c>
      <c r="G617" s="951">
        <v>220</v>
      </c>
      <c r="H617" s="951">
        <v>234.17</v>
      </c>
      <c r="I617" s="18"/>
    </row>
    <row r="618" spans="1:9">
      <c r="A618" s="943">
        <v>3</v>
      </c>
      <c r="B618" s="944">
        <v>450.6</v>
      </c>
      <c r="C618" s="944" t="s">
        <v>311</v>
      </c>
      <c r="D618" s="943" t="s">
        <v>7</v>
      </c>
      <c r="E618" s="945">
        <v>713</v>
      </c>
      <c r="F618" s="945">
        <v>3</v>
      </c>
      <c r="G618" s="946">
        <v>345</v>
      </c>
      <c r="H618" s="946">
        <v>328.78</v>
      </c>
    </row>
    <row r="619" spans="1:9" s="26" customFormat="1">
      <c r="A619" s="947">
        <v>3</v>
      </c>
      <c r="B619" s="948">
        <v>450.601</v>
      </c>
      <c r="C619" s="948" t="s">
        <v>1373</v>
      </c>
      <c r="D619" s="947" t="s">
        <v>7</v>
      </c>
      <c r="E619" s="949">
        <v>3395</v>
      </c>
      <c r="F619" s="950">
        <v>3</v>
      </c>
      <c r="G619" s="951">
        <v>300</v>
      </c>
      <c r="H619" s="951">
        <v>288.82</v>
      </c>
      <c r="I619" s="18"/>
    </row>
    <row r="620" spans="1:9">
      <c r="A620" s="943">
        <v>3</v>
      </c>
      <c r="B620" s="944">
        <v>450.7</v>
      </c>
      <c r="C620" s="944" t="s">
        <v>313</v>
      </c>
      <c r="D620" s="943" t="s">
        <v>7</v>
      </c>
      <c r="E620" s="945">
        <v>456</v>
      </c>
      <c r="F620" s="945">
        <v>3</v>
      </c>
      <c r="G620" s="946">
        <v>338</v>
      </c>
      <c r="H620" s="946">
        <v>336.74</v>
      </c>
    </row>
    <row r="621" spans="1:9" s="26" customFormat="1">
      <c r="A621" s="947">
        <v>3</v>
      </c>
      <c r="B621" s="948">
        <v>450.70100000000002</v>
      </c>
      <c r="C621" s="948" t="s">
        <v>1375</v>
      </c>
      <c r="D621" s="947" t="s">
        <v>7</v>
      </c>
      <c r="E621" s="950">
        <v>435</v>
      </c>
      <c r="F621" s="950">
        <v>2</v>
      </c>
      <c r="G621" s="951">
        <v>268</v>
      </c>
      <c r="H621" s="951">
        <v>303.73</v>
      </c>
      <c r="I621" s="18"/>
    </row>
    <row r="622" spans="1:9">
      <c r="A622" s="943">
        <v>3</v>
      </c>
      <c r="B622" s="944">
        <v>450.71</v>
      </c>
      <c r="C622" s="944" t="s">
        <v>4035</v>
      </c>
      <c r="D622" s="943" t="s">
        <v>7</v>
      </c>
      <c r="E622" s="945">
        <v>25</v>
      </c>
      <c r="F622" s="945">
        <v>1</v>
      </c>
      <c r="G622" s="946">
        <v>362.5</v>
      </c>
      <c r="H622" s="946">
        <v>383</v>
      </c>
    </row>
    <row r="623" spans="1:9" s="26" customFormat="1">
      <c r="A623" s="947">
        <v>3</v>
      </c>
      <c r="B623" s="948">
        <v>451</v>
      </c>
      <c r="C623" s="948" t="s">
        <v>36</v>
      </c>
      <c r="D623" s="947" t="s">
        <v>7</v>
      </c>
      <c r="E623" s="954">
        <v>15088.5</v>
      </c>
      <c r="F623" s="950">
        <v>17</v>
      </c>
      <c r="G623" s="951">
        <v>300</v>
      </c>
      <c r="H623" s="951">
        <v>273.77</v>
      </c>
      <c r="I623" s="18"/>
    </row>
    <row r="624" spans="1:9">
      <c r="A624" s="943">
        <v>3</v>
      </c>
      <c r="B624" s="944">
        <v>452</v>
      </c>
      <c r="C624" s="944" t="s">
        <v>31</v>
      </c>
      <c r="D624" s="943" t="s">
        <v>20</v>
      </c>
      <c r="E624" s="952">
        <v>323403</v>
      </c>
      <c r="F624" s="945">
        <v>18</v>
      </c>
      <c r="G624" s="946">
        <v>8</v>
      </c>
      <c r="H624" s="946">
        <v>7.78</v>
      </c>
    </row>
    <row r="625" spans="1:9" s="26" customFormat="1">
      <c r="A625" s="947">
        <v>3</v>
      </c>
      <c r="B625" s="948">
        <v>453</v>
      </c>
      <c r="C625" s="948" t="s">
        <v>3962</v>
      </c>
      <c r="D625" s="947" t="s">
        <v>17</v>
      </c>
      <c r="E625" s="949">
        <v>1200372</v>
      </c>
      <c r="F625" s="950">
        <v>18</v>
      </c>
      <c r="G625" s="951">
        <v>2</v>
      </c>
      <c r="H625" s="951">
        <v>1.62</v>
      </c>
      <c r="I625" s="18"/>
    </row>
    <row r="626" spans="1:9">
      <c r="A626" s="943">
        <v>3</v>
      </c>
      <c r="B626" s="944">
        <v>457.1</v>
      </c>
      <c r="C626" s="944" t="s">
        <v>1378</v>
      </c>
      <c r="D626" s="943" t="s">
        <v>7</v>
      </c>
      <c r="E626" s="952">
        <v>3108</v>
      </c>
      <c r="F626" s="945">
        <v>3</v>
      </c>
      <c r="G626" s="946">
        <v>565</v>
      </c>
      <c r="H626" s="946">
        <v>542.5</v>
      </c>
    </row>
    <row r="627" spans="1:9" s="26" customFormat="1">
      <c r="A627" s="947">
        <v>3</v>
      </c>
      <c r="B627" s="948">
        <v>457.2</v>
      </c>
      <c r="C627" s="948" t="s">
        <v>1379</v>
      </c>
      <c r="D627" s="947" t="s">
        <v>7</v>
      </c>
      <c r="E627" s="949">
        <v>1450</v>
      </c>
      <c r="F627" s="950">
        <v>2</v>
      </c>
      <c r="G627" s="951">
        <v>585</v>
      </c>
      <c r="H627" s="951">
        <v>523</v>
      </c>
      <c r="I627" s="18"/>
    </row>
    <row r="628" spans="1:9">
      <c r="A628" s="943">
        <v>3</v>
      </c>
      <c r="B628" s="944">
        <v>458.2</v>
      </c>
      <c r="C628" s="944" t="s">
        <v>4037</v>
      </c>
      <c r="D628" s="943" t="s">
        <v>7</v>
      </c>
      <c r="E628" s="952">
        <v>384100</v>
      </c>
      <c r="F628" s="945">
        <v>2</v>
      </c>
      <c r="G628" s="946">
        <v>162</v>
      </c>
      <c r="H628" s="946">
        <v>158.65</v>
      </c>
    </row>
    <row r="629" spans="1:9" s="26" customFormat="1">
      <c r="A629" s="947">
        <v>3</v>
      </c>
      <c r="B629" s="948">
        <v>470</v>
      </c>
      <c r="C629" s="948" t="s">
        <v>1382</v>
      </c>
      <c r="D629" s="947" t="s">
        <v>7</v>
      </c>
      <c r="E629" s="954">
        <v>3763.8</v>
      </c>
      <c r="F629" s="950">
        <v>6</v>
      </c>
      <c r="G629" s="951">
        <v>331.75</v>
      </c>
      <c r="H629" s="951">
        <v>1780.69</v>
      </c>
      <c r="I629" s="18"/>
    </row>
    <row r="630" spans="1:9">
      <c r="A630" s="943">
        <v>3</v>
      </c>
      <c r="B630" s="944">
        <v>472</v>
      </c>
      <c r="C630" s="944" t="s">
        <v>1383</v>
      </c>
      <c r="D630" s="943" t="s">
        <v>7</v>
      </c>
      <c r="E630" s="952">
        <v>30258</v>
      </c>
      <c r="F630" s="945">
        <v>15</v>
      </c>
      <c r="G630" s="946">
        <v>250</v>
      </c>
      <c r="H630" s="946">
        <v>255.55</v>
      </c>
    </row>
    <row r="631" spans="1:9" s="26" customFormat="1">
      <c r="A631" s="947">
        <v>3</v>
      </c>
      <c r="B631" s="948">
        <v>477</v>
      </c>
      <c r="C631" s="948" t="s">
        <v>1384</v>
      </c>
      <c r="D631" s="947" t="s">
        <v>17</v>
      </c>
      <c r="E631" s="949">
        <v>926152</v>
      </c>
      <c r="F631" s="950">
        <v>5</v>
      </c>
      <c r="G631" s="951">
        <v>0.3</v>
      </c>
      <c r="H631" s="951">
        <v>0.75</v>
      </c>
      <c r="I631" s="18"/>
    </row>
    <row r="632" spans="1:9">
      <c r="A632" s="943">
        <v>3</v>
      </c>
      <c r="B632" s="944">
        <v>477.1</v>
      </c>
      <c r="C632" s="944" t="s">
        <v>1385</v>
      </c>
      <c r="D632" s="943" t="s">
        <v>17</v>
      </c>
      <c r="E632" s="952">
        <v>2666</v>
      </c>
      <c r="F632" s="945">
        <v>1</v>
      </c>
      <c r="G632" s="946">
        <v>3</v>
      </c>
      <c r="H632" s="946">
        <v>3</v>
      </c>
    </row>
    <row r="633" spans="1:9" s="26" customFormat="1">
      <c r="A633" s="947" t="s">
        <v>81</v>
      </c>
      <c r="B633" s="948">
        <v>100</v>
      </c>
      <c r="C633" s="948" t="s">
        <v>51</v>
      </c>
      <c r="D633" s="947" t="s">
        <v>22</v>
      </c>
      <c r="E633" s="950">
        <v>181</v>
      </c>
      <c r="F633" s="950">
        <v>39</v>
      </c>
      <c r="G633" s="951">
        <v>36500</v>
      </c>
      <c r="H633" s="951">
        <v>36704.42</v>
      </c>
      <c r="I633" s="18"/>
    </row>
    <row r="634" spans="1:9">
      <c r="A634" s="943" t="s">
        <v>81</v>
      </c>
      <c r="B634" s="944">
        <v>100.001</v>
      </c>
      <c r="C634" s="944" t="s">
        <v>82</v>
      </c>
      <c r="D634" s="943" t="s">
        <v>24</v>
      </c>
      <c r="E634" s="952">
        <v>15290</v>
      </c>
      <c r="F634" s="945">
        <v>6</v>
      </c>
      <c r="G634" s="946">
        <v>140</v>
      </c>
      <c r="H634" s="946">
        <v>139.30000000000001</v>
      </c>
    </row>
    <row r="635" spans="1:9" s="26" customFormat="1">
      <c r="A635" s="947" t="s">
        <v>81</v>
      </c>
      <c r="B635" s="948">
        <v>100.002</v>
      </c>
      <c r="C635" s="948" t="s">
        <v>83</v>
      </c>
      <c r="D635" s="947" t="s">
        <v>24</v>
      </c>
      <c r="E635" s="949">
        <v>63871</v>
      </c>
      <c r="F635" s="950">
        <v>27</v>
      </c>
      <c r="G635" s="951">
        <v>100</v>
      </c>
      <c r="H635" s="951">
        <v>99.55</v>
      </c>
      <c r="I635" s="18"/>
    </row>
    <row r="636" spans="1:9">
      <c r="A636" s="943" t="s">
        <v>81</v>
      </c>
      <c r="B636" s="944">
        <v>100.004</v>
      </c>
      <c r="C636" s="944" t="s">
        <v>1938</v>
      </c>
      <c r="D636" s="943" t="s">
        <v>24</v>
      </c>
      <c r="E636" s="945">
        <v>48</v>
      </c>
      <c r="F636" s="945">
        <v>1</v>
      </c>
      <c r="G636" s="946">
        <v>262.5</v>
      </c>
      <c r="H636" s="946">
        <v>246.67</v>
      </c>
    </row>
    <row r="637" spans="1:9" s="26" customFormat="1">
      <c r="A637" s="947" t="s">
        <v>81</v>
      </c>
      <c r="B637" s="948">
        <v>100.1</v>
      </c>
      <c r="C637" s="948" t="s">
        <v>85</v>
      </c>
      <c r="D637" s="947" t="s">
        <v>24</v>
      </c>
      <c r="E637" s="949">
        <v>175375</v>
      </c>
      <c r="F637" s="950">
        <v>34</v>
      </c>
      <c r="G637" s="951">
        <v>140</v>
      </c>
      <c r="H637" s="951">
        <v>137.29</v>
      </c>
      <c r="I637" s="18"/>
    </row>
    <row r="638" spans="1:9">
      <c r="A638" s="943" t="s">
        <v>81</v>
      </c>
      <c r="B638" s="944">
        <v>100.6</v>
      </c>
      <c r="C638" s="944" t="s">
        <v>1944</v>
      </c>
      <c r="D638" s="943" t="s">
        <v>22</v>
      </c>
      <c r="E638" s="945">
        <v>2</v>
      </c>
      <c r="F638" s="945">
        <v>1</v>
      </c>
      <c r="G638" s="946">
        <v>52449</v>
      </c>
      <c r="H638" s="946">
        <v>52449</v>
      </c>
    </row>
    <row r="639" spans="1:9" s="26" customFormat="1">
      <c r="A639" s="947" t="s">
        <v>81</v>
      </c>
      <c r="B639" s="948">
        <v>100.61</v>
      </c>
      <c r="C639" s="948" t="s">
        <v>86</v>
      </c>
      <c r="D639" s="947" t="s">
        <v>22</v>
      </c>
      <c r="E639" s="950">
        <v>2</v>
      </c>
      <c r="F639" s="950">
        <v>1</v>
      </c>
      <c r="G639" s="951">
        <v>75001</v>
      </c>
      <c r="H639" s="951">
        <v>75001</v>
      </c>
      <c r="I639" s="18"/>
    </row>
    <row r="640" spans="1:9">
      <c r="A640" s="943" t="s">
        <v>81</v>
      </c>
      <c r="B640" s="944">
        <v>100.7</v>
      </c>
      <c r="C640" s="944" t="s">
        <v>87</v>
      </c>
      <c r="D640" s="943" t="s">
        <v>22</v>
      </c>
      <c r="E640" s="945">
        <v>2</v>
      </c>
      <c r="F640" s="945">
        <v>1</v>
      </c>
      <c r="G640" s="946">
        <v>419925</v>
      </c>
      <c r="H640" s="946">
        <v>419925</v>
      </c>
    </row>
    <row r="641" spans="1:9" s="26" customFormat="1">
      <c r="A641" s="947" t="s">
        <v>81</v>
      </c>
      <c r="B641" s="948">
        <v>100.71</v>
      </c>
      <c r="C641" s="948" t="s">
        <v>88</v>
      </c>
      <c r="D641" s="947" t="s">
        <v>22</v>
      </c>
      <c r="E641" s="950">
        <v>3</v>
      </c>
      <c r="F641" s="950">
        <v>1</v>
      </c>
      <c r="G641" s="951">
        <v>12150</v>
      </c>
      <c r="H641" s="951">
        <v>10266.67</v>
      </c>
      <c r="I641" s="18"/>
    </row>
    <row r="642" spans="1:9">
      <c r="A642" s="943" t="s">
        <v>81</v>
      </c>
      <c r="B642" s="944">
        <v>101</v>
      </c>
      <c r="C642" s="944" t="s">
        <v>54</v>
      </c>
      <c r="D642" s="943" t="s">
        <v>55</v>
      </c>
      <c r="E642" s="945">
        <v>112.58</v>
      </c>
      <c r="F642" s="945">
        <v>37</v>
      </c>
      <c r="G642" s="946">
        <v>55500</v>
      </c>
      <c r="H642" s="946">
        <v>55512.33</v>
      </c>
    </row>
    <row r="643" spans="1:9" s="26" customFormat="1">
      <c r="A643" s="947" t="s">
        <v>81</v>
      </c>
      <c r="B643" s="948">
        <v>101.1</v>
      </c>
      <c r="C643" s="948" t="s">
        <v>1273</v>
      </c>
      <c r="D643" s="947" t="s">
        <v>55</v>
      </c>
      <c r="E643" s="950">
        <v>182</v>
      </c>
      <c r="F643" s="950">
        <v>15</v>
      </c>
      <c r="G643" s="951">
        <v>18400</v>
      </c>
      <c r="H643" s="951">
        <v>18640.16</v>
      </c>
      <c r="I643" s="18"/>
    </row>
    <row r="644" spans="1:9">
      <c r="A644" s="943" t="s">
        <v>81</v>
      </c>
      <c r="B644" s="944">
        <v>102</v>
      </c>
      <c r="C644" s="944" t="s">
        <v>92</v>
      </c>
      <c r="D644" s="943" t="s">
        <v>55</v>
      </c>
      <c r="E644" s="945">
        <v>24.51</v>
      </c>
      <c r="F644" s="945">
        <v>14</v>
      </c>
      <c r="G644" s="946">
        <v>40000</v>
      </c>
      <c r="H644" s="946">
        <v>46566</v>
      </c>
    </row>
    <row r="645" spans="1:9" s="26" customFormat="1">
      <c r="A645" s="947" t="s">
        <v>81</v>
      </c>
      <c r="B645" s="948">
        <v>102.01</v>
      </c>
      <c r="C645" s="948" t="s">
        <v>1950</v>
      </c>
      <c r="D645" s="947" t="s">
        <v>22</v>
      </c>
      <c r="E645" s="950">
        <v>9</v>
      </c>
      <c r="F645" s="950">
        <v>2</v>
      </c>
      <c r="G645" s="951">
        <v>22750</v>
      </c>
      <c r="H645" s="951">
        <v>23083.33</v>
      </c>
      <c r="I645" s="18"/>
    </row>
    <row r="646" spans="1:9">
      <c r="A646" s="943" t="s">
        <v>81</v>
      </c>
      <c r="B646" s="944">
        <v>102.1</v>
      </c>
      <c r="C646" s="944" t="s">
        <v>93</v>
      </c>
      <c r="D646" s="943" t="s">
        <v>17</v>
      </c>
      <c r="E646" s="952">
        <v>163098</v>
      </c>
      <c r="F646" s="945">
        <v>35</v>
      </c>
      <c r="G646" s="946">
        <v>19</v>
      </c>
      <c r="H646" s="946">
        <v>17.12</v>
      </c>
    </row>
    <row r="647" spans="1:9" s="26" customFormat="1">
      <c r="A647" s="947" t="s">
        <v>81</v>
      </c>
      <c r="B647" s="948">
        <v>102.12</v>
      </c>
      <c r="C647" s="948" t="s">
        <v>93</v>
      </c>
      <c r="D647" s="947" t="s">
        <v>2</v>
      </c>
      <c r="E647" s="949">
        <v>2567</v>
      </c>
      <c r="F647" s="950">
        <v>8</v>
      </c>
      <c r="G647" s="951">
        <v>500</v>
      </c>
      <c r="H647" s="951">
        <v>498.47</v>
      </c>
      <c r="I647" s="18"/>
    </row>
    <row r="648" spans="1:9">
      <c r="A648" s="943" t="s">
        <v>81</v>
      </c>
      <c r="B648" s="944">
        <v>102.2</v>
      </c>
      <c r="C648" s="944" t="s">
        <v>93</v>
      </c>
      <c r="D648" s="943" t="s">
        <v>22</v>
      </c>
      <c r="E648" s="945">
        <v>20</v>
      </c>
      <c r="F648" s="945">
        <v>7</v>
      </c>
      <c r="G648" s="946">
        <v>15000</v>
      </c>
      <c r="H648" s="946">
        <v>15150</v>
      </c>
    </row>
    <row r="649" spans="1:9" s="26" customFormat="1">
      <c r="A649" s="947" t="s">
        <v>81</v>
      </c>
      <c r="B649" s="948">
        <v>102.3</v>
      </c>
      <c r="C649" s="948" t="s">
        <v>3995</v>
      </c>
      <c r="D649" s="947" t="s">
        <v>24</v>
      </c>
      <c r="E649" s="949">
        <v>1086</v>
      </c>
      <c r="F649" s="950">
        <v>14</v>
      </c>
      <c r="G649" s="951">
        <v>700</v>
      </c>
      <c r="H649" s="951">
        <v>695.76</v>
      </c>
      <c r="I649" s="18"/>
    </row>
    <row r="650" spans="1:9">
      <c r="A650" s="943" t="s">
        <v>81</v>
      </c>
      <c r="B650" s="944">
        <v>102.33</v>
      </c>
      <c r="C650" s="944" t="s">
        <v>1275</v>
      </c>
      <c r="D650" s="943" t="s">
        <v>24</v>
      </c>
      <c r="E650" s="945">
        <v>930</v>
      </c>
      <c r="F650" s="945">
        <v>15</v>
      </c>
      <c r="G650" s="946">
        <v>375</v>
      </c>
      <c r="H650" s="946">
        <v>363.32</v>
      </c>
    </row>
    <row r="651" spans="1:9" s="26" customFormat="1">
      <c r="A651" s="947" t="s">
        <v>81</v>
      </c>
      <c r="B651" s="948">
        <v>102.511</v>
      </c>
      <c r="C651" s="948" t="s">
        <v>4029</v>
      </c>
      <c r="D651" s="947" t="s">
        <v>2</v>
      </c>
      <c r="E651" s="949">
        <v>3488</v>
      </c>
      <c r="F651" s="950">
        <v>38</v>
      </c>
      <c r="G651" s="951">
        <v>450</v>
      </c>
      <c r="H651" s="951">
        <v>438.23</v>
      </c>
      <c r="I651" s="18"/>
    </row>
    <row r="652" spans="1:9">
      <c r="A652" s="943" t="s">
        <v>81</v>
      </c>
      <c r="B652" s="944">
        <v>102.521</v>
      </c>
      <c r="C652" s="944" t="s">
        <v>1276</v>
      </c>
      <c r="D652" s="943" t="s">
        <v>17</v>
      </c>
      <c r="E652" s="952">
        <v>72336</v>
      </c>
      <c r="F652" s="945">
        <v>38</v>
      </c>
      <c r="G652" s="946">
        <v>12</v>
      </c>
      <c r="H652" s="946">
        <v>12.36</v>
      </c>
    </row>
    <row r="653" spans="1:9" s="26" customFormat="1">
      <c r="A653" s="947" t="s">
        <v>81</v>
      </c>
      <c r="B653" s="948">
        <v>102.52200000000001</v>
      </c>
      <c r="C653" s="948" t="s">
        <v>1952</v>
      </c>
      <c r="D653" s="947" t="s">
        <v>17</v>
      </c>
      <c r="E653" s="949">
        <v>6290</v>
      </c>
      <c r="F653" s="950">
        <v>3</v>
      </c>
      <c r="G653" s="951">
        <v>31</v>
      </c>
      <c r="H653" s="951">
        <v>30.3</v>
      </c>
      <c r="I653" s="18"/>
    </row>
    <row r="654" spans="1:9">
      <c r="A654" s="943" t="s">
        <v>81</v>
      </c>
      <c r="B654" s="944">
        <v>102.55</v>
      </c>
      <c r="C654" s="944" t="s">
        <v>1277</v>
      </c>
      <c r="D654" s="943" t="s">
        <v>24</v>
      </c>
      <c r="E654" s="952">
        <v>4740</v>
      </c>
      <c r="F654" s="945">
        <v>24</v>
      </c>
      <c r="G654" s="946">
        <v>275</v>
      </c>
      <c r="H654" s="946">
        <v>253.72</v>
      </c>
    </row>
    <row r="655" spans="1:9" s="26" customFormat="1">
      <c r="A655" s="947" t="s">
        <v>81</v>
      </c>
      <c r="B655" s="948">
        <v>103</v>
      </c>
      <c r="C655" s="948" t="s">
        <v>35</v>
      </c>
      <c r="D655" s="947" t="s">
        <v>2</v>
      </c>
      <c r="E655" s="949">
        <v>1598</v>
      </c>
      <c r="F655" s="950">
        <v>35</v>
      </c>
      <c r="G655" s="951">
        <v>2000</v>
      </c>
      <c r="H655" s="951">
        <v>2006.42</v>
      </c>
      <c r="I655" s="18"/>
    </row>
    <row r="656" spans="1:9">
      <c r="A656" s="943" t="s">
        <v>81</v>
      </c>
      <c r="B656" s="944">
        <v>104</v>
      </c>
      <c r="C656" s="944" t="s">
        <v>94</v>
      </c>
      <c r="D656" s="943" t="s">
        <v>2</v>
      </c>
      <c r="E656" s="945">
        <v>621</v>
      </c>
      <c r="F656" s="945">
        <v>32</v>
      </c>
      <c r="G656" s="946">
        <v>3895</v>
      </c>
      <c r="H656" s="946">
        <v>3764.84</v>
      </c>
    </row>
    <row r="657" spans="1:9" s="26" customFormat="1">
      <c r="A657" s="947" t="s">
        <v>81</v>
      </c>
      <c r="B657" s="948">
        <v>105</v>
      </c>
      <c r="C657" s="948" t="s">
        <v>95</v>
      </c>
      <c r="D657" s="947" t="s">
        <v>2</v>
      </c>
      <c r="E657" s="950">
        <v>296</v>
      </c>
      <c r="F657" s="950">
        <v>18</v>
      </c>
      <c r="G657" s="951">
        <v>757.5</v>
      </c>
      <c r="H657" s="951">
        <v>729.45</v>
      </c>
      <c r="I657" s="18"/>
    </row>
    <row r="658" spans="1:9">
      <c r="A658" s="943" t="s">
        <v>81</v>
      </c>
      <c r="B658" s="944">
        <v>106.101</v>
      </c>
      <c r="C658" s="944" t="s">
        <v>1955</v>
      </c>
      <c r="D658" s="943" t="s">
        <v>2</v>
      </c>
      <c r="E658" s="945">
        <v>20</v>
      </c>
      <c r="F658" s="945">
        <v>1</v>
      </c>
      <c r="G658" s="946">
        <v>5000</v>
      </c>
      <c r="H658" s="946">
        <v>4827.5</v>
      </c>
    </row>
    <row r="659" spans="1:9" s="26" customFormat="1">
      <c r="A659" s="947" t="s">
        <v>81</v>
      </c>
      <c r="B659" s="948">
        <v>106.12</v>
      </c>
      <c r="C659" s="948" t="s">
        <v>96</v>
      </c>
      <c r="D659" s="947" t="s">
        <v>17</v>
      </c>
      <c r="E659" s="949">
        <v>3018</v>
      </c>
      <c r="F659" s="950">
        <v>9</v>
      </c>
      <c r="G659" s="951">
        <v>112.5</v>
      </c>
      <c r="H659" s="951">
        <v>115.63</v>
      </c>
      <c r="I659" s="18"/>
    </row>
    <row r="660" spans="1:9">
      <c r="A660" s="943" t="s">
        <v>81</v>
      </c>
      <c r="B660" s="944">
        <v>106.14</v>
      </c>
      <c r="C660" s="944" t="s">
        <v>1958</v>
      </c>
      <c r="D660" s="943" t="s">
        <v>2</v>
      </c>
      <c r="E660" s="945">
        <v>6</v>
      </c>
      <c r="F660" s="945">
        <v>1</v>
      </c>
      <c r="G660" s="946">
        <v>12000</v>
      </c>
      <c r="H660" s="946">
        <v>13633.33</v>
      </c>
    </row>
    <row r="661" spans="1:9" s="26" customFormat="1">
      <c r="A661" s="947" t="s">
        <v>81</v>
      </c>
      <c r="B661" s="948">
        <v>106.15</v>
      </c>
      <c r="C661" s="948" t="s">
        <v>97</v>
      </c>
      <c r="D661" s="947" t="s">
        <v>2</v>
      </c>
      <c r="E661" s="950">
        <v>97</v>
      </c>
      <c r="F661" s="950">
        <v>8</v>
      </c>
      <c r="G661" s="951">
        <v>1650</v>
      </c>
      <c r="H661" s="951">
        <v>2147.33</v>
      </c>
      <c r="I661" s="18"/>
    </row>
    <row r="662" spans="1:9">
      <c r="A662" s="943" t="s">
        <v>81</v>
      </c>
      <c r="B662" s="944">
        <v>106.301</v>
      </c>
      <c r="C662" s="944" t="s">
        <v>1962</v>
      </c>
      <c r="D662" s="943" t="s">
        <v>22</v>
      </c>
      <c r="E662" s="945">
        <v>5</v>
      </c>
      <c r="F662" s="945">
        <v>1</v>
      </c>
      <c r="G662" s="946">
        <v>66062625</v>
      </c>
      <c r="H662" s="946">
        <v>64366725</v>
      </c>
    </row>
    <row r="663" spans="1:9" s="26" customFormat="1">
      <c r="A663" s="947" t="s">
        <v>81</v>
      </c>
      <c r="B663" s="948">
        <v>106.30200000000001</v>
      </c>
      <c r="C663" s="948" t="s">
        <v>1962</v>
      </c>
      <c r="D663" s="947" t="s">
        <v>3</v>
      </c>
      <c r="E663" s="949">
        <v>6000</v>
      </c>
      <c r="F663" s="950">
        <v>1</v>
      </c>
      <c r="G663" s="951">
        <v>170</v>
      </c>
      <c r="H663" s="951">
        <v>146.66999999999999</v>
      </c>
      <c r="I663" s="18"/>
    </row>
    <row r="664" spans="1:9">
      <c r="A664" s="943" t="s">
        <v>81</v>
      </c>
      <c r="B664" s="944">
        <v>106.49</v>
      </c>
      <c r="C664" s="944" t="s">
        <v>1968</v>
      </c>
      <c r="D664" s="943" t="s">
        <v>17</v>
      </c>
      <c r="E664" s="945">
        <v>200</v>
      </c>
      <c r="F664" s="945">
        <v>1</v>
      </c>
      <c r="G664" s="946">
        <v>600</v>
      </c>
      <c r="H664" s="946">
        <v>620</v>
      </c>
    </row>
    <row r="665" spans="1:9" s="26" customFormat="1">
      <c r="A665" s="947" t="s">
        <v>81</v>
      </c>
      <c r="B665" s="948">
        <v>106.88</v>
      </c>
      <c r="C665" s="948" t="s">
        <v>98</v>
      </c>
      <c r="D665" s="947" t="s">
        <v>2</v>
      </c>
      <c r="E665" s="950">
        <v>665</v>
      </c>
      <c r="F665" s="950">
        <v>15</v>
      </c>
      <c r="G665" s="951">
        <v>11500</v>
      </c>
      <c r="H665" s="951">
        <v>11366.28</v>
      </c>
      <c r="I665" s="18"/>
    </row>
    <row r="666" spans="1:9">
      <c r="A666" s="943" t="s">
        <v>81</v>
      </c>
      <c r="B666" s="944">
        <v>107.02</v>
      </c>
      <c r="C666" s="944" t="s">
        <v>99</v>
      </c>
      <c r="D666" s="943" t="s">
        <v>100</v>
      </c>
      <c r="E666" s="952">
        <v>56000</v>
      </c>
      <c r="F666" s="945">
        <v>3</v>
      </c>
      <c r="G666" s="946">
        <v>5</v>
      </c>
      <c r="H666" s="946">
        <v>5</v>
      </c>
    </row>
    <row r="667" spans="1:9" s="26" customFormat="1">
      <c r="A667" s="947" t="s">
        <v>81</v>
      </c>
      <c r="B667" s="948">
        <v>107.18</v>
      </c>
      <c r="C667" s="948" t="s">
        <v>1978</v>
      </c>
      <c r="D667" s="947" t="s">
        <v>100</v>
      </c>
      <c r="E667" s="949">
        <v>4302</v>
      </c>
      <c r="F667" s="950">
        <v>1</v>
      </c>
      <c r="G667" s="951">
        <v>50</v>
      </c>
      <c r="H667" s="951">
        <v>48.37</v>
      </c>
      <c r="I667" s="18"/>
    </row>
    <row r="668" spans="1:9">
      <c r="A668" s="943" t="s">
        <v>81</v>
      </c>
      <c r="B668" s="944">
        <v>107.48</v>
      </c>
      <c r="C668" s="944" t="s">
        <v>101</v>
      </c>
      <c r="D668" s="943" t="s">
        <v>17</v>
      </c>
      <c r="E668" s="945">
        <v>160</v>
      </c>
      <c r="F668" s="945">
        <v>1</v>
      </c>
      <c r="G668" s="946">
        <v>50</v>
      </c>
      <c r="H668" s="946">
        <v>45.5</v>
      </c>
    </row>
    <row r="669" spans="1:9" s="26" customFormat="1">
      <c r="A669" s="947" t="s">
        <v>81</v>
      </c>
      <c r="B669" s="948">
        <v>107.855</v>
      </c>
      <c r="C669" s="948" t="s">
        <v>102</v>
      </c>
      <c r="D669" s="947" t="s">
        <v>17</v>
      </c>
      <c r="E669" s="949">
        <v>11076</v>
      </c>
      <c r="F669" s="950">
        <v>11</v>
      </c>
      <c r="G669" s="951">
        <v>100</v>
      </c>
      <c r="H669" s="951">
        <v>91.26</v>
      </c>
      <c r="I669" s="18"/>
    </row>
    <row r="670" spans="1:9">
      <c r="A670" s="943" t="s">
        <v>81</v>
      </c>
      <c r="B670" s="944">
        <v>107.97</v>
      </c>
      <c r="C670" s="944" t="s">
        <v>103</v>
      </c>
      <c r="D670" s="943" t="s">
        <v>100</v>
      </c>
      <c r="E670" s="952">
        <v>279235</v>
      </c>
      <c r="F670" s="945">
        <v>10</v>
      </c>
      <c r="G670" s="946">
        <v>57.63</v>
      </c>
      <c r="H670" s="946">
        <v>60.27</v>
      </c>
    </row>
    <row r="671" spans="1:9" s="26" customFormat="1">
      <c r="A671" s="947" t="s">
        <v>81</v>
      </c>
      <c r="B671" s="948">
        <v>112.1</v>
      </c>
      <c r="C671" s="948" t="s">
        <v>4030</v>
      </c>
      <c r="D671" s="947" t="s">
        <v>22</v>
      </c>
      <c r="E671" s="950">
        <v>6</v>
      </c>
      <c r="F671" s="950">
        <v>1</v>
      </c>
      <c r="G671" s="951">
        <v>33500</v>
      </c>
      <c r="H671" s="951">
        <v>35416.67</v>
      </c>
      <c r="I671" s="18"/>
    </row>
    <row r="672" spans="1:9">
      <c r="A672" s="943" t="s">
        <v>81</v>
      </c>
      <c r="B672" s="944">
        <v>114.1</v>
      </c>
      <c r="C672" s="944" t="s">
        <v>104</v>
      </c>
      <c r="D672" s="943" t="s">
        <v>22</v>
      </c>
      <c r="E672" s="945">
        <v>47</v>
      </c>
      <c r="F672" s="945">
        <v>10</v>
      </c>
      <c r="G672" s="946">
        <v>125000</v>
      </c>
      <c r="H672" s="946">
        <v>112110.96</v>
      </c>
    </row>
    <row r="673" spans="1:9" s="26" customFormat="1">
      <c r="A673" s="947" t="s">
        <v>81</v>
      </c>
      <c r="B673" s="948">
        <v>114.2</v>
      </c>
      <c r="C673" s="948" t="s">
        <v>104</v>
      </c>
      <c r="D673" s="947" t="s">
        <v>22</v>
      </c>
      <c r="E673" s="950">
        <v>5</v>
      </c>
      <c r="F673" s="950">
        <v>1</v>
      </c>
      <c r="G673" s="951">
        <v>100000</v>
      </c>
      <c r="H673" s="951">
        <v>110200</v>
      </c>
      <c r="I673" s="18"/>
    </row>
    <row r="674" spans="1:9">
      <c r="A674" s="943" t="s">
        <v>81</v>
      </c>
      <c r="B674" s="944">
        <v>115.1</v>
      </c>
      <c r="C674" s="944" t="s">
        <v>105</v>
      </c>
      <c r="D674" s="943" t="s">
        <v>22</v>
      </c>
      <c r="E674" s="945">
        <v>3</v>
      </c>
      <c r="F674" s="945">
        <v>2</v>
      </c>
      <c r="G674" s="946">
        <v>450000</v>
      </c>
      <c r="H674" s="946">
        <v>383333.33</v>
      </c>
    </row>
    <row r="675" spans="1:9" s="26" customFormat="1">
      <c r="A675" s="947" t="s">
        <v>81</v>
      </c>
      <c r="B675" s="948">
        <v>115.3</v>
      </c>
      <c r="C675" s="948" t="s">
        <v>105</v>
      </c>
      <c r="D675" s="947" t="s">
        <v>22</v>
      </c>
      <c r="E675" s="950">
        <v>3</v>
      </c>
      <c r="F675" s="950">
        <v>1</v>
      </c>
      <c r="G675" s="951">
        <v>1700000</v>
      </c>
      <c r="H675" s="951">
        <v>1633333.33</v>
      </c>
      <c r="I675" s="18"/>
    </row>
    <row r="676" spans="1:9">
      <c r="A676" s="943" t="s">
        <v>81</v>
      </c>
      <c r="B676" s="944">
        <v>119</v>
      </c>
      <c r="C676" s="944" t="s">
        <v>106</v>
      </c>
      <c r="D676" s="943" t="s">
        <v>22</v>
      </c>
      <c r="E676" s="945">
        <v>16</v>
      </c>
      <c r="F676" s="945">
        <v>6</v>
      </c>
      <c r="G676" s="946">
        <v>20000</v>
      </c>
      <c r="H676" s="946">
        <v>20378.13</v>
      </c>
    </row>
    <row r="677" spans="1:9" s="26" customFormat="1">
      <c r="A677" s="947" t="s">
        <v>81</v>
      </c>
      <c r="B677" s="948">
        <v>120</v>
      </c>
      <c r="C677" s="948" t="s">
        <v>107</v>
      </c>
      <c r="D677" s="947" t="s">
        <v>4</v>
      </c>
      <c r="E677" s="949">
        <v>1134348</v>
      </c>
      <c r="F677" s="950">
        <v>36</v>
      </c>
      <c r="G677" s="951">
        <v>45</v>
      </c>
      <c r="H677" s="951">
        <v>46.53</v>
      </c>
      <c r="I677" s="18"/>
    </row>
    <row r="678" spans="1:9">
      <c r="A678" s="943" t="s">
        <v>81</v>
      </c>
      <c r="B678" s="944">
        <v>120.1</v>
      </c>
      <c r="C678" s="944" t="s">
        <v>19</v>
      </c>
      <c r="D678" s="943" t="s">
        <v>4</v>
      </c>
      <c r="E678" s="952">
        <v>517996</v>
      </c>
      <c r="F678" s="945">
        <v>55</v>
      </c>
      <c r="G678" s="946">
        <v>65</v>
      </c>
      <c r="H678" s="946">
        <v>62.76</v>
      </c>
    </row>
    <row r="679" spans="1:9" s="26" customFormat="1">
      <c r="A679" s="947" t="s">
        <v>81</v>
      </c>
      <c r="B679" s="948">
        <v>121</v>
      </c>
      <c r="C679" s="948" t="s">
        <v>108</v>
      </c>
      <c r="D679" s="947" t="s">
        <v>4</v>
      </c>
      <c r="E679" s="949">
        <v>39848</v>
      </c>
      <c r="F679" s="950">
        <v>31</v>
      </c>
      <c r="G679" s="951">
        <v>171</v>
      </c>
      <c r="H679" s="951">
        <v>178.14</v>
      </c>
      <c r="I679" s="18"/>
    </row>
    <row r="680" spans="1:9">
      <c r="A680" s="943" t="s">
        <v>81</v>
      </c>
      <c r="B680" s="944">
        <v>122</v>
      </c>
      <c r="C680" s="944" t="s">
        <v>2012</v>
      </c>
      <c r="D680" s="943" t="s">
        <v>1</v>
      </c>
      <c r="E680" s="952">
        <v>4440</v>
      </c>
      <c r="F680" s="945">
        <v>1</v>
      </c>
      <c r="G680" s="946">
        <v>120</v>
      </c>
      <c r="H680" s="946">
        <v>115</v>
      </c>
    </row>
    <row r="681" spans="1:9" s="26" customFormat="1">
      <c r="A681" s="947" t="s">
        <v>81</v>
      </c>
      <c r="B681" s="948">
        <v>123</v>
      </c>
      <c r="C681" s="948" t="s">
        <v>109</v>
      </c>
      <c r="D681" s="947" t="s">
        <v>4</v>
      </c>
      <c r="E681" s="949">
        <v>4360</v>
      </c>
      <c r="F681" s="950">
        <v>5</v>
      </c>
      <c r="G681" s="951">
        <v>83.5</v>
      </c>
      <c r="H681" s="951">
        <v>80.59</v>
      </c>
      <c r="I681" s="18"/>
    </row>
    <row r="682" spans="1:9">
      <c r="A682" s="943" t="s">
        <v>81</v>
      </c>
      <c r="B682" s="944">
        <v>127</v>
      </c>
      <c r="C682" s="944" t="s">
        <v>111</v>
      </c>
      <c r="D682" s="943" t="s">
        <v>4</v>
      </c>
      <c r="E682" s="952">
        <v>15370</v>
      </c>
      <c r="F682" s="945">
        <v>7</v>
      </c>
      <c r="G682" s="946">
        <v>249</v>
      </c>
      <c r="H682" s="946">
        <v>217.19</v>
      </c>
    </row>
    <row r="683" spans="1:9" s="26" customFormat="1">
      <c r="A683" s="947" t="s">
        <v>81</v>
      </c>
      <c r="B683" s="948">
        <v>127.1</v>
      </c>
      <c r="C683" s="948" t="s">
        <v>112</v>
      </c>
      <c r="D683" s="947" t="s">
        <v>4</v>
      </c>
      <c r="E683" s="949">
        <v>6177</v>
      </c>
      <c r="F683" s="950">
        <v>37</v>
      </c>
      <c r="G683" s="951">
        <v>2087</v>
      </c>
      <c r="H683" s="951">
        <v>2425.13</v>
      </c>
      <c r="I683" s="18"/>
    </row>
    <row r="684" spans="1:9">
      <c r="A684" s="943" t="s">
        <v>81</v>
      </c>
      <c r="B684" s="944">
        <v>127.4</v>
      </c>
      <c r="C684" s="944" t="s">
        <v>113</v>
      </c>
      <c r="D684" s="943" t="s">
        <v>1</v>
      </c>
      <c r="E684" s="952">
        <v>21649</v>
      </c>
      <c r="F684" s="945">
        <v>24</v>
      </c>
      <c r="G684" s="946">
        <v>1200</v>
      </c>
      <c r="H684" s="946">
        <v>1192.8499999999999</v>
      </c>
    </row>
    <row r="685" spans="1:9" s="26" customFormat="1">
      <c r="A685" s="947" t="s">
        <v>81</v>
      </c>
      <c r="B685" s="948">
        <v>127.41</v>
      </c>
      <c r="C685" s="948" t="s">
        <v>114</v>
      </c>
      <c r="D685" s="947" t="s">
        <v>4</v>
      </c>
      <c r="E685" s="949">
        <v>5680</v>
      </c>
      <c r="F685" s="950">
        <v>23</v>
      </c>
      <c r="G685" s="951">
        <v>4015</v>
      </c>
      <c r="H685" s="951">
        <v>4172.08</v>
      </c>
      <c r="I685" s="18"/>
    </row>
    <row r="686" spans="1:9">
      <c r="A686" s="943" t="s">
        <v>81</v>
      </c>
      <c r="B686" s="944">
        <v>129.19999999999999</v>
      </c>
      <c r="C686" s="944" t="s">
        <v>115</v>
      </c>
      <c r="D686" s="943" t="s">
        <v>1</v>
      </c>
      <c r="E686" s="952">
        <v>94100</v>
      </c>
      <c r="F686" s="945">
        <v>2</v>
      </c>
      <c r="G686" s="946">
        <v>10</v>
      </c>
      <c r="H686" s="946">
        <v>9.5399999999999991</v>
      </c>
    </row>
    <row r="687" spans="1:9" s="26" customFormat="1">
      <c r="A687" s="947" t="s">
        <v>81</v>
      </c>
      <c r="B687" s="948">
        <v>129.30000000000001</v>
      </c>
      <c r="C687" s="948" t="s">
        <v>115</v>
      </c>
      <c r="D687" s="947" t="s">
        <v>4</v>
      </c>
      <c r="E687" s="949">
        <v>3325</v>
      </c>
      <c r="F687" s="950">
        <v>2</v>
      </c>
      <c r="G687" s="951">
        <v>56</v>
      </c>
      <c r="H687" s="951">
        <v>58</v>
      </c>
      <c r="I687" s="18"/>
    </row>
    <row r="688" spans="1:9">
      <c r="A688" s="943" t="s">
        <v>81</v>
      </c>
      <c r="B688" s="944">
        <v>129.5</v>
      </c>
      <c r="C688" s="944" t="s">
        <v>116</v>
      </c>
      <c r="D688" s="943" t="s">
        <v>17</v>
      </c>
      <c r="E688" s="952">
        <v>22980</v>
      </c>
      <c r="F688" s="945">
        <v>1</v>
      </c>
      <c r="G688" s="946">
        <v>25.25</v>
      </c>
      <c r="H688" s="946">
        <v>24.08</v>
      </c>
    </row>
    <row r="689" spans="1:9" s="26" customFormat="1">
      <c r="A689" s="947" t="s">
        <v>81</v>
      </c>
      <c r="B689" s="948">
        <v>129.6</v>
      </c>
      <c r="C689" s="948" t="s">
        <v>117</v>
      </c>
      <c r="D689" s="947" t="s">
        <v>1</v>
      </c>
      <c r="E689" s="949">
        <v>55958</v>
      </c>
      <c r="F689" s="950">
        <v>17</v>
      </c>
      <c r="G689" s="951">
        <v>43.5</v>
      </c>
      <c r="H689" s="951">
        <v>42.31</v>
      </c>
      <c r="I689" s="18"/>
    </row>
    <row r="690" spans="1:9">
      <c r="A690" s="943" t="s">
        <v>81</v>
      </c>
      <c r="B690" s="944">
        <v>140</v>
      </c>
      <c r="C690" s="944" t="s">
        <v>118</v>
      </c>
      <c r="D690" s="943" t="s">
        <v>4</v>
      </c>
      <c r="E690" s="952">
        <v>74805</v>
      </c>
      <c r="F690" s="945">
        <v>18</v>
      </c>
      <c r="G690" s="946">
        <v>69</v>
      </c>
      <c r="H690" s="946">
        <v>64.790000000000006</v>
      </c>
    </row>
    <row r="691" spans="1:9" s="26" customFormat="1">
      <c r="A691" s="947" t="s">
        <v>81</v>
      </c>
      <c r="B691" s="948">
        <v>140.1</v>
      </c>
      <c r="C691" s="948" t="s">
        <v>119</v>
      </c>
      <c r="D691" s="947" t="s">
        <v>4</v>
      </c>
      <c r="E691" s="949">
        <v>4450</v>
      </c>
      <c r="F691" s="950">
        <v>2</v>
      </c>
      <c r="G691" s="951">
        <v>68.5</v>
      </c>
      <c r="H691" s="951">
        <v>68.290000000000006</v>
      </c>
      <c r="I691" s="18"/>
    </row>
    <row r="692" spans="1:9">
      <c r="A692" s="943" t="s">
        <v>81</v>
      </c>
      <c r="B692" s="944">
        <v>141</v>
      </c>
      <c r="C692" s="944" t="s">
        <v>120</v>
      </c>
      <c r="D692" s="943" t="s">
        <v>4</v>
      </c>
      <c r="E692" s="952">
        <v>49713</v>
      </c>
      <c r="F692" s="945">
        <v>43</v>
      </c>
      <c r="G692" s="946">
        <v>60</v>
      </c>
      <c r="H692" s="946">
        <v>58.63</v>
      </c>
    </row>
    <row r="693" spans="1:9" s="26" customFormat="1">
      <c r="A693" s="947" t="s">
        <v>81</v>
      </c>
      <c r="B693" s="948">
        <v>141.1</v>
      </c>
      <c r="C693" s="948" t="s">
        <v>121</v>
      </c>
      <c r="D693" s="947" t="s">
        <v>4</v>
      </c>
      <c r="E693" s="949">
        <v>30750</v>
      </c>
      <c r="F693" s="950">
        <v>66</v>
      </c>
      <c r="G693" s="951">
        <v>125.5</v>
      </c>
      <c r="H693" s="951">
        <v>131.31</v>
      </c>
      <c r="I693" s="18"/>
    </row>
    <row r="694" spans="1:9">
      <c r="A694" s="943" t="s">
        <v>81</v>
      </c>
      <c r="B694" s="944">
        <v>142</v>
      </c>
      <c r="C694" s="944" t="s">
        <v>122</v>
      </c>
      <c r="D694" s="943" t="s">
        <v>4</v>
      </c>
      <c r="E694" s="952">
        <v>45275</v>
      </c>
      <c r="F694" s="945">
        <v>43</v>
      </c>
      <c r="G694" s="946">
        <v>45</v>
      </c>
      <c r="H694" s="946">
        <v>45.77</v>
      </c>
    </row>
    <row r="695" spans="1:9" s="26" customFormat="1">
      <c r="A695" s="947" t="s">
        <v>81</v>
      </c>
      <c r="B695" s="948">
        <v>143</v>
      </c>
      <c r="C695" s="948" t="s">
        <v>123</v>
      </c>
      <c r="D695" s="947" t="s">
        <v>4</v>
      </c>
      <c r="E695" s="949">
        <v>2590</v>
      </c>
      <c r="F695" s="950">
        <v>5</v>
      </c>
      <c r="G695" s="951">
        <v>82.5</v>
      </c>
      <c r="H695" s="951">
        <v>104.05</v>
      </c>
      <c r="I695" s="18"/>
    </row>
    <row r="696" spans="1:9">
      <c r="A696" s="943" t="s">
        <v>81</v>
      </c>
      <c r="B696" s="944">
        <v>144</v>
      </c>
      <c r="C696" s="944" t="s">
        <v>124</v>
      </c>
      <c r="D696" s="943" t="s">
        <v>4</v>
      </c>
      <c r="E696" s="953">
        <v>20792.5</v>
      </c>
      <c r="F696" s="945">
        <v>68</v>
      </c>
      <c r="G696" s="946">
        <v>225</v>
      </c>
      <c r="H696" s="946">
        <v>225.16</v>
      </c>
    </row>
    <row r="697" spans="1:9" s="26" customFormat="1">
      <c r="A697" s="947" t="s">
        <v>81</v>
      </c>
      <c r="B697" s="948">
        <v>145</v>
      </c>
      <c r="C697" s="948" t="s">
        <v>125</v>
      </c>
      <c r="D697" s="947" t="s">
        <v>2</v>
      </c>
      <c r="E697" s="950">
        <v>221</v>
      </c>
      <c r="F697" s="950">
        <v>12</v>
      </c>
      <c r="G697" s="951">
        <v>980</v>
      </c>
      <c r="H697" s="951">
        <v>865.83</v>
      </c>
      <c r="I697" s="18"/>
    </row>
    <row r="698" spans="1:9">
      <c r="A698" s="943" t="s">
        <v>81</v>
      </c>
      <c r="B698" s="944">
        <v>146</v>
      </c>
      <c r="C698" s="944" t="s">
        <v>126</v>
      </c>
      <c r="D698" s="943" t="s">
        <v>2</v>
      </c>
      <c r="E698" s="952">
        <v>2789</v>
      </c>
      <c r="F698" s="945">
        <v>42</v>
      </c>
      <c r="G698" s="946">
        <v>985</v>
      </c>
      <c r="H698" s="946">
        <v>911.25</v>
      </c>
    </row>
    <row r="699" spans="1:9" s="26" customFormat="1">
      <c r="A699" s="947" t="s">
        <v>81</v>
      </c>
      <c r="B699" s="948">
        <v>149.19999999999999</v>
      </c>
      <c r="C699" s="948" t="s">
        <v>1284</v>
      </c>
      <c r="D699" s="947" t="s">
        <v>22</v>
      </c>
      <c r="E699" s="950">
        <v>9</v>
      </c>
      <c r="F699" s="950">
        <v>4</v>
      </c>
      <c r="G699" s="951">
        <v>100000</v>
      </c>
      <c r="H699" s="951">
        <v>91777.78</v>
      </c>
      <c r="I699" s="18"/>
    </row>
    <row r="700" spans="1:9">
      <c r="A700" s="943" t="s">
        <v>81</v>
      </c>
      <c r="B700" s="944">
        <v>150</v>
      </c>
      <c r="C700" s="944" t="s">
        <v>128</v>
      </c>
      <c r="D700" s="943" t="s">
        <v>4</v>
      </c>
      <c r="E700" s="952">
        <v>71638</v>
      </c>
      <c r="F700" s="945">
        <v>34</v>
      </c>
      <c r="G700" s="946">
        <v>50</v>
      </c>
      <c r="H700" s="946">
        <v>49.21</v>
      </c>
    </row>
    <row r="701" spans="1:9" s="26" customFormat="1">
      <c r="A701" s="947" t="s">
        <v>81</v>
      </c>
      <c r="B701" s="948">
        <v>150.1</v>
      </c>
      <c r="C701" s="948" t="s">
        <v>129</v>
      </c>
      <c r="D701" s="947" t="s">
        <v>4</v>
      </c>
      <c r="E701" s="949">
        <v>61203</v>
      </c>
      <c r="F701" s="950">
        <v>17</v>
      </c>
      <c r="G701" s="951">
        <v>60</v>
      </c>
      <c r="H701" s="951">
        <v>58.97</v>
      </c>
      <c r="I701" s="18"/>
    </row>
    <row r="702" spans="1:9">
      <c r="A702" s="943" t="s">
        <v>81</v>
      </c>
      <c r="B702" s="944">
        <v>151</v>
      </c>
      <c r="C702" s="944" t="s">
        <v>5</v>
      </c>
      <c r="D702" s="943" t="s">
        <v>4</v>
      </c>
      <c r="E702" s="952">
        <v>817010</v>
      </c>
      <c r="F702" s="945">
        <v>80</v>
      </c>
      <c r="G702" s="946">
        <v>59</v>
      </c>
      <c r="H702" s="946">
        <v>58.01</v>
      </c>
    </row>
    <row r="703" spans="1:9" s="26" customFormat="1">
      <c r="A703" s="947" t="s">
        <v>81</v>
      </c>
      <c r="B703" s="948">
        <v>151.01</v>
      </c>
      <c r="C703" s="948" t="s">
        <v>130</v>
      </c>
      <c r="D703" s="947" t="s">
        <v>4</v>
      </c>
      <c r="E703" s="949">
        <v>53652</v>
      </c>
      <c r="F703" s="950">
        <v>25</v>
      </c>
      <c r="G703" s="951">
        <v>70</v>
      </c>
      <c r="H703" s="951">
        <v>72.12</v>
      </c>
      <c r="I703" s="18"/>
    </row>
    <row r="704" spans="1:9">
      <c r="A704" s="943" t="s">
        <v>81</v>
      </c>
      <c r="B704" s="944">
        <v>151.1</v>
      </c>
      <c r="C704" s="944" t="s">
        <v>131</v>
      </c>
      <c r="D704" s="943" t="s">
        <v>4</v>
      </c>
      <c r="E704" s="952">
        <v>10630</v>
      </c>
      <c r="F704" s="945">
        <v>9</v>
      </c>
      <c r="G704" s="946">
        <v>72</v>
      </c>
      <c r="H704" s="946">
        <v>70.11</v>
      </c>
    </row>
    <row r="705" spans="1:9" s="26" customFormat="1">
      <c r="A705" s="947" t="s">
        <v>81</v>
      </c>
      <c r="B705" s="948">
        <v>151.19999999999999</v>
      </c>
      <c r="C705" s="948" t="s">
        <v>52</v>
      </c>
      <c r="D705" s="947" t="s">
        <v>4</v>
      </c>
      <c r="E705" s="949">
        <v>116371</v>
      </c>
      <c r="F705" s="950">
        <v>37</v>
      </c>
      <c r="G705" s="951">
        <v>65</v>
      </c>
      <c r="H705" s="951">
        <v>63.51</v>
      </c>
      <c r="I705" s="18"/>
    </row>
    <row r="706" spans="1:9">
      <c r="A706" s="943" t="s">
        <v>81</v>
      </c>
      <c r="B706" s="944">
        <v>152</v>
      </c>
      <c r="C706" s="944" t="s">
        <v>132</v>
      </c>
      <c r="D706" s="943" t="s">
        <v>4</v>
      </c>
      <c r="E706" s="945">
        <v>90</v>
      </c>
      <c r="F706" s="945">
        <v>1</v>
      </c>
      <c r="G706" s="946">
        <v>100</v>
      </c>
      <c r="H706" s="946">
        <v>102.44</v>
      </c>
    </row>
    <row r="707" spans="1:9" s="26" customFormat="1">
      <c r="A707" s="947" t="s">
        <v>81</v>
      </c>
      <c r="B707" s="948">
        <v>153</v>
      </c>
      <c r="C707" s="948" t="s">
        <v>134</v>
      </c>
      <c r="D707" s="947" t="s">
        <v>4</v>
      </c>
      <c r="E707" s="949">
        <v>4751</v>
      </c>
      <c r="F707" s="950">
        <v>25</v>
      </c>
      <c r="G707" s="951">
        <v>250</v>
      </c>
      <c r="H707" s="951">
        <v>244.54</v>
      </c>
      <c r="I707" s="18"/>
    </row>
    <row r="708" spans="1:9">
      <c r="A708" s="943" t="s">
        <v>81</v>
      </c>
      <c r="B708" s="944">
        <v>153.1</v>
      </c>
      <c r="C708" s="944" t="s">
        <v>135</v>
      </c>
      <c r="D708" s="943" t="s">
        <v>4</v>
      </c>
      <c r="E708" s="945">
        <v>749</v>
      </c>
      <c r="F708" s="945">
        <v>11</v>
      </c>
      <c r="G708" s="946">
        <v>400</v>
      </c>
      <c r="H708" s="946">
        <v>360.28</v>
      </c>
    </row>
    <row r="709" spans="1:9" s="26" customFormat="1">
      <c r="A709" s="947" t="s">
        <v>81</v>
      </c>
      <c r="B709" s="948">
        <v>154</v>
      </c>
      <c r="C709" s="948" t="s">
        <v>136</v>
      </c>
      <c r="D709" s="947" t="s">
        <v>4</v>
      </c>
      <c r="E709" s="949">
        <v>2570</v>
      </c>
      <c r="F709" s="950">
        <v>6</v>
      </c>
      <c r="G709" s="951">
        <v>69</v>
      </c>
      <c r="H709" s="951">
        <v>65.150000000000006</v>
      </c>
      <c r="I709" s="18"/>
    </row>
    <row r="710" spans="1:9">
      <c r="A710" s="943" t="s">
        <v>81</v>
      </c>
      <c r="B710" s="944">
        <v>156</v>
      </c>
      <c r="C710" s="944" t="s">
        <v>26</v>
      </c>
      <c r="D710" s="943" t="s">
        <v>7</v>
      </c>
      <c r="E710" s="952">
        <v>81113</v>
      </c>
      <c r="F710" s="945">
        <v>59</v>
      </c>
      <c r="G710" s="946">
        <v>64.349999999999994</v>
      </c>
      <c r="H710" s="946">
        <v>61.91</v>
      </c>
    </row>
    <row r="711" spans="1:9" s="26" customFormat="1">
      <c r="A711" s="947" t="s">
        <v>81</v>
      </c>
      <c r="B711" s="948">
        <v>156.1</v>
      </c>
      <c r="C711" s="948" t="s">
        <v>137</v>
      </c>
      <c r="D711" s="947" t="s">
        <v>7</v>
      </c>
      <c r="E711" s="949">
        <v>9420</v>
      </c>
      <c r="F711" s="950">
        <v>8</v>
      </c>
      <c r="G711" s="951">
        <v>75</v>
      </c>
      <c r="H711" s="951">
        <v>72.78</v>
      </c>
      <c r="I711" s="18"/>
    </row>
    <row r="712" spans="1:9">
      <c r="A712" s="943" t="s">
        <v>81</v>
      </c>
      <c r="B712" s="944">
        <v>156.19999999999999</v>
      </c>
      <c r="C712" s="944" t="s">
        <v>2034</v>
      </c>
      <c r="D712" s="943" t="s">
        <v>7</v>
      </c>
      <c r="E712" s="952">
        <v>1504</v>
      </c>
      <c r="F712" s="945">
        <v>2</v>
      </c>
      <c r="G712" s="946">
        <v>75</v>
      </c>
      <c r="H712" s="946">
        <v>73.5</v>
      </c>
    </row>
    <row r="713" spans="1:9" s="26" customFormat="1">
      <c r="A713" s="947" t="s">
        <v>81</v>
      </c>
      <c r="B713" s="948">
        <v>156.5</v>
      </c>
      <c r="C713" s="948" t="s">
        <v>138</v>
      </c>
      <c r="D713" s="947" t="s">
        <v>4</v>
      </c>
      <c r="E713" s="950">
        <v>845</v>
      </c>
      <c r="F713" s="950">
        <v>3</v>
      </c>
      <c r="G713" s="951">
        <v>100</v>
      </c>
      <c r="H713" s="951">
        <v>139.5</v>
      </c>
      <c r="I713" s="18"/>
    </row>
    <row r="714" spans="1:9">
      <c r="A714" s="943" t="s">
        <v>81</v>
      </c>
      <c r="B714" s="944">
        <v>156.80000000000001</v>
      </c>
      <c r="C714" s="944" t="s">
        <v>2037</v>
      </c>
      <c r="D714" s="943" t="s">
        <v>4</v>
      </c>
      <c r="E714" s="945">
        <v>40</v>
      </c>
      <c r="F714" s="945">
        <v>1</v>
      </c>
      <c r="G714" s="946">
        <v>195</v>
      </c>
      <c r="H714" s="946">
        <v>195</v>
      </c>
    </row>
    <row r="715" spans="1:9" s="26" customFormat="1">
      <c r="A715" s="947" t="s">
        <v>81</v>
      </c>
      <c r="B715" s="948">
        <v>157</v>
      </c>
      <c r="C715" s="948" t="s">
        <v>2039</v>
      </c>
      <c r="D715" s="947" t="s">
        <v>1</v>
      </c>
      <c r="E715" s="950">
        <v>60</v>
      </c>
      <c r="F715" s="950">
        <v>1</v>
      </c>
      <c r="G715" s="951">
        <v>95</v>
      </c>
      <c r="H715" s="951">
        <v>85.33</v>
      </c>
      <c r="I715" s="18"/>
    </row>
    <row r="716" spans="1:9">
      <c r="A716" s="943" t="s">
        <v>81</v>
      </c>
      <c r="B716" s="944">
        <v>157.1</v>
      </c>
      <c r="C716" s="944" t="s">
        <v>139</v>
      </c>
      <c r="D716" s="943" t="s">
        <v>4</v>
      </c>
      <c r="E716" s="945">
        <v>160</v>
      </c>
      <c r="F716" s="945">
        <v>1</v>
      </c>
      <c r="G716" s="946">
        <v>600</v>
      </c>
      <c r="H716" s="946">
        <v>593.5</v>
      </c>
    </row>
    <row r="717" spans="1:9" s="26" customFormat="1">
      <c r="A717" s="947" t="s">
        <v>81</v>
      </c>
      <c r="B717" s="948">
        <v>157.19999999999999</v>
      </c>
      <c r="C717" s="948" t="s">
        <v>140</v>
      </c>
      <c r="D717" s="947" t="s">
        <v>4</v>
      </c>
      <c r="E717" s="950">
        <v>160</v>
      </c>
      <c r="F717" s="950">
        <v>1</v>
      </c>
      <c r="G717" s="951">
        <v>600</v>
      </c>
      <c r="H717" s="951">
        <v>605</v>
      </c>
      <c r="I717" s="18"/>
    </row>
    <row r="718" spans="1:9">
      <c r="A718" s="943" t="s">
        <v>81</v>
      </c>
      <c r="B718" s="944">
        <v>170</v>
      </c>
      <c r="C718" s="944" t="s">
        <v>1287</v>
      </c>
      <c r="D718" s="943" t="s">
        <v>1</v>
      </c>
      <c r="E718" s="952">
        <v>2223560</v>
      </c>
      <c r="F718" s="945">
        <v>64</v>
      </c>
      <c r="G718" s="946">
        <v>10</v>
      </c>
      <c r="H718" s="946">
        <v>8.7899999999999991</v>
      </c>
    </row>
    <row r="719" spans="1:9" s="26" customFormat="1">
      <c r="A719" s="947">
        <v>3</v>
      </c>
      <c r="B719" s="948">
        <v>477.2</v>
      </c>
      <c r="C719" s="948" t="s">
        <v>1386</v>
      </c>
      <c r="D719" s="947" t="s">
        <v>17</v>
      </c>
      <c r="E719" s="949">
        <v>13000</v>
      </c>
      <c r="F719" s="950">
        <v>1</v>
      </c>
      <c r="G719" s="951">
        <v>3</v>
      </c>
      <c r="H719" s="951">
        <v>2.75</v>
      </c>
      <c r="I719" s="18"/>
    </row>
    <row r="720" spans="1:9">
      <c r="A720" s="943">
        <v>3</v>
      </c>
      <c r="B720" s="944">
        <v>480.2</v>
      </c>
      <c r="C720" s="944" t="s">
        <v>4002</v>
      </c>
      <c r="D720" s="943" t="s">
        <v>20</v>
      </c>
      <c r="E720" s="952">
        <v>155245</v>
      </c>
      <c r="F720" s="945">
        <v>5</v>
      </c>
      <c r="G720" s="946">
        <v>16.75</v>
      </c>
      <c r="H720" s="946">
        <v>16.899999999999999</v>
      </c>
    </row>
    <row r="721" spans="1:9" s="26" customFormat="1">
      <c r="A721" s="947">
        <v>3</v>
      </c>
      <c r="B721" s="948">
        <v>482.3</v>
      </c>
      <c r="C721" s="948" t="s">
        <v>319</v>
      </c>
      <c r="D721" s="947" t="s">
        <v>17</v>
      </c>
      <c r="E721" s="949">
        <v>1440</v>
      </c>
      <c r="F721" s="950">
        <v>2</v>
      </c>
      <c r="G721" s="951">
        <v>6</v>
      </c>
      <c r="H721" s="951">
        <v>5.5</v>
      </c>
      <c r="I721" s="18"/>
    </row>
    <row r="722" spans="1:9">
      <c r="A722" s="943">
        <v>3</v>
      </c>
      <c r="B722" s="944">
        <v>482.31</v>
      </c>
      <c r="C722" s="944" t="s">
        <v>4038</v>
      </c>
      <c r="D722" s="943" t="s">
        <v>17</v>
      </c>
      <c r="E722" s="952">
        <v>4137</v>
      </c>
      <c r="F722" s="945">
        <v>7</v>
      </c>
      <c r="G722" s="946">
        <v>44.5</v>
      </c>
      <c r="H722" s="946">
        <v>48.76</v>
      </c>
    </row>
    <row r="723" spans="1:9" s="26" customFormat="1">
      <c r="A723" s="947">
        <v>3</v>
      </c>
      <c r="B723" s="948">
        <v>482.4</v>
      </c>
      <c r="C723" s="948" t="s">
        <v>321</v>
      </c>
      <c r="D723" s="947" t="s">
        <v>17</v>
      </c>
      <c r="E723" s="950">
        <v>465</v>
      </c>
      <c r="F723" s="950">
        <v>2</v>
      </c>
      <c r="G723" s="951">
        <v>6.75</v>
      </c>
      <c r="H723" s="951">
        <v>6.25</v>
      </c>
      <c r="I723" s="18"/>
    </row>
    <row r="724" spans="1:9">
      <c r="A724" s="943">
        <v>3</v>
      </c>
      <c r="B724" s="944">
        <v>482.5</v>
      </c>
      <c r="C724" s="944" t="s">
        <v>43</v>
      </c>
      <c r="D724" s="943" t="s">
        <v>17</v>
      </c>
      <c r="E724" s="952">
        <v>10280</v>
      </c>
      <c r="F724" s="945">
        <v>2</v>
      </c>
      <c r="G724" s="946">
        <v>4</v>
      </c>
      <c r="H724" s="946">
        <v>3.65</v>
      </c>
    </row>
    <row r="725" spans="1:9" s="26" customFormat="1">
      <c r="A725" s="947">
        <v>3</v>
      </c>
      <c r="B725" s="948">
        <v>486.2</v>
      </c>
      <c r="C725" s="948" t="s">
        <v>4075</v>
      </c>
      <c r="D725" s="947" t="s">
        <v>1</v>
      </c>
      <c r="E725" s="949">
        <v>900258</v>
      </c>
      <c r="F725" s="950">
        <v>2</v>
      </c>
      <c r="G725" s="951">
        <v>10</v>
      </c>
      <c r="H725" s="951">
        <v>10.35</v>
      </c>
      <c r="I725" s="18"/>
    </row>
    <row r="726" spans="1:9">
      <c r="A726" s="943">
        <v>3</v>
      </c>
      <c r="B726" s="944">
        <v>503</v>
      </c>
      <c r="C726" s="944" t="s">
        <v>323</v>
      </c>
      <c r="D726" s="943" t="s">
        <v>17</v>
      </c>
      <c r="E726" s="952">
        <v>3195</v>
      </c>
      <c r="F726" s="945">
        <v>1</v>
      </c>
      <c r="G726" s="946">
        <v>91</v>
      </c>
      <c r="H726" s="946">
        <v>83.67</v>
      </c>
    </row>
    <row r="727" spans="1:9" s="26" customFormat="1">
      <c r="A727" s="947">
        <v>3</v>
      </c>
      <c r="B727" s="948">
        <v>503.1</v>
      </c>
      <c r="C727" s="948" t="s">
        <v>324</v>
      </c>
      <c r="D727" s="947" t="s">
        <v>17</v>
      </c>
      <c r="E727" s="950">
        <v>195</v>
      </c>
      <c r="F727" s="950">
        <v>1</v>
      </c>
      <c r="G727" s="951">
        <v>112</v>
      </c>
      <c r="H727" s="951">
        <v>117.33</v>
      </c>
      <c r="I727" s="18"/>
    </row>
    <row r="728" spans="1:9">
      <c r="A728" s="943">
        <v>3</v>
      </c>
      <c r="B728" s="944">
        <v>504</v>
      </c>
      <c r="C728" s="944" t="s">
        <v>325</v>
      </c>
      <c r="D728" s="943" t="s">
        <v>17</v>
      </c>
      <c r="E728" s="952">
        <v>3384</v>
      </c>
      <c r="F728" s="945">
        <v>4</v>
      </c>
      <c r="G728" s="946">
        <v>85</v>
      </c>
      <c r="H728" s="946">
        <v>84.23</v>
      </c>
    </row>
    <row r="729" spans="1:9" s="26" customFormat="1">
      <c r="A729" s="947">
        <v>3</v>
      </c>
      <c r="B729" s="948">
        <v>504.1</v>
      </c>
      <c r="C729" s="948" t="s">
        <v>326</v>
      </c>
      <c r="D729" s="947" t="s">
        <v>17</v>
      </c>
      <c r="E729" s="949">
        <v>1114</v>
      </c>
      <c r="F729" s="950">
        <v>2</v>
      </c>
      <c r="G729" s="951">
        <v>106</v>
      </c>
      <c r="H729" s="951">
        <v>96.89</v>
      </c>
      <c r="I729" s="18"/>
    </row>
    <row r="730" spans="1:9">
      <c r="A730" s="943">
        <v>3</v>
      </c>
      <c r="B730" s="944">
        <v>505</v>
      </c>
      <c r="C730" s="944" t="s">
        <v>328</v>
      </c>
      <c r="D730" s="943" t="s">
        <v>17</v>
      </c>
      <c r="E730" s="952">
        <v>3675</v>
      </c>
      <c r="F730" s="945">
        <v>3</v>
      </c>
      <c r="G730" s="946">
        <v>95</v>
      </c>
      <c r="H730" s="946">
        <v>93.57</v>
      </c>
    </row>
    <row r="731" spans="1:9" s="26" customFormat="1">
      <c r="A731" s="947">
        <v>3</v>
      </c>
      <c r="B731" s="948">
        <v>506</v>
      </c>
      <c r="C731" s="948" t="s">
        <v>40</v>
      </c>
      <c r="D731" s="947" t="s">
        <v>17</v>
      </c>
      <c r="E731" s="949">
        <v>187150</v>
      </c>
      <c r="F731" s="950">
        <v>4</v>
      </c>
      <c r="G731" s="951">
        <v>60</v>
      </c>
      <c r="H731" s="951">
        <v>63.29</v>
      </c>
      <c r="I731" s="18"/>
    </row>
    <row r="732" spans="1:9">
      <c r="A732" s="943">
        <v>3</v>
      </c>
      <c r="B732" s="944">
        <v>506.1</v>
      </c>
      <c r="C732" s="944" t="s">
        <v>41</v>
      </c>
      <c r="D732" s="943" t="s">
        <v>17</v>
      </c>
      <c r="E732" s="952">
        <v>31920</v>
      </c>
      <c r="F732" s="945">
        <v>4</v>
      </c>
      <c r="G732" s="946">
        <v>75</v>
      </c>
      <c r="H732" s="946">
        <v>77.62</v>
      </c>
    </row>
    <row r="733" spans="1:9" s="26" customFormat="1">
      <c r="A733" s="947">
        <v>3</v>
      </c>
      <c r="B733" s="948">
        <v>509</v>
      </c>
      <c r="C733" s="948" t="s">
        <v>1394</v>
      </c>
      <c r="D733" s="947" t="s">
        <v>17</v>
      </c>
      <c r="E733" s="949">
        <v>12276</v>
      </c>
      <c r="F733" s="950">
        <v>7</v>
      </c>
      <c r="G733" s="951">
        <v>75</v>
      </c>
      <c r="H733" s="951">
        <v>77.760000000000005</v>
      </c>
      <c r="I733" s="18"/>
    </row>
    <row r="734" spans="1:9">
      <c r="A734" s="943">
        <v>3</v>
      </c>
      <c r="B734" s="944">
        <v>509.1</v>
      </c>
      <c r="C734" s="944" t="s">
        <v>1395</v>
      </c>
      <c r="D734" s="943" t="s">
        <v>17</v>
      </c>
      <c r="E734" s="952">
        <v>19433</v>
      </c>
      <c r="F734" s="945">
        <v>7</v>
      </c>
      <c r="G734" s="946">
        <v>85</v>
      </c>
      <c r="H734" s="946">
        <v>92.18</v>
      </c>
    </row>
    <row r="735" spans="1:9" s="26" customFormat="1">
      <c r="A735" s="947">
        <v>3</v>
      </c>
      <c r="B735" s="948">
        <v>510</v>
      </c>
      <c r="C735" s="948" t="s">
        <v>330</v>
      </c>
      <c r="D735" s="947" t="s">
        <v>17</v>
      </c>
      <c r="E735" s="950">
        <v>150</v>
      </c>
      <c r="F735" s="950">
        <v>1</v>
      </c>
      <c r="G735" s="951">
        <v>63</v>
      </c>
      <c r="H735" s="951">
        <v>66.2</v>
      </c>
      <c r="I735" s="18"/>
    </row>
    <row r="736" spans="1:9">
      <c r="A736" s="943">
        <v>3</v>
      </c>
      <c r="B736" s="944">
        <v>510.1</v>
      </c>
      <c r="C736" s="944" t="s">
        <v>331</v>
      </c>
      <c r="D736" s="943" t="s">
        <v>17</v>
      </c>
      <c r="E736" s="945">
        <v>48</v>
      </c>
      <c r="F736" s="945">
        <v>1</v>
      </c>
      <c r="G736" s="946">
        <v>100</v>
      </c>
      <c r="H736" s="946">
        <v>92.5</v>
      </c>
    </row>
    <row r="737" spans="1:9" s="26" customFormat="1">
      <c r="A737" s="947">
        <v>3</v>
      </c>
      <c r="B737" s="948">
        <v>511.1</v>
      </c>
      <c r="C737" s="948" t="s">
        <v>332</v>
      </c>
      <c r="D737" s="947" t="s">
        <v>17</v>
      </c>
      <c r="E737" s="949">
        <v>2816</v>
      </c>
      <c r="F737" s="950">
        <v>3</v>
      </c>
      <c r="G737" s="951">
        <v>70</v>
      </c>
      <c r="H737" s="951">
        <v>67.430000000000007</v>
      </c>
      <c r="I737" s="18"/>
    </row>
    <row r="738" spans="1:9">
      <c r="A738" s="943">
        <v>3</v>
      </c>
      <c r="B738" s="944">
        <v>514</v>
      </c>
      <c r="C738" s="944" t="s">
        <v>38</v>
      </c>
      <c r="D738" s="943" t="s">
        <v>2</v>
      </c>
      <c r="E738" s="952">
        <v>1043</v>
      </c>
      <c r="F738" s="945">
        <v>6</v>
      </c>
      <c r="G738" s="946">
        <v>650</v>
      </c>
      <c r="H738" s="946">
        <v>668.31</v>
      </c>
    </row>
    <row r="739" spans="1:9" s="26" customFormat="1">
      <c r="A739" s="947">
        <v>3</v>
      </c>
      <c r="B739" s="948">
        <v>515</v>
      </c>
      <c r="C739" s="948" t="s">
        <v>45</v>
      </c>
      <c r="D739" s="947" t="s">
        <v>2</v>
      </c>
      <c r="E739" s="950">
        <v>94</v>
      </c>
      <c r="F739" s="950">
        <v>2</v>
      </c>
      <c r="G739" s="951">
        <v>800</v>
      </c>
      <c r="H739" s="951">
        <v>809.79</v>
      </c>
      <c r="I739" s="18"/>
    </row>
    <row r="740" spans="1:9">
      <c r="A740" s="943">
        <v>3</v>
      </c>
      <c r="B740" s="944">
        <v>516</v>
      </c>
      <c r="C740" s="944" t="s">
        <v>47</v>
      </c>
      <c r="D740" s="943" t="s">
        <v>2</v>
      </c>
      <c r="E740" s="945">
        <v>472</v>
      </c>
      <c r="F740" s="945">
        <v>3</v>
      </c>
      <c r="G740" s="946">
        <v>418</v>
      </c>
      <c r="H740" s="946">
        <v>413.31</v>
      </c>
    </row>
    <row r="741" spans="1:9" s="26" customFormat="1">
      <c r="A741" s="947">
        <v>3</v>
      </c>
      <c r="B741" s="948">
        <v>521</v>
      </c>
      <c r="C741" s="948" t="s">
        <v>2399</v>
      </c>
      <c r="D741" s="947" t="s">
        <v>2</v>
      </c>
      <c r="E741" s="950">
        <v>14</v>
      </c>
      <c r="F741" s="950">
        <v>1</v>
      </c>
      <c r="G741" s="951">
        <v>600</v>
      </c>
      <c r="H741" s="951">
        <v>587.14</v>
      </c>
      <c r="I741" s="18"/>
    </row>
    <row r="742" spans="1:9">
      <c r="A742" s="943">
        <v>3</v>
      </c>
      <c r="B742" s="944">
        <v>570.1</v>
      </c>
      <c r="C742" s="944" t="s">
        <v>1396</v>
      </c>
      <c r="D742" s="943" t="s">
        <v>17</v>
      </c>
      <c r="E742" s="945">
        <v>945</v>
      </c>
      <c r="F742" s="945">
        <v>1</v>
      </c>
      <c r="G742" s="946">
        <v>17</v>
      </c>
      <c r="H742" s="946">
        <v>17.57</v>
      </c>
    </row>
    <row r="743" spans="1:9" s="26" customFormat="1">
      <c r="A743" s="947">
        <v>3</v>
      </c>
      <c r="B743" s="948">
        <v>570.29999999999995</v>
      </c>
      <c r="C743" s="948" t="s">
        <v>339</v>
      </c>
      <c r="D743" s="947" t="s">
        <v>17</v>
      </c>
      <c r="E743" s="949">
        <v>8700</v>
      </c>
      <c r="F743" s="950">
        <v>2</v>
      </c>
      <c r="G743" s="951">
        <v>20</v>
      </c>
      <c r="H743" s="951">
        <v>16.29</v>
      </c>
      <c r="I743" s="18"/>
    </row>
    <row r="744" spans="1:9">
      <c r="A744" s="943">
        <v>3</v>
      </c>
      <c r="B744" s="944">
        <v>580</v>
      </c>
      <c r="C744" s="944" t="s">
        <v>56</v>
      </c>
      <c r="D744" s="943" t="s">
        <v>17</v>
      </c>
      <c r="E744" s="952">
        <v>45147</v>
      </c>
      <c r="F744" s="945">
        <v>9</v>
      </c>
      <c r="G744" s="946">
        <v>45.25</v>
      </c>
      <c r="H744" s="946">
        <v>45.61</v>
      </c>
    </row>
    <row r="745" spans="1:9" s="26" customFormat="1">
      <c r="A745" s="947">
        <v>3</v>
      </c>
      <c r="B745" s="948">
        <v>581</v>
      </c>
      <c r="C745" s="948" t="s">
        <v>340</v>
      </c>
      <c r="D745" s="947" t="s">
        <v>2</v>
      </c>
      <c r="E745" s="950">
        <v>30</v>
      </c>
      <c r="F745" s="950">
        <v>2</v>
      </c>
      <c r="G745" s="951">
        <v>325</v>
      </c>
      <c r="H745" s="951">
        <v>307.5</v>
      </c>
      <c r="I745" s="18"/>
    </row>
    <row r="746" spans="1:9">
      <c r="A746" s="943">
        <v>3</v>
      </c>
      <c r="B746" s="944">
        <v>582</v>
      </c>
      <c r="C746" s="944" t="s">
        <v>341</v>
      </c>
      <c r="D746" s="943" t="s">
        <v>2</v>
      </c>
      <c r="E746" s="945">
        <v>204</v>
      </c>
      <c r="F746" s="945">
        <v>2</v>
      </c>
      <c r="G746" s="946">
        <v>185</v>
      </c>
      <c r="H746" s="946">
        <v>264.38</v>
      </c>
    </row>
    <row r="747" spans="1:9" s="26" customFormat="1">
      <c r="A747" s="947">
        <v>3</v>
      </c>
      <c r="B747" s="948">
        <v>583</v>
      </c>
      <c r="C747" s="948" t="s">
        <v>342</v>
      </c>
      <c r="D747" s="947" t="s">
        <v>17</v>
      </c>
      <c r="E747" s="949">
        <v>28045</v>
      </c>
      <c r="F747" s="950">
        <v>6</v>
      </c>
      <c r="G747" s="951">
        <v>35.5</v>
      </c>
      <c r="H747" s="951">
        <v>36</v>
      </c>
      <c r="I747" s="18"/>
    </row>
    <row r="748" spans="1:9">
      <c r="A748" s="943">
        <v>3</v>
      </c>
      <c r="B748" s="944">
        <v>590</v>
      </c>
      <c r="C748" s="944" t="s">
        <v>343</v>
      </c>
      <c r="D748" s="943" t="s">
        <v>17</v>
      </c>
      <c r="E748" s="952">
        <v>2175</v>
      </c>
      <c r="F748" s="945">
        <v>3</v>
      </c>
      <c r="G748" s="946">
        <v>12.5</v>
      </c>
      <c r="H748" s="946">
        <v>13.1</v>
      </c>
    </row>
    <row r="749" spans="1:9" s="26" customFormat="1">
      <c r="A749" s="947">
        <v>3</v>
      </c>
      <c r="B749" s="948">
        <v>592</v>
      </c>
      <c r="C749" s="948" t="s">
        <v>345</v>
      </c>
      <c r="D749" s="947" t="s">
        <v>2</v>
      </c>
      <c r="E749" s="950">
        <v>8</v>
      </c>
      <c r="F749" s="950">
        <v>1</v>
      </c>
      <c r="G749" s="951">
        <v>220</v>
      </c>
      <c r="H749" s="951">
        <v>225</v>
      </c>
      <c r="I749" s="18"/>
    </row>
    <row r="750" spans="1:9">
      <c r="A750" s="943">
        <v>3</v>
      </c>
      <c r="B750" s="944">
        <v>593</v>
      </c>
      <c r="C750" s="944" t="s">
        <v>2407</v>
      </c>
      <c r="D750" s="943" t="s">
        <v>17</v>
      </c>
      <c r="E750" s="952">
        <v>1317</v>
      </c>
      <c r="F750" s="945">
        <v>3</v>
      </c>
      <c r="G750" s="946">
        <v>11.3</v>
      </c>
      <c r="H750" s="946">
        <v>10.99</v>
      </c>
    </row>
    <row r="751" spans="1:9" s="26" customFormat="1">
      <c r="A751" s="947">
        <v>3</v>
      </c>
      <c r="B751" s="948">
        <v>594</v>
      </c>
      <c r="C751" s="948" t="s">
        <v>346</v>
      </c>
      <c r="D751" s="947" t="s">
        <v>17</v>
      </c>
      <c r="E751" s="949">
        <v>15094</v>
      </c>
      <c r="F751" s="950">
        <v>4</v>
      </c>
      <c r="G751" s="951">
        <v>10</v>
      </c>
      <c r="H751" s="951">
        <v>8.17</v>
      </c>
      <c r="I751" s="18"/>
    </row>
    <row r="752" spans="1:9">
      <c r="A752" s="943">
        <v>3</v>
      </c>
      <c r="B752" s="944">
        <v>595</v>
      </c>
      <c r="C752" s="944" t="s">
        <v>347</v>
      </c>
      <c r="D752" s="943" t="s">
        <v>2</v>
      </c>
      <c r="E752" s="945">
        <v>15</v>
      </c>
      <c r="F752" s="945">
        <v>1</v>
      </c>
      <c r="G752" s="946">
        <v>100</v>
      </c>
      <c r="H752" s="946">
        <v>93.33</v>
      </c>
    </row>
    <row r="753" spans="1:9" s="26" customFormat="1">
      <c r="A753" s="947">
        <v>3</v>
      </c>
      <c r="B753" s="948">
        <v>597</v>
      </c>
      <c r="C753" s="948" t="s">
        <v>349</v>
      </c>
      <c r="D753" s="947" t="s">
        <v>17</v>
      </c>
      <c r="E753" s="949">
        <v>3265</v>
      </c>
      <c r="F753" s="950">
        <v>3</v>
      </c>
      <c r="G753" s="951">
        <v>9.8000000000000007</v>
      </c>
      <c r="H753" s="951">
        <v>8.85</v>
      </c>
      <c r="I753" s="18"/>
    </row>
    <row r="754" spans="1:9">
      <c r="A754" s="943">
        <v>3</v>
      </c>
      <c r="B754" s="944">
        <v>620.12</v>
      </c>
      <c r="C754" s="944" t="s">
        <v>1252</v>
      </c>
      <c r="D754" s="943" t="s">
        <v>17</v>
      </c>
      <c r="E754" s="952">
        <v>32055</v>
      </c>
      <c r="F754" s="945">
        <v>5</v>
      </c>
      <c r="G754" s="946">
        <v>36</v>
      </c>
      <c r="H754" s="946">
        <v>37.07</v>
      </c>
    </row>
    <row r="755" spans="1:9" s="26" customFormat="1">
      <c r="A755" s="947">
        <v>3</v>
      </c>
      <c r="B755" s="948">
        <v>620.13</v>
      </c>
      <c r="C755" s="948" t="s">
        <v>1398</v>
      </c>
      <c r="D755" s="947" t="s">
        <v>17</v>
      </c>
      <c r="E755" s="954">
        <v>136065.5</v>
      </c>
      <c r="F755" s="950">
        <v>8</v>
      </c>
      <c r="G755" s="951">
        <v>41.75</v>
      </c>
      <c r="H755" s="951">
        <v>41.5</v>
      </c>
      <c r="I755" s="18"/>
    </row>
    <row r="756" spans="1:9">
      <c r="A756" s="943">
        <v>3</v>
      </c>
      <c r="B756" s="944">
        <v>620.13099999999997</v>
      </c>
      <c r="C756" s="944" t="s">
        <v>1399</v>
      </c>
      <c r="D756" s="943" t="s">
        <v>17</v>
      </c>
      <c r="E756" s="952">
        <v>15000</v>
      </c>
      <c r="F756" s="945">
        <v>4</v>
      </c>
      <c r="G756" s="946">
        <v>57.74</v>
      </c>
      <c r="H756" s="946">
        <v>57.19</v>
      </c>
    </row>
    <row r="757" spans="1:9" s="26" customFormat="1">
      <c r="A757" s="947">
        <v>3</v>
      </c>
      <c r="B757" s="948">
        <v>620.32000000000005</v>
      </c>
      <c r="C757" s="948" t="s">
        <v>1253</v>
      </c>
      <c r="D757" s="947" t="s">
        <v>17</v>
      </c>
      <c r="E757" s="949">
        <v>1110</v>
      </c>
      <c r="F757" s="950">
        <v>3</v>
      </c>
      <c r="G757" s="951">
        <v>42.5</v>
      </c>
      <c r="H757" s="951">
        <v>44.23</v>
      </c>
      <c r="I757" s="18"/>
    </row>
    <row r="758" spans="1:9">
      <c r="A758" s="943">
        <v>3</v>
      </c>
      <c r="B758" s="944">
        <v>620.33000000000004</v>
      </c>
      <c r="C758" s="944" t="s">
        <v>1400</v>
      </c>
      <c r="D758" s="943" t="s">
        <v>17</v>
      </c>
      <c r="E758" s="953">
        <v>2857.5</v>
      </c>
      <c r="F758" s="945">
        <v>3</v>
      </c>
      <c r="G758" s="946">
        <v>48.25</v>
      </c>
      <c r="H758" s="946">
        <v>48.79</v>
      </c>
    </row>
    <row r="759" spans="1:9" s="26" customFormat="1">
      <c r="A759" s="947">
        <v>3</v>
      </c>
      <c r="B759" s="948">
        <v>627.1</v>
      </c>
      <c r="C759" s="948" t="s">
        <v>1403</v>
      </c>
      <c r="D759" s="947" t="s">
        <v>2</v>
      </c>
      <c r="E759" s="950">
        <v>145</v>
      </c>
      <c r="F759" s="950">
        <v>6</v>
      </c>
      <c r="G759" s="951">
        <v>2370</v>
      </c>
      <c r="H759" s="951">
        <v>2505.79</v>
      </c>
      <c r="I759" s="18"/>
    </row>
    <row r="760" spans="1:9">
      <c r="A760" s="943">
        <v>3</v>
      </c>
      <c r="B760" s="944">
        <v>627.73</v>
      </c>
      <c r="C760" s="944" t="s">
        <v>1405</v>
      </c>
      <c r="D760" s="943" t="s">
        <v>2</v>
      </c>
      <c r="E760" s="945">
        <v>14</v>
      </c>
      <c r="F760" s="945">
        <v>2</v>
      </c>
      <c r="G760" s="946">
        <v>15000</v>
      </c>
      <c r="H760" s="946">
        <v>15804.42</v>
      </c>
    </row>
    <row r="761" spans="1:9" s="26" customFormat="1">
      <c r="A761" s="947">
        <v>3</v>
      </c>
      <c r="B761" s="948">
        <v>627.82000000000005</v>
      </c>
      <c r="C761" s="948" t="s">
        <v>1406</v>
      </c>
      <c r="D761" s="947" t="s">
        <v>2</v>
      </c>
      <c r="E761" s="950">
        <v>364</v>
      </c>
      <c r="F761" s="950">
        <v>5</v>
      </c>
      <c r="G761" s="951">
        <v>5750</v>
      </c>
      <c r="H761" s="951">
        <v>5888.51</v>
      </c>
      <c r="I761" s="18"/>
    </row>
    <row r="762" spans="1:9">
      <c r="A762" s="943">
        <v>3</v>
      </c>
      <c r="B762" s="944">
        <v>627.83000000000004</v>
      </c>
      <c r="C762" s="944" t="s">
        <v>1407</v>
      </c>
      <c r="D762" s="943" t="s">
        <v>2</v>
      </c>
      <c r="E762" s="945">
        <v>765</v>
      </c>
      <c r="F762" s="945">
        <v>6</v>
      </c>
      <c r="G762" s="946">
        <v>5400</v>
      </c>
      <c r="H762" s="946">
        <v>5549.21</v>
      </c>
    </row>
    <row r="763" spans="1:9" s="26" customFormat="1">
      <c r="A763" s="947">
        <v>3</v>
      </c>
      <c r="B763" s="948">
        <v>627.91999999999996</v>
      </c>
      <c r="C763" s="948" t="s">
        <v>1408</v>
      </c>
      <c r="D763" s="947" t="s">
        <v>2</v>
      </c>
      <c r="E763" s="950">
        <v>41</v>
      </c>
      <c r="F763" s="950">
        <v>2</v>
      </c>
      <c r="G763" s="951">
        <v>6250</v>
      </c>
      <c r="H763" s="951">
        <v>6428.47</v>
      </c>
      <c r="I763" s="18"/>
    </row>
    <row r="764" spans="1:9">
      <c r="A764" s="943">
        <v>3</v>
      </c>
      <c r="B764" s="944">
        <v>627.92999999999995</v>
      </c>
      <c r="C764" s="944" t="s">
        <v>1409</v>
      </c>
      <c r="D764" s="943" t="s">
        <v>2</v>
      </c>
      <c r="E764" s="945">
        <v>146</v>
      </c>
      <c r="F764" s="945">
        <v>3</v>
      </c>
      <c r="G764" s="946">
        <v>6029.81</v>
      </c>
      <c r="H764" s="946">
        <v>5938.46</v>
      </c>
    </row>
    <row r="765" spans="1:9" s="26" customFormat="1">
      <c r="A765" s="947">
        <v>3</v>
      </c>
      <c r="B765" s="948">
        <v>628.21</v>
      </c>
      <c r="C765" s="948" t="s">
        <v>1410</v>
      </c>
      <c r="D765" s="947" t="s">
        <v>2</v>
      </c>
      <c r="E765" s="950">
        <v>424</v>
      </c>
      <c r="F765" s="950">
        <v>4</v>
      </c>
      <c r="G765" s="951">
        <v>1750</v>
      </c>
      <c r="H765" s="951">
        <v>1780.88</v>
      </c>
      <c r="I765" s="18"/>
    </row>
    <row r="766" spans="1:9">
      <c r="A766" s="943">
        <v>3</v>
      </c>
      <c r="B766" s="944">
        <v>628.22</v>
      </c>
      <c r="C766" s="944" t="s">
        <v>1411</v>
      </c>
      <c r="D766" s="943" t="s">
        <v>2</v>
      </c>
      <c r="E766" s="945">
        <v>47</v>
      </c>
      <c r="F766" s="945">
        <v>3</v>
      </c>
      <c r="G766" s="946">
        <v>7150</v>
      </c>
      <c r="H766" s="946">
        <v>6982.19</v>
      </c>
    </row>
    <row r="767" spans="1:9" s="26" customFormat="1">
      <c r="A767" s="947">
        <v>3</v>
      </c>
      <c r="B767" s="948">
        <v>628.23</v>
      </c>
      <c r="C767" s="948" t="s">
        <v>1412</v>
      </c>
      <c r="D767" s="947" t="s">
        <v>2</v>
      </c>
      <c r="E767" s="950">
        <v>2</v>
      </c>
      <c r="F767" s="950">
        <v>1</v>
      </c>
      <c r="G767" s="951">
        <v>11500</v>
      </c>
      <c r="H767" s="951">
        <v>11500</v>
      </c>
      <c r="I767" s="18"/>
    </row>
    <row r="768" spans="1:9">
      <c r="A768" s="943">
        <v>3</v>
      </c>
      <c r="B768" s="944">
        <v>628.24</v>
      </c>
      <c r="C768" s="944" t="s">
        <v>1413</v>
      </c>
      <c r="D768" s="943" t="s">
        <v>2</v>
      </c>
      <c r="E768" s="945">
        <v>57.3</v>
      </c>
      <c r="F768" s="945">
        <v>3</v>
      </c>
      <c r="G768" s="946">
        <v>7140</v>
      </c>
      <c r="H768" s="946">
        <v>6894.33</v>
      </c>
    </row>
    <row r="769" spans="1:9" s="26" customFormat="1">
      <c r="A769" s="947">
        <v>3</v>
      </c>
      <c r="B769" s="948">
        <v>628.25</v>
      </c>
      <c r="C769" s="948" t="s">
        <v>1414</v>
      </c>
      <c r="D769" s="947" t="s">
        <v>2</v>
      </c>
      <c r="E769" s="950">
        <v>18</v>
      </c>
      <c r="F769" s="950">
        <v>2</v>
      </c>
      <c r="G769" s="951">
        <v>1050</v>
      </c>
      <c r="H769" s="951">
        <v>1025.5</v>
      </c>
      <c r="I769" s="18"/>
    </row>
    <row r="770" spans="1:9">
      <c r="A770" s="943">
        <v>3</v>
      </c>
      <c r="B770" s="944">
        <v>628.30399999999997</v>
      </c>
      <c r="C770" s="944" t="s">
        <v>2412</v>
      </c>
      <c r="D770" s="943" t="s">
        <v>2</v>
      </c>
      <c r="E770" s="945">
        <v>114</v>
      </c>
      <c r="F770" s="945">
        <v>4</v>
      </c>
      <c r="G770" s="946">
        <v>7700</v>
      </c>
      <c r="H770" s="946">
        <v>7855.31</v>
      </c>
    </row>
    <row r="771" spans="1:9" s="26" customFormat="1">
      <c r="A771" s="947">
        <v>3</v>
      </c>
      <c r="B771" s="948">
        <v>628.30499999999995</v>
      </c>
      <c r="C771" s="948" t="s">
        <v>2413</v>
      </c>
      <c r="D771" s="947" t="s">
        <v>2</v>
      </c>
      <c r="E771" s="950">
        <v>35</v>
      </c>
      <c r="F771" s="950">
        <v>5</v>
      </c>
      <c r="G771" s="951">
        <v>8225</v>
      </c>
      <c r="H771" s="951">
        <v>8309.7199999999993</v>
      </c>
      <c r="I771" s="18"/>
    </row>
    <row r="772" spans="1:9">
      <c r="A772" s="943">
        <v>3</v>
      </c>
      <c r="B772" s="944">
        <v>628.31299999999999</v>
      </c>
      <c r="C772" s="944" t="s">
        <v>2415</v>
      </c>
      <c r="D772" s="943" t="s">
        <v>2</v>
      </c>
      <c r="E772" s="945">
        <v>4</v>
      </c>
      <c r="F772" s="945">
        <v>1</v>
      </c>
      <c r="G772" s="946">
        <v>50000</v>
      </c>
      <c r="H772" s="946">
        <v>50000</v>
      </c>
    </row>
    <row r="773" spans="1:9" s="26" customFormat="1">
      <c r="A773" s="947">
        <v>3</v>
      </c>
      <c r="B773" s="948">
        <v>628.31399999999996</v>
      </c>
      <c r="C773" s="948" t="s">
        <v>2416</v>
      </c>
      <c r="D773" s="947" t="s">
        <v>2</v>
      </c>
      <c r="E773" s="950">
        <v>7</v>
      </c>
      <c r="F773" s="950">
        <v>1</v>
      </c>
      <c r="G773" s="951">
        <v>7500</v>
      </c>
      <c r="H773" s="951">
        <v>7242.86</v>
      </c>
      <c r="I773" s="18"/>
    </row>
    <row r="774" spans="1:9">
      <c r="A774" s="943">
        <v>3</v>
      </c>
      <c r="B774" s="944">
        <v>628.31500000000005</v>
      </c>
      <c r="C774" s="944" t="s">
        <v>2417</v>
      </c>
      <c r="D774" s="943" t="s">
        <v>2</v>
      </c>
      <c r="E774" s="945">
        <v>4</v>
      </c>
      <c r="F774" s="945">
        <v>1</v>
      </c>
      <c r="G774" s="946">
        <v>5500</v>
      </c>
      <c r="H774" s="946">
        <v>6500</v>
      </c>
    </row>
    <row r="775" spans="1:9" s="26" customFormat="1">
      <c r="A775" s="947">
        <v>3</v>
      </c>
      <c r="B775" s="948">
        <v>628.4</v>
      </c>
      <c r="C775" s="948" t="s">
        <v>3901</v>
      </c>
      <c r="D775" s="947" t="s">
        <v>2</v>
      </c>
      <c r="E775" s="950">
        <v>382</v>
      </c>
      <c r="F775" s="950">
        <v>9</v>
      </c>
      <c r="G775" s="951">
        <v>2000</v>
      </c>
      <c r="H775" s="951">
        <v>1864.56</v>
      </c>
      <c r="I775" s="18"/>
    </row>
    <row r="776" spans="1:9">
      <c r="A776" s="943">
        <v>3</v>
      </c>
      <c r="B776" s="944">
        <v>629.1</v>
      </c>
      <c r="C776" s="944" t="s">
        <v>353</v>
      </c>
      <c r="D776" s="943" t="s">
        <v>17</v>
      </c>
      <c r="E776" s="945">
        <v>316</v>
      </c>
      <c r="F776" s="945">
        <v>1</v>
      </c>
      <c r="G776" s="946">
        <v>275</v>
      </c>
      <c r="H776" s="946">
        <v>237.5</v>
      </c>
    </row>
    <row r="777" spans="1:9" s="26" customFormat="1">
      <c r="A777" s="947">
        <v>3</v>
      </c>
      <c r="B777" s="948">
        <v>630</v>
      </c>
      <c r="C777" s="948" t="s">
        <v>356</v>
      </c>
      <c r="D777" s="947" t="s">
        <v>17</v>
      </c>
      <c r="E777" s="949">
        <v>2760</v>
      </c>
      <c r="F777" s="950">
        <v>4</v>
      </c>
      <c r="G777" s="951">
        <v>28</v>
      </c>
      <c r="H777" s="951">
        <v>28.25</v>
      </c>
      <c r="I777" s="18"/>
    </row>
    <row r="778" spans="1:9">
      <c r="A778" s="943">
        <v>3</v>
      </c>
      <c r="B778" s="944">
        <v>630.20000000000005</v>
      </c>
      <c r="C778" s="944" t="s">
        <v>358</v>
      </c>
      <c r="D778" s="943" t="s">
        <v>17</v>
      </c>
      <c r="E778" s="952">
        <v>227397</v>
      </c>
      <c r="F778" s="945">
        <v>11</v>
      </c>
      <c r="G778" s="946">
        <v>6</v>
      </c>
      <c r="H778" s="946">
        <v>5.19</v>
      </c>
    </row>
    <row r="779" spans="1:9" s="26" customFormat="1">
      <c r="A779" s="947">
        <v>3</v>
      </c>
      <c r="B779" s="948">
        <v>631</v>
      </c>
      <c r="C779" s="948" t="s">
        <v>1417</v>
      </c>
      <c r="D779" s="947" t="s">
        <v>2</v>
      </c>
      <c r="E779" s="950">
        <v>14</v>
      </c>
      <c r="F779" s="950">
        <v>1</v>
      </c>
      <c r="G779" s="951">
        <v>900</v>
      </c>
      <c r="H779" s="951">
        <v>885.71</v>
      </c>
      <c r="I779" s="18"/>
    </row>
    <row r="780" spans="1:9">
      <c r="A780" s="943">
        <v>3</v>
      </c>
      <c r="B780" s="944">
        <v>632</v>
      </c>
      <c r="C780" s="944" t="s">
        <v>359</v>
      </c>
      <c r="D780" s="943" t="s">
        <v>2</v>
      </c>
      <c r="E780" s="945">
        <v>776</v>
      </c>
      <c r="F780" s="945">
        <v>4</v>
      </c>
      <c r="G780" s="946">
        <v>140</v>
      </c>
      <c r="H780" s="946">
        <v>241.1</v>
      </c>
    </row>
    <row r="781" spans="1:9" s="26" customFormat="1">
      <c r="A781" s="947">
        <v>3</v>
      </c>
      <c r="B781" s="948">
        <v>632.11</v>
      </c>
      <c r="C781" s="948" t="s">
        <v>2423</v>
      </c>
      <c r="D781" s="947" t="s">
        <v>2</v>
      </c>
      <c r="E781" s="950">
        <v>60</v>
      </c>
      <c r="F781" s="950">
        <v>1</v>
      </c>
      <c r="G781" s="951">
        <v>145</v>
      </c>
      <c r="H781" s="951">
        <v>147.16</v>
      </c>
      <c r="I781" s="18"/>
    </row>
    <row r="782" spans="1:9">
      <c r="A782" s="943">
        <v>3</v>
      </c>
      <c r="B782" s="944">
        <v>632.20000000000005</v>
      </c>
      <c r="C782" s="944" t="s">
        <v>1418</v>
      </c>
      <c r="D782" s="943" t="s">
        <v>2</v>
      </c>
      <c r="E782" s="945">
        <v>170</v>
      </c>
      <c r="F782" s="945">
        <v>1</v>
      </c>
      <c r="G782" s="946">
        <v>30</v>
      </c>
      <c r="H782" s="946">
        <v>25</v>
      </c>
    </row>
    <row r="783" spans="1:9" s="26" customFormat="1">
      <c r="A783" s="947">
        <v>3</v>
      </c>
      <c r="B783" s="948">
        <v>632.4</v>
      </c>
      <c r="C783" s="948" t="s">
        <v>361</v>
      </c>
      <c r="D783" s="947" t="s">
        <v>2</v>
      </c>
      <c r="E783" s="950">
        <v>602</v>
      </c>
      <c r="F783" s="950">
        <v>3</v>
      </c>
      <c r="G783" s="951">
        <v>13.5</v>
      </c>
      <c r="H783" s="951">
        <v>20.5</v>
      </c>
      <c r="I783" s="18"/>
    </row>
    <row r="784" spans="1:9">
      <c r="A784" s="943">
        <v>3</v>
      </c>
      <c r="B784" s="944">
        <v>633</v>
      </c>
      <c r="C784" s="944" t="s">
        <v>362</v>
      </c>
      <c r="D784" s="943" t="s">
        <v>2</v>
      </c>
      <c r="E784" s="952">
        <v>5001</v>
      </c>
      <c r="F784" s="945">
        <v>3</v>
      </c>
      <c r="G784" s="946">
        <v>18.010000000000002</v>
      </c>
      <c r="H784" s="946">
        <v>17.170000000000002</v>
      </c>
    </row>
    <row r="785" spans="1:9" s="26" customFormat="1">
      <c r="A785" s="947">
        <v>3</v>
      </c>
      <c r="B785" s="948">
        <v>633.1</v>
      </c>
      <c r="C785" s="948" t="s">
        <v>363</v>
      </c>
      <c r="D785" s="947" t="s">
        <v>2</v>
      </c>
      <c r="E785" s="950">
        <v>435</v>
      </c>
      <c r="F785" s="950">
        <v>3</v>
      </c>
      <c r="G785" s="951">
        <v>25</v>
      </c>
      <c r="H785" s="951">
        <v>64.22</v>
      </c>
      <c r="I785" s="18"/>
    </row>
    <row r="786" spans="1:9">
      <c r="A786" s="943">
        <v>3</v>
      </c>
      <c r="B786" s="944">
        <v>634</v>
      </c>
      <c r="C786" s="944" t="s">
        <v>364</v>
      </c>
      <c r="D786" s="943" t="s">
        <v>2</v>
      </c>
      <c r="E786" s="952">
        <v>4900</v>
      </c>
      <c r="F786" s="945">
        <v>2</v>
      </c>
      <c r="G786" s="946">
        <v>255</v>
      </c>
      <c r="H786" s="946">
        <v>261.88</v>
      </c>
    </row>
    <row r="787" spans="1:9" s="26" customFormat="1">
      <c r="A787" s="947">
        <v>3</v>
      </c>
      <c r="B787" s="948">
        <v>634.1</v>
      </c>
      <c r="C787" s="948" t="s">
        <v>365</v>
      </c>
      <c r="D787" s="947" t="s">
        <v>2</v>
      </c>
      <c r="E787" s="950">
        <v>632</v>
      </c>
      <c r="F787" s="950">
        <v>4</v>
      </c>
      <c r="G787" s="951">
        <v>442.5</v>
      </c>
      <c r="H787" s="951">
        <v>437.65</v>
      </c>
      <c r="I787" s="18"/>
    </row>
    <row r="788" spans="1:9">
      <c r="A788" s="943">
        <v>3</v>
      </c>
      <c r="B788" s="944">
        <v>644.048</v>
      </c>
      <c r="C788" s="944" t="s">
        <v>2428</v>
      </c>
      <c r="D788" s="943" t="s">
        <v>17</v>
      </c>
      <c r="E788" s="952">
        <v>2400</v>
      </c>
      <c r="F788" s="945">
        <v>1</v>
      </c>
      <c r="G788" s="946">
        <v>40</v>
      </c>
      <c r="H788" s="946">
        <v>38.46</v>
      </c>
    </row>
    <row r="789" spans="1:9" s="26" customFormat="1">
      <c r="A789" s="947">
        <v>3</v>
      </c>
      <c r="B789" s="948">
        <v>644.05999999999995</v>
      </c>
      <c r="C789" s="948" t="s">
        <v>367</v>
      </c>
      <c r="D789" s="947" t="s">
        <v>17</v>
      </c>
      <c r="E789" s="950">
        <v>900</v>
      </c>
      <c r="F789" s="950">
        <v>1</v>
      </c>
      <c r="G789" s="951">
        <v>42</v>
      </c>
      <c r="H789" s="951">
        <v>40.97</v>
      </c>
      <c r="I789" s="18"/>
    </row>
    <row r="790" spans="1:9">
      <c r="A790" s="943">
        <v>3</v>
      </c>
      <c r="B790" s="944">
        <v>644.072</v>
      </c>
      <c r="C790" s="944" t="s">
        <v>368</v>
      </c>
      <c r="D790" s="943" t="s">
        <v>17</v>
      </c>
      <c r="E790" s="952">
        <v>11850</v>
      </c>
      <c r="F790" s="945">
        <v>2</v>
      </c>
      <c r="G790" s="946">
        <v>60.27</v>
      </c>
      <c r="H790" s="946">
        <v>60.42</v>
      </c>
    </row>
    <row r="791" spans="1:9" s="26" customFormat="1">
      <c r="A791" s="947">
        <v>3</v>
      </c>
      <c r="B791" s="948">
        <v>644.096</v>
      </c>
      <c r="C791" s="948" t="s">
        <v>2430</v>
      </c>
      <c r="D791" s="947" t="s">
        <v>17</v>
      </c>
      <c r="E791" s="950">
        <v>450</v>
      </c>
      <c r="F791" s="950">
        <v>1</v>
      </c>
      <c r="G791" s="951">
        <v>70</v>
      </c>
      <c r="H791" s="951">
        <v>62.55</v>
      </c>
      <c r="I791" s="18"/>
    </row>
    <row r="792" spans="1:9">
      <c r="A792" s="943">
        <v>3</v>
      </c>
      <c r="B792" s="944">
        <v>644.17200000000003</v>
      </c>
      <c r="C792" s="944" t="s">
        <v>371</v>
      </c>
      <c r="D792" s="943" t="s">
        <v>17</v>
      </c>
      <c r="E792" s="952">
        <v>1800</v>
      </c>
      <c r="F792" s="945">
        <v>1</v>
      </c>
      <c r="G792" s="946">
        <v>77</v>
      </c>
      <c r="H792" s="946">
        <v>73.58</v>
      </c>
    </row>
    <row r="793" spans="1:9" s="26" customFormat="1">
      <c r="A793" s="947">
        <v>3</v>
      </c>
      <c r="B793" s="948">
        <v>645.14800000000002</v>
      </c>
      <c r="C793" s="948" t="s">
        <v>375</v>
      </c>
      <c r="D793" s="947" t="s">
        <v>17</v>
      </c>
      <c r="E793" s="949">
        <v>3330</v>
      </c>
      <c r="F793" s="950">
        <v>2</v>
      </c>
      <c r="G793" s="951">
        <v>72</v>
      </c>
      <c r="H793" s="951">
        <v>77</v>
      </c>
      <c r="I793" s="18"/>
    </row>
    <row r="794" spans="1:9">
      <c r="A794" s="943">
        <v>3</v>
      </c>
      <c r="B794" s="944">
        <v>647.072</v>
      </c>
      <c r="C794" s="944" t="s">
        <v>2451</v>
      </c>
      <c r="D794" s="943" t="s">
        <v>17</v>
      </c>
      <c r="E794" s="952">
        <v>2295</v>
      </c>
      <c r="F794" s="945">
        <v>1</v>
      </c>
      <c r="G794" s="946">
        <v>57.76</v>
      </c>
      <c r="H794" s="946">
        <v>56.59</v>
      </c>
    </row>
    <row r="795" spans="1:9" s="26" customFormat="1">
      <c r="A795" s="947">
        <v>3</v>
      </c>
      <c r="B795" s="948">
        <v>650.048</v>
      </c>
      <c r="C795" s="948" t="s">
        <v>377</v>
      </c>
      <c r="D795" s="947" t="s">
        <v>17</v>
      </c>
      <c r="E795" s="950">
        <v>60</v>
      </c>
      <c r="F795" s="950">
        <v>1</v>
      </c>
      <c r="G795" s="951">
        <v>497.5</v>
      </c>
      <c r="H795" s="951">
        <v>434.17</v>
      </c>
      <c r="I795" s="18"/>
    </row>
    <row r="796" spans="1:9">
      <c r="A796" s="943">
        <v>3</v>
      </c>
      <c r="B796" s="944">
        <v>650.072</v>
      </c>
      <c r="C796" s="944" t="s">
        <v>378</v>
      </c>
      <c r="D796" s="943" t="s">
        <v>17</v>
      </c>
      <c r="E796" s="945">
        <v>950</v>
      </c>
      <c r="F796" s="945">
        <v>2</v>
      </c>
      <c r="G796" s="946">
        <v>221.76</v>
      </c>
      <c r="H796" s="946">
        <v>233.7</v>
      </c>
    </row>
    <row r="797" spans="1:9" s="26" customFormat="1">
      <c r="A797" s="947">
        <v>3</v>
      </c>
      <c r="B797" s="948">
        <v>651.072</v>
      </c>
      <c r="C797" s="948" t="s">
        <v>379</v>
      </c>
      <c r="D797" s="947" t="s">
        <v>17</v>
      </c>
      <c r="E797" s="950">
        <v>660</v>
      </c>
      <c r="F797" s="950">
        <v>1</v>
      </c>
      <c r="G797" s="951">
        <v>185</v>
      </c>
      <c r="H797" s="951">
        <v>189.51</v>
      </c>
      <c r="I797" s="18"/>
    </row>
    <row r="798" spans="1:9">
      <c r="A798" s="943">
        <v>3</v>
      </c>
      <c r="B798" s="944">
        <v>652.048</v>
      </c>
      <c r="C798" s="944" t="s">
        <v>380</v>
      </c>
      <c r="D798" s="943" t="s">
        <v>2</v>
      </c>
      <c r="E798" s="945">
        <v>70</v>
      </c>
      <c r="F798" s="945">
        <v>2</v>
      </c>
      <c r="G798" s="946">
        <v>424</v>
      </c>
      <c r="H798" s="946">
        <v>310.5</v>
      </c>
    </row>
    <row r="799" spans="1:9" s="26" customFormat="1">
      <c r="A799" s="947">
        <v>3</v>
      </c>
      <c r="B799" s="948">
        <v>652.05999999999995</v>
      </c>
      <c r="C799" s="948" t="s">
        <v>2475</v>
      </c>
      <c r="D799" s="947" t="s">
        <v>2</v>
      </c>
      <c r="E799" s="950">
        <v>46</v>
      </c>
      <c r="F799" s="950">
        <v>1</v>
      </c>
      <c r="G799" s="951">
        <v>125</v>
      </c>
      <c r="H799" s="951">
        <v>125</v>
      </c>
      <c r="I799" s="18"/>
    </row>
    <row r="800" spans="1:9">
      <c r="A800" s="943">
        <v>3</v>
      </c>
      <c r="B800" s="944">
        <v>652.072</v>
      </c>
      <c r="C800" s="944" t="s">
        <v>381</v>
      </c>
      <c r="D800" s="943" t="s">
        <v>2</v>
      </c>
      <c r="E800" s="945">
        <v>80</v>
      </c>
      <c r="F800" s="945">
        <v>1</v>
      </c>
      <c r="G800" s="946">
        <v>125</v>
      </c>
      <c r="H800" s="946">
        <v>125</v>
      </c>
    </row>
    <row r="801" spans="1:9" s="26" customFormat="1">
      <c r="A801" s="947">
        <v>3</v>
      </c>
      <c r="B801" s="948">
        <v>652.096</v>
      </c>
      <c r="C801" s="948" t="s">
        <v>2477</v>
      </c>
      <c r="D801" s="947" t="s">
        <v>2</v>
      </c>
      <c r="E801" s="950">
        <v>30</v>
      </c>
      <c r="F801" s="950">
        <v>1</v>
      </c>
      <c r="G801" s="951">
        <v>125</v>
      </c>
      <c r="H801" s="951">
        <v>125</v>
      </c>
      <c r="I801" s="18"/>
    </row>
    <row r="802" spans="1:9">
      <c r="A802" s="943">
        <v>3</v>
      </c>
      <c r="B802" s="944">
        <v>653.048</v>
      </c>
      <c r="C802" s="944" t="s">
        <v>382</v>
      </c>
      <c r="D802" s="943" t="s">
        <v>2</v>
      </c>
      <c r="E802" s="945">
        <v>32</v>
      </c>
      <c r="F802" s="945">
        <v>1</v>
      </c>
      <c r="G802" s="946">
        <v>125</v>
      </c>
      <c r="H802" s="946">
        <v>125</v>
      </c>
    </row>
    <row r="803" spans="1:9" s="26" customFormat="1">
      <c r="A803" s="947">
        <v>3</v>
      </c>
      <c r="B803" s="948">
        <v>653.05999999999995</v>
      </c>
      <c r="C803" s="948" t="s">
        <v>2481</v>
      </c>
      <c r="D803" s="947" t="s">
        <v>2</v>
      </c>
      <c r="E803" s="950">
        <v>32</v>
      </c>
      <c r="F803" s="950">
        <v>1</v>
      </c>
      <c r="G803" s="951">
        <v>125</v>
      </c>
      <c r="H803" s="951">
        <v>125</v>
      </c>
      <c r="I803" s="18"/>
    </row>
    <row r="804" spans="1:9">
      <c r="A804" s="943">
        <v>3</v>
      </c>
      <c r="B804" s="944">
        <v>653.072</v>
      </c>
      <c r="C804" s="944" t="s">
        <v>383</v>
      </c>
      <c r="D804" s="943" t="s">
        <v>2</v>
      </c>
      <c r="E804" s="945">
        <v>160</v>
      </c>
      <c r="F804" s="945">
        <v>1</v>
      </c>
      <c r="G804" s="946">
        <v>125</v>
      </c>
      <c r="H804" s="946">
        <v>125</v>
      </c>
    </row>
    <row r="805" spans="1:9" s="26" customFormat="1">
      <c r="A805" s="947">
        <v>3</v>
      </c>
      <c r="B805" s="948">
        <v>653.08399999999995</v>
      </c>
      <c r="C805" s="948" t="s">
        <v>2482</v>
      </c>
      <c r="D805" s="947" t="s">
        <v>2</v>
      </c>
      <c r="E805" s="950">
        <v>32</v>
      </c>
      <c r="F805" s="950">
        <v>1</v>
      </c>
      <c r="G805" s="951">
        <v>125</v>
      </c>
      <c r="H805" s="951">
        <v>125</v>
      </c>
      <c r="I805" s="18"/>
    </row>
    <row r="806" spans="1:9">
      <c r="A806" s="943">
        <v>3</v>
      </c>
      <c r="B806" s="944">
        <v>653.096</v>
      </c>
      <c r="C806" s="944" t="s">
        <v>384</v>
      </c>
      <c r="D806" s="943" t="s">
        <v>2</v>
      </c>
      <c r="E806" s="945">
        <v>12</v>
      </c>
      <c r="F806" s="945">
        <v>1</v>
      </c>
      <c r="G806" s="946">
        <v>125</v>
      </c>
      <c r="H806" s="946">
        <v>125</v>
      </c>
    </row>
    <row r="807" spans="1:9" s="26" customFormat="1">
      <c r="A807" s="947">
        <v>3</v>
      </c>
      <c r="B807" s="948">
        <v>654.048</v>
      </c>
      <c r="C807" s="948" t="s">
        <v>2486</v>
      </c>
      <c r="D807" s="947" t="s">
        <v>17</v>
      </c>
      <c r="E807" s="949">
        <v>2400</v>
      </c>
      <c r="F807" s="950">
        <v>1</v>
      </c>
      <c r="G807" s="951">
        <v>13.35</v>
      </c>
      <c r="H807" s="951">
        <v>13.77</v>
      </c>
      <c r="I807" s="18"/>
    </row>
    <row r="808" spans="1:9">
      <c r="A808" s="943">
        <v>3</v>
      </c>
      <c r="B808" s="944">
        <v>654.05999999999995</v>
      </c>
      <c r="C808" s="944" t="s">
        <v>2487</v>
      </c>
      <c r="D808" s="943" t="s">
        <v>17</v>
      </c>
      <c r="E808" s="952">
        <v>1050</v>
      </c>
      <c r="F808" s="945">
        <v>1</v>
      </c>
      <c r="G808" s="946">
        <v>15</v>
      </c>
      <c r="H808" s="946">
        <v>15.5</v>
      </c>
    </row>
    <row r="809" spans="1:9" s="26" customFormat="1">
      <c r="A809" s="947">
        <v>3</v>
      </c>
      <c r="B809" s="948">
        <v>654.072</v>
      </c>
      <c r="C809" s="948" t="s">
        <v>385</v>
      </c>
      <c r="D809" s="947" t="s">
        <v>17</v>
      </c>
      <c r="E809" s="949">
        <v>3000</v>
      </c>
      <c r="F809" s="950">
        <v>1</v>
      </c>
      <c r="G809" s="951">
        <v>22</v>
      </c>
      <c r="H809" s="951">
        <v>20.86</v>
      </c>
      <c r="I809" s="18"/>
    </row>
    <row r="810" spans="1:9">
      <c r="A810" s="943">
        <v>3</v>
      </c>
      <c r="B810" s="944">
        <v>654.096</v>
      </c>
      <c r="C810" s="944" t="s">
        <v>2489</v>
      </c>
      <c r="D810" s="943" t="s">
        <v>17</v>
      </c>
      <c r="E810" s="945">
        <v>450</v>
      </c>
      <c r="F810" s="945">
        <v>1</v>
      </c>
      <c r="G810" s="946">
        <v>23.65</v>
      </c>
      <c r="H810" s="946">
        <v>22.05</v>
      </c>
    </row>
    <row r="811" spans="1:9" s="26" customFormat="1">
      <c r="A811" s="947">
        <v>3</v>
      </c>
      <c r="B811" s="948">
        <v>657</v>
      </c>
      <c r="C811" s="948" t="s">
        <v>387</v>
      </c>
      <c r="D811" s="947" t="s">
        <v>17</v>
      </c>
      <c r="E811" s="949">
        <v>4775</v>
      </c>
      <c r="F811" s="950">
        <v>5</v>
      </c>
      <c r="G811" s="951">
        <v>40</v>
      </c>
      <c r="H811" s="951">
        <v>38.81</v>
      </c>
      <c r="I811" s="18"/>
    </row>
    <row r="812" spans="1:9">
      <c r="A812" s="943">
        <v>3</v>
      </c>
      <c r="B812" s="944">
        <v>657.5</v>
      </c>
      <c r="C812" s="944" t="s">
        <v>388</v>
      </c>
      <c r="D812" s="943" t="s">
        <v>17</v>
      </c>
      <c r="E812" s="952">
        <v>2080</v>
      </c>
      <c r="F812" s="945">
        <v>2</v>
      </c>
      <c r="G812" s="946">
        <v>20</v>
      </c>
      <c r="H812" s="946">
        <v>16.829999999999998</v>
      </c>
    </row>
    <row r="813" spans="1:9" s="26" customFormat="1">
      <c r="A813" s="947">
        <v>3</v>
      </c>
      <c r="B813" s="948">
        <v>658</v>
      </c>
      <c r="C813" s="948" t="s">
        <v>2493</v>
      </c>
      <c r="D813" s="947" t="s">
        <v>2</v>
      </c>
      <c r="E813" s="950">
        <v>4</v>
      </c>
      <c r="F813" s="950">
        <v>1</v>
      </c>
      <c r="G813" s="951">
        <v>185</v>
      </c>
      <c r="H813" s="951">
        <v>172.5</v>
      </c>
      <c r="I813" s="18"/>
    </row>
    <row r="814" spans="1:9">
      <c r="A814" s="943">
        <v>3</v>
      </c>
      <c r="B814" s="944">
        <v>665</v>
      </c>
      <c r="C814" s="944" t="s">
        <v>390</v>
      </c>
      <c r="D814" s="943" t="s">
        <v>17</v>
      </c>
      <c r="E814" s="945">
        <v>840</v>
      </c>
      <c r="F814" s="945">
        <v>1</v>
      </c>
      <c r="G814" s="946">
        <v>22</v>
      </c>
      <c r="H814" s="946">
        <v>23.5</v>
      </c>
    </row>
    <row r="815" spans="1:9" s="26" customFormat="1">
      <c r="A815" s="947">
        <v>3</v>
      </c>
      <c r="B815" s="948">
        <v>666</v>
      </c>
      <c r="C815" s="948" t="s">
        <v>391</v>
      </c>
      <c r="D815" s="947" t="s">
        <v>17</v>
      </c>
      <c r="E815" s="949">
        <v>3610</v>
      </c>
      <c r="F815" s="950">
        <v>3</v>
      </c>
      <c r="G815" s="951">
        <v>69.5</v>
      </c>
      <c r="H815" s="951">
        <v>64.150000000000006</v>
      </c>
      <c r="I815" s="18"/>
    </row>
    <row r="816" spans="1:9">
      <c r="A816" s="943">
        <v>3</v>
      </c>
      <c r="B816" s="944">
        <v>668</v>
      </c>
      <c r="C816" s="944" t="s">
        <v>4040</v>
      </c>
      <c r="D816" s="943" t="s">
        <v>2</v>
      </c>
      <c r="E816" s="945">
        <v>14</v>
      </c>
      <c r="F816" s="945">
        <v>1</v>
      </c>
      <c r="G816" s="946">
        <v>500</v>
      </c>
      <c r="H816" s="946">
        <v>450</v>
      </c>
    </row>
    <row r="817" spans="1:9" s="26" customFormat="1">
      <c r="A817" s="947">
        <v>3</v>
      </c>
      <c r="B817" s="948">
        <v>669</v>
      </c>
      <c r="C817" s="948" t="s">
        <v>393</v>
      </c>
      <c r="D817" s="947" t="s">
        <v>17</v>
      </c>
      <c r="E817" s="949">
        <v>2600</v>
      </c>
      <c r="F817" s="950">
        <v>4</v>
      </c>
      <c r="G817" s="951">
        <v>15</v>
      </c>
      <c r="H817" s="951">
        <v>16.600000000000001</v>
      </c>
      <c r="I817" s="18"/>
    </row>
    <row r="818" spans="1:9">
      <c r="A818" s="943">
        <v>3</v>
      </c>
      <c r="B818" s="944">
        <v>670</v>
      </c>
      <c r="C818" s="944" t="s">
        <v>394</v>
      </c>
      <c r="D818" s="943" t="s">
        <v>17</v>
      </c>
      <c r="E818" s="945">
        <v>182</v>
      </c>
      <c r="F818" s="945">
        <v>1</v>
      </c>
      <c r="G818" s="946">
        <v>101.5</v>
      </c>
      <c r="H818" s="946">
        <v>107.57</v>
      </c>
    </row>
    <row r="819" spans="1:9" s="26" customFormat="1">
      <c r="A819" s="947">
        <v>3</v>
      </c>
      <c r="B819" s="948">
        <v>671</v>
      </c>
      <c r="C819" s="948" t="s">
        <v>2496</v>
      </c>
      <c r="D819" s="947" t="s">
        <v>2</v>
      </c>
      <c r="E819" s="950">
        <v>10</v>
      </c>
      <c r="F819" s="950">
        <v>2</v>
      </c>
      <c r="G819" s="951">
        <v>694</v>
      </c>
      <c r="H819" s="951">
        <v>699.5</v>
      </c>
      <c r="I819" s="18"/>
    </row>
    <row r="820" spans="1:9">
      <c r="A820" s="943">
        <v>3</v>
      </c>
      <c r="B820" s="944">
        <v>672</v>
      </c>
      <c r="C820" s="944" t="s">
        <v>395</v>
      </c>
      <c r="D820" s="943" t="s">
        <v>2</v>
      </c>
      <c r="E820" s="945">
        <v>6</v>
      </c>
      <c r="F820" s="945">
        <v>1</v>
      </c>
      <c r="G820" s="946">
        <v>4500</v>
      </c>
      <c r="H820" s="946">
        <v>4366.67</v>
      </c>
    </row>
    <row r="821" spans="1:9" s="26" customFormat="1">
      <c r="A821" s="947">
        <v>3</v>
      </c>
      <c r="B821" s="948">
        <v>685</v>
      </c>
      <c r="C821" s="948" t="s">
        <v>396</v>
      </c>
      <c r="D821" s="947" t="s">
        <v>4</v>
      </c>
      <c r="E821" s="949">
        <v>2320</v>
      </c>
      <c r="F821" s="950">
        <v>3</v>
      </c>
      <c r="G821" s="951">
        <v>1300</v>
      </c>
      <c r="H821" s="951">
        <v>1296.92</v>
      </c>
      <c r="I821" s="18"/>
    </row>
    <row r="822" spans="1:9">
      <c r="A822" s="943">
        <v>3</v>
      </c>
      <c r="B822" s="944">
        <v>690.1</v>
      </c>
      <c r="C822" s="944" t="s">
        <v>398</v>
      </c>
      <c r="D822" s="943" t="s">
        <v>4</v>
      </c>
      <c r="E822" s="945">
        <v>450</v>
      </c>
      <c r="F822" s="945">
        <v>2</v>
      </c>
      <c r="G822" s="946">
        <v>1200</v>
      </c>
      <c r="H822" s="946">
        <v>1192.75</v>
      </c>
    </row>
    <row r="823" spans="1:9" s="26" customFormat="1">
      <c r="A823" s="947">
        <v>3</v>
      </c>
      <c r="B823" s="948">
        <v>691</v>
      </c>
      <c r="C823" s="948" t="s">
        <v>399</v>
      </c>
      <c r="D823" s="947" t="s">
        <v>17</v>
      </c>
      <c r="E823" s="949">
        <v>6635</v>
      </c>
      <c r="F823" s="950">
        <v>2</v>
      </c>
      <c r="G823" s="951">
        <v>175</v>
      </c>
      <c r="H823" s="951">
        <v>186.64</v>
      </c>
      <c r="I823" s="18"/>
    </row>
    <row r="824" spans="1:9">
      <c r="A824" s="943">
        <v>3</v>
      </c>
      <c r="B824" s="944">
        <v>697</v>
      </c>
      <c r="C824" s="944" t="s">
        <v>400</v>
      </c>
      <c r="D824" s="943" t="s">
        <v>17</v>
      </c>
      <c r="E824" s="952">
        <v>43000</v>
      </c>
      <c r="F824" s="945">
        <v>2</v>
      </c>
      <c r="G824" s="946">
        <v>7</v>
      </c>
      <c r="H824" s="946">
        <v>6.64</v>
      </c>
    </row>
    <row r="825" spans="1:9" s="26" customFormat="1">
      <c r="A825" s="947">
        <v>3</v>
      </c>
      <c r="B825" s="948">
        <v>697.1</v>
      </c>
      <c r="C825" s="948" t="s">
        <v>401</v>
      </c>
      <c r="D825" s="947" t="s">
        <v>2</v>
      </c>
      <c r="E825" s="949">
        <v>3198</v>
      </c>
      <c r="F825" s="950">
        <v>12</v>
      </c>
      <c r="G825" s="951">
        <v>210</v>
      </c>
      <c r="H825" s="951">
        <v>202.5</v>
      </c>
      <c r="I825" s="18"/>
    </row>
    <row r="826" spans="1:9">
      <c r="A826" s="943">
        <v>3</v>
      </c>
      <c r="B826" s="944">
        <v>697.2</v>
      </c>
      <c r="C826" s="944" t="s">
        <v>402</v>
      </c>
      <c r="D826" s="943" t="s">
        <v>17</v>
      </c>
      <c r="E826" s="952">
        <v>14740</v>
      </c>
      <c r="F826" s="945">
        <v>5</v>
      </c>
      <c r="G826" s="946">
        <v>45</v>
      </c>
      <c r="H826" s="946">
        <v>38.880000000000003</v>
      </c>
    </row>
    <row r="827" spans="1:9" s="26" customFormat="1">
      <c r="A827" s="947">
        <v>3</v>
      </c>
      <c r="B827" s="948">
        <v>698.3</v>
      </c>
      <c r="C827" s="948" t="s">
        <v>404</v>
      </c>
      <c r="D827" s="947" t="s">
        <v>1</v>
      </c>
      <c r="E827" s="949">
        <v>19185</v>
      </c>
      <c r="F827" s="950">
        <v>7</v>
      </c>
      <c r="G827" s="951">
        <v>10</v>
      </c>
      <c r="H827" s="951">
        <v>8.91</v>
      </c>
      <c r="I827" s="18"/>
    </row>
    <row r="828" spans="1:9">
      <c r="A828" s="943">
        <v>3</v>
      </c>
      <c r="B828" s="944">
        <v>698.4</v>
      </c>
      <c r="C828" s="944" t="s">
        <v>405</v>
      </c>
      <c r="D828" s="943" t="s">
        <v>1</v>
      </c>
      <c r="E828" s="952">
        <v>2745</v>
      </c>
      <c r="F828" s="945">
        <v>3</v>
      </c>
      <c r="G828" s="946">
        <v>8.6999999999999993</v>
      </c>
      <c r="H828" s="946">
        <v>8.42</v>
      </c>
    </row>
    <row r="829" spans="1:9" s="26" customFormat="1">
      <c r="A829" s="947">
        <v>3</v>
      </c>
      <c r="B829" s="948">
        <v>701</v>
      </c>
      <c r="C829" s="948" t="s">
        <v>406</v>
      </c>
      <c r="D829" s="947" t="s">
        <v>1</v>
      </c>
      <c r="E829" s="949">
        <v>37344</v>
      </c>
      <c r="F829" s="950">
        <v>7</v>
      </c>
      <c r="G829" s="951">
        <v>100</v>
      </c>
      <c r="H829" s="951">
        <v>94.98</v>
      </c>
      <c r="I829" s="18"/>
    </row>
    <row r="830" spans="1:9">
      <c r="A830" s="943">
        <v>3</v>
      </c>
      <c r="B830" s="944">
        <v>701.1</v>
      </c>
      <c r="C830" s="944" t="s">
        <v>407</v>
      </c>
      <c r="D830" s="943" t="s">
        <v>1</v>
      </c>
      <c r="E830" s="952">
        <v>8702</v>
      </c>
      <c r="F830" s="945">
        <v>5</v>
      </c>
      <c r="G830" s="946">
        <v>105</v>
      </c>
      <c r="H830" s="946">
        <v>112.97</v>
      </c>
    </row>
    <row r="831" spans="1:9" s="26" customFormat="1">
      <c r="A831" s="947">
        <v>3</v>
      </c>
      <c r="B831" s="948">
        <v>701.2</v>
      </c>
      <c r="C831" s="948" t="s">
        <v>1422</v>
      </c>
      <c r="D831" s="947" t="s">
        <v>1</v>
      </c>
      <c r="E831" s="949">
        <v>20322</v>
      </c>
      <c r="F831" s="950">
        <v>7</v>
      </c>
      <c r="G831" s="951">
        <v>125</v>
      </c>
      <c r="H831" s="951">
        <v>127.94</v>
      </c>
      <c r="I831" s="18"/>
    </row>
    <row r="832" spans="1:9">
      <c r="A832" s="943">
        <v>3</v>
      </c>
      <c r="B832" s="944">
        <v>702</v>
      </c>
      <c r="C832" s="944" t="s">
        <v>1423</v>
      </c>
      <c r="D832" s="943" t="s">
        <v>7</v>
      </c>
      <c r="E832" s="952">
        <v>18505</v>
      </c>
      <c r="F832" s="945">
        <v>8</v>
      </c>
      <c r="G832" s="946">
        <v>250</v>
      </c>
      <c r="H832" s="946">
        <v>259.29000000000002</v>
      </c>
    </row>
    <row r="833" spans="1:9" s="26" customFormat="1">
      <c r="A833" s="947">
        <v>3</v>
      </c>
      <c r="B833" s="948">
        <v>707.1</v>
      </c>
      <c r="C833" s="948" t="s">
        <v>60</v>
      </c>
      <c r="D833" s="947" t="s">
        <v>2</v>
      </c>
      <c r="E833" s="950">
        <v>28</v>
      </c>
      <c r="F833" s="950">
        <v>2</v>
      </c>
      <c r="G833" s="951">
        <v>4500</v>
      </c>
      <c r="H833" s="951">
        <v>4592.8599999999997</v>
      </c>
      <c r="I833" s="18"/>
    </row>
    <row r="834" spans="1:9">
      <c r="A834" s="943">
        <v>3</v>
      </c>
      <c r="B834" s="944">
        <v>707.9</v>
      </c>
      <c r="C834" s="944" t="s">
        <v>61</v>
      </c>
      <c r="D834" s="943" t="s">
        <v>2</v>
      </c>
      <c r="E834" s="945">
        <v>18</v>
      </c>
      <c r="F834" s="945">
        <v>1</v>
      </c>
      <c r="G834" s="946">
        <v>1700</v>
      </c>
      <c r="H834" s="946">
        <v>1725</v>
      </c>
    </row>
    <row r="835" spans="1:9" s="26" customFormat="1">
      <c r="A835" s="947">
        <v>3</v>
      </c>
      <c r="B835" s="948">
        <v>710.4</v>
      </c>
      <c r="C835" s="948" t="s">
        <v>417</v>
      </c>
      <c r="D835" s="947" t="s">
        <v>2</v>
      </c>
      <c r="E835" s="950">
        <v>34</v>
      </c>
      <c r="F835" s="950">
        <v>3</v>
      </c>
      <c r="G835" s="951">
        <v>1040</v>
      </c>
      <c r="H835" s="951">
        <v>1083.5</v>
      </c>
      <c r="I835" s="18"/>
    </row>
    <row r="836" spans="1:9">
      <c r="A836" s="943">
        <v>3</v>
      </c>
      <c r="B836" s="944">
        <v>711</v>
      </c>
      <c r="C836" s="944" t="s">
        <v>418</v>
      </c>
      <c r="D836" s="943" t="s">
        <v>2</v>
      </c>
      <c r="E836" s="945">
        <v>103</v>
      </c>
      <c r="F836" s="945">
        <v>5</v>
      </c>
      <c r="G836" s="946">
        <v>800</v>
      </c>
      <c r="H836" s="946">
        <v>784.48</v>
      </c>
    </row>
    <row r="837" spans="1:9" s="26" customFormat="1">
      <c r="A837" s="947">
        <v>3</v>
      </c>
      <c r="B837" s="948">
        <v>712</v>
      </c>
      <c r="C837" s="948" t="s">
        <v>44</v>
      </c>
      <c r="D837" s="947" t="s">
        <v>2</v>
      </c>
      <c r="E837" s="950">
        <v>9</v>
      </c>
      <c r="F837" s="950">
        <v>1</v>
      </c>
      <c r="G837" s="951">
        <v>310</v>
      </c>
      <c r="H837" s="951">
        <v>326.67</v>
      </c>
      <c r="I837" s="18"/>
    </row>
    <row r="838" spans="1:9">
      <c r="A838" s="943">
        <v>3</v>
      </c>
      <c r="B838" s="944">
        <v>714</v>
      </c>
      <c r="C838" s="944" t="s">
        <v>420</v>
      </c>
      <c r="D838" s="943" t="s">
        <v>2</v>
      </c>
      <c r="E838" s="945">
        <v>7</v>
      </c>
      <c r="F838" s="945">
        <v>2</v>
      </c>
      <c r="G838" s="946">
        <v>5000</v>
      </c>
      <c r="H838" s="946">
        <v>4142.8599999999997</v>
      </c>
    </row>
    <row r="839" spans="1:9" s="26" customFormat="1">
      <c r="A839" s="947">
        <v>3</v>
      </c>
      <c r="B839" s="948">
        <v>715</v>
      </c>
      <c r="C839" s="948" t="s">
        <v>422</v>
      </c>
      <c r="D839" s="947" t="s">
        <v>2</v>
      </c>
      <c r="E839" s="950">
        <v>770</v>
      </c>
      <c r="F839" s="950">
        <v>7</v>
      </c>
      <c r="G839" s="951">
        <v>250</v>
      </c>
      <c r="H839" s="951">
        <v>252.97</v>
      </c>
      <c r="I839" s="18"/>
    </row>
    <row r="840" spans="1:9">
      <c r="A840" s="943">
        <v>3</v>
      </c>
      <c r="B840" s="944">
        <v>740</v>
      </c>
      <c r="C840" s="944" t="s">
        <v>4023</v>
      </c>
      <c r="D840" s="943" t="s">
        <v>428</v>
      </c>
      <c r="E840" s="952">
        <v>2211</v>
      </c>
      <c r="F840" s="945">
        <v>16</v>
      </c>
      <c r="G840" s="946">
        <v>3450</v>
      </c>
      <c r="H840" s="946">
        <v>3444.61</v>
      </c>
    </row>
    <row r="841" spans="1:9" s="26" customFormat="1">
      <c r="A841" s="947">
        <v>3</v>
      </c>
      <c r="B841" s="948">
        <v>748</v>
      </c>
      <c r="C841" s="948" t="s">
        <v>430</v>
      </c>
      <c r="D841" s="947" t="s">
        <v>22</v>
      </c>
      <c r="E841" s="950">
        <v>63</v>
      </c>
      <c r="F841" s="950">
        <v>14</v>
      </c>
      <c r="G841" s="951">
        <v>135000</v>
      </c>
      <c r="H841" s="951">
        <v>118857.3</v>
      </c>
      <c r="I841" s="18"/>
    </row>
    <row r="842" spans="1:9">
      <c r="A842" s="943">
        <v>3</v>
      </c>
      <c r="B842" s="944">
        <v>748.1</v>
      </c>
      <c r="C842" s="944" t="s">
        <v>431</v>
      </c>
      <c r="D842" s="943" t="s">
        <v>2</v>
      </c>
      <c r="E842" s="945">
        <v>188</v>
      </c>
      <c r="F842" s="945">
        <v>9</v>
      </c>
      <c r="G842" s="946">
        <v>500</v>
      </c>
      <c r="H842" s="946">
        <v>673.41</v>
      </c>
    </row>
    <row r="843" spans="1:9" s="26" customFormat="1">
      <c r="A843" s="947">
        <v>3</v>
      </c>
      <c r="B843" s="948">
        <v>751</v>
      </c>
      <c r="C843" s="948" t="s">
        <v>3902</v>
      </c>
      <c r="D843" s="947" t="s">
        <v>4</v>
      </c>
      <c r="E843" s="949">
        <v>54667</v>
      </c>
      <c r="F843" s="950">
        <v>12</v>
      </c>
      <c r="G843" s="951">
        <v>85</v>
      </c>
      <c r="H843" s="951">
        <v>84.83</v>
      </c>
      <c r="I843" s="18"/>
    </row>
    <row r="844" spans="1:9">
      <c r="A844" s="943">
        <v>3</v>
      </c>
      <c r="B844" s="944">
        <v>751.1</v>
      </c>
      <c r="C844" s="944" t="s">
        <v>4004</v>
      </c>
      <c r="D844" s="943" t="s">
        <v>4</v>
      </c>
      <c r="E844" s="952">
        <v>2685</v>
      </c>
      <c r="F844" s="945">
        <v>4</v>
      </c>
      <c r="G844" s="946">
        <v>90</v>
      </c>
      <c r="H844" s="946">
        <v>90.63</v>
      </c>
    </row>
    <row r="845" spans="1:9" s="26" customFormat="1">
      <c r="A845" s="947">
        <v>3</v>
      </c>
      <c r="B845" s="948">
        <v>751.7</v>
      </c>
      <c r="C845" s="948" t="s">
        <v>4005</v>
      </c>
      <c r="D845" s="947" t="s">
        <v>4</v>
      </c>
      <c r="E845" s="950">
        <v>788</v>
      </c>
      <c r="F845" s="950">
        <v>3</v>
      </c>
      <c r="G845" s="951">
        <v>100</v>
      </c>
      <c r="H845" s="951">
        <v>95.61</v>
      </c>
      <c r="I845" s="18"/>
    </row>
    <row r="846" spans="1:9">
      <c r="A846" s="943">
        <v>3</v>
      </c>
      <c r="B846" s="944">
        <v>755.35</v>
      </c>
      <c r="C846" s="944" t="s">
        <v>1428</v>
      </c>
      <c r="D846" s="943" t="s">
        <v>22</v>
      </c>
      <c r="E846" s="945">
        <v>12</v>
      </c>
      <c r="F846" s="945">
        <v>4</v>
      </c>
      <c r="G846" s="946">
        <v>25000</v>
      </c>
      <c r="H846" s="946">
        <v>25187.5</v>
      </c>
    </row>
    <row r="847" spans="1:9" s="26" customFormat="1">
      <c r="A847" s="947">
        <v>3</v>
      </c>
      <c r="B847" s="948">
        <v>755.45</v>
      </c>
      <c r="C847" s="948" t="s">
        <v>1429</v>
      </c>
      <c r="D847" s="947" t="s">
        <v>1</v>
      </c>
      <c r="E847" s="950">
        <v>520</v>
      </c>
      <c r="F847" s="950">
        <v>1</v>
      </c>
      <c r="G847" s="951">
        <v>100</v>
      </c>
      <c r="H847" s="951">
        <v>102</v>
      </c>
      <c r="I847" s="18"/>
    </row>
    <row r="848" spans="1:9">
      <c r="A848" s="943">
        <v>3</v>
      </c>
      <c r="B848" s="944">
        <v>755.75</v>
      </c>
      <c r="C848" s="944" t="s">
        <v>1430</v>
      </c>
      <c r="D848" s="943" t="s">
        <v>24</v>
      </c>
      <c r="E848" s="952">
        <v>1100</v>
      </c>
      <c r="F848" s="945">
        <v>4</v>
      </c>
      <c r="G848" s="946">
        <v>190</v>
      </c>
      <c r="H848" s="946">
        <v>173.26</v>
      </c>
    </row>
    <row r="849" spans="1:9" s="26" customFormat="1">
      <c r="A849" s="947">
        <v>3</v>
      </c>
      <c r="B849" s="948">
        <v>755.76</v>
      </c>
      <c r="C849" s="948" t="s">
        <v>1431</v>
      </c>
      <c r="D849" s="947" t="s">
        <v>22</v>
      </c>
      <c r="E849" s="950">
        <v>10</v>
      </c>
      <c r="F849" s="950">
        <v>3</v>
      </c>
      <c r="G849" s="951">
        <v>7750</v>
      </c>
      <c r="H849" s="951">
        <v>6600</v>
      </c>
      <c r="I849" s="18"/>
    </row>
    <row r="850" spans="1:9">
      <c r="A850" s="943">
        <v>3</v>
      </c>
      <c r="B850" s="944">
        <v>756</v>
      </c>
      <c r="C850" s="944" t="s">
        <v>432</v>
      </c>
      <c r="D850" s="943" t="s">
        <v>22</v>
      </c>
      <c r="E850" s="945">
        <v>40</v>
      </c>
      <c r="F850" s="945">
        <v>12</v>
      </c>
      <c r="G850" s="946">
        <v>12000</v>
      </c>
      <c r="H850" s="946">
        <v>11031.25</v>
      </c>
    </row>
    <row r="851" spans="1:9" s="26" customFormat="1">
      <c r="A851" s="947">
        <v>3</v>
      </c>
      <c r="B851" s="948">
        <v>765</v>
      </c>
      <c r="C851" s="948" t="s">
        <v>34</v>
      </c>
      <c r="D851" s="947" t="s">
        <v>1</v>
      </c>
      <c r="E851" s="949">
        <v>278948</v>
      </c>
      <c r="F851" s="950">
        <v>9</v>
      </c>
      <c r="G851" s="951">
        <v>3</v>
      </c>
      <c r="H851" s="951">
        <v>2.85</v>
      </c>
      <c r="I851" s="18"/>
    </row>
    <row r="852" spans="1:9">
      <c r="A852" s="943">
        <v>3</v>
      </c>
      <c r="B852" s="944">
        <v>765.2</v>
      </c>
      <c r="C852" s="944" t="s">
        <v>2531</v>
      </c>
      <c r="D852" s="943" t="s">
        <v>1</v>
      </c>
      <c r="E852" s="952">
        <v>1568</v>
      </c>
      <c r="F852" s="945">
        <v>1</v>
      </c>
      <c r="G852" s="946">
        <v>4.75</v>
      </c>
      <c r="H852" s="946">
        <v>4.7699999999999996</v>
      </c>
    </row>
    <row r="853" spans="1:9" s="26" customFormat="1">
      <c r="A853" s="947">
        <v>3</v>
      </c>
      <c r="B853" s="948">
        <v>767.12099999999998</v>
      </c>
      <c r="C853" s="948" t="s">
        <v>1436</v>
      </c>
      <c r="D853" s="947" t="s">
        <v>17</v>
      </c>
      <c r="E853" s="949">
        <v>322892</v>
      </c>
      <c r="F853" s="950">
        <v>15</v>
      </c>
      <c r="G853" s="951">
        <v>7</v>
      </c>
      <c r="H853" s="951">
        <v>6.7</v>
      </c>
      <c r="I853" s="18"/>
    </row>
    <row r="854" spans="1:9">
      <c r="A854" s="943">
        <v>3</v>
      </c>
      <c r="B854" s="944">
        <v>767.4</v>
      </c>
      <c r="C854" s="944" t="s">
        <v>440</v>
      </c>
      <c r="D854" s="943" t="s">
        <v>4</v>
      </c>
      <c r="E854" s="945">
        <v>372</v>
      </c>
      <c r="F854" s="945">
        <v>2</v>
      </c>
      <c r="G854" s="946">
        <v>80</v>
      </c>
      <c r="H854" s="946">
        <v>74.069999999999993</v>
      </c>
    </row>
    <row r="855" spans="1:9" s="26" customFormat="1">
      <c r="A855" s="947">
        <v>3</v>
      </c>
      <c r="B855" s="948">
        <v>767.6</v>
      </c>
      <c r="C855" s="948" t="s">
        <v>441</v>
      </c>
      <c r="D855" s="947" t="s">
        <v>4</v>
      </c>
      <c r="E855" s="949">
        <v>1055</v>
      </c>
      <c r="F855" s="950">
        <v>2</v>
      </c>
      <c r="G855" s="951">
        <v>88</v>
      </c>
      <c r="H855" s="951">
        <v>87.91</v>
      </c>
      <c r="I855" s="18"/>
    </row>
    <row r="856" spans="1:9">
      <c r="A856" s="943">
        <v>3</v>
      </c>
      <c r="B856" s="944">
        <v>767.9</v>
      </c>
      <c r="C856" s="944" t="s">
        <v>1437</v>
      </c>
      <c r="D856" s="943" t="s">
        <v>1</v>
      </c>
      <c r="E856" s="952">
        <v>11800</v>
      </c>
      <c r="F856" s="945">
        <v>3</v>
      </c>
      <c r="G856" s="946">
        <v>7.5</v>
      </c>
      <c r="H856" s="946">
        <v>7.28</v>
      </c>
    </row>
    <row r="857" spans="1:9" s="26" customFormat="1">
      <c r="A857" s="947">
        <v>3</v>
      </c>
      <c r="B857" s="948">
        <v>769</v>
      </c>
      <c r="C857" s="948" t="s">
        <v>443</v>
      </c>
      <c r="D857" s="947" t="s">
        <v>17</v>
      </c>
      <c r="E857" s="949">
        <v>100540</v>
      </c>
      <c r="F857" s="950">
        <v>10</v>
      </c>
      <c r="G857" s="951">
        <v>10</v>
      </c>
      <c r="H857" s="951">
        <v>10.69</v>
      </c>
      <c r="I857" s="18"/>
    </row>
    <row r="858" spans="1:9">
      <c r="A858" s="943">
        <v>3</v>
      </c>
      <c r="B858" s="944">
        <v>776.52300000000002</v>
      </c>
      <c r="C858" s="944" t="s">
        <v>4012</v>
      </c>
      <c r="D858" s="943" t="s">
        <v>2</v>
      </c>
      <c r="E858" s="945">
        <v>27</v>
      </c>
      <c r="F858" s="945">
        <v>1</v>
      </c>
      <c r="G858" s="946">
        <v>710</v>
      </c>
      <c r="H858" s="946">
        <v>736.56</v>
      </c>
    </row>
    <row r="859" spans="1:9" s="26" customFormat="1">
      <c r="A859" s="947">
        <v>3</v>
      </c>
      <c r="B859" s="948">
        <v>776.83600000000001</v>
      </c>
      <c r="C859" s="948" t="s">
        <v>1477</v>
      </c>
      <c r="D859" s="947" t="s">
        <v>2</v>
      </c>
      <c r="E859" s="950">
        <v>24</v>
      </c>
      <c r="F859" s="950">
        <v>1</v>
      </c>
      <c r="G859" s="951">
        <v>944.5</v>
      </c>
      <c r="H859" s="951">
        <v>958</v>
      </c>
      <c r="I859" s="18"/>
    </row>
    <row r="860" spans="1:9">
      <c r="A860" s="943">
        <v>3</v>
      </c>
      <c r="B860" s="944">
        <v>777.13800000000003</v>
      </c>
      <c r="C860" s="944" t="s">
        <v>453</v>
      </c>
      <c r="D860" s="943" t="s">
        <v>2</v>
      </c>
      <c r="E860" s="945">
        <v>120</v>
      </c>
      <c r="F860" s="945">
        <v>1</v>
      </c>
      <c r="G860" s="946">
        <v>800</v>
      </c>
      <c r="H860" s="946">
        <v>793.3</v>
      </c>
    </row>
    <row r="861" spans="1:9" s="26" customFormat="1">
      <c r="A861" s="947">
        <v>3</v>
      </c>
      <c r="B861" s="948">
        <v>781.28399999999999</v>
      </c>
      <c r="C861" s="948" t="s">
        <v>4024</v>
      </c>
      <c r="D861" s="947" t="s">
        <v>2</v>
      </c>
      <c r="E861" s="950">
        <v>70</v>
      </c>
      <c r="F861" s="950">
        <v>1</v>
      </c>
      <c r="G861" s="951">
        <v>700</v>
      </c>
      <c r="H861" s="951">
        <v>688.5</v>
      </c>
      <c r="I861" s="18"/>
    </row>
    <row r="862" spans="1:9">
      <c r="A862" s="943">
        <v>3</v>
      </c>
      <c r="B862" s="944">
        <v>783.46699999999998</v>
      </c>
      <c r="C862" s="944" t="s">
        <v>463</v>
      </c>
      <c r="D862" s="943" t="s">
        <v>2</v>
      </c>
      <c r="E862" s="945">
        <v>20</v>
      </c>
      <c r="F862" s="945">
        <v>1</v>
      </c>
      <c r="G862" s="946">
        <v>797.5</v>
      </c>
      <c r="H862" s="946">
        <v>773.63</v>
      </c>
    </row>
    <row r="863" spans="1:9" s="26" customFormat="1">
      <c r="A863" s="947">
        <v>3</v>
      </c>
      <c r="B863" s="948">
        <v>785.73099999999999</v>
      </c>
      <c r="C863" s="948" t="s">
        <v>4014</v>
      </c>
      <c r="D863" s="947" t="s">
        <v>2</v>
      </c>
      <c r="E863" s="950">
        <v>68</v>
      </c>
      <c r="F863" s="950">
        <v>1</v>
      </c>
      <c r="G863" s="951">
        <v>95</v>
      </c>
      <c r="H863" s="951">
        <v>80</v>
      </c>
      <c r="I863" s="18"/>
    </row>
    <row r="864" spans="1:9">
      <c r="A864" s="943">
        <v>3</v>
      </c>
      <c r="B864" s="944">
        <v>789.63300000000004</v>
      </c>
      <c r="C864" s="944" t="s">
        <v>4008</v>
      </c>
      <c r="D864" s="943" t="s">
        <v>2</v>
      </c>
      <c r="E864" s="945">
        <v>312</v>
      </c>
      <c r="F864" s="945">
        <v>1</v>
      </c>
      <c r="G864" s="946">
        <v>122.5</v>
      </c>
      <c r="H864" s="946">
        <v>118</v>
      </c>
    </row>
    <row r="865" spans="1:9" s="26" customFormat="1">
      <c r="A865" s="947">
        <v>3</v>
      </c>
      <c r="B865" s="948">
        <v>790.71699999999998</v>
      </c>
      <c r="C865" s="948" t="s">
        <v>4059</v>
      </c>
      <c r="D865" s="947" t="s">
        <v>2</v>
      </c>
      <c r="E865" s="950">
        <v>176</v>
      </c>
      <c r="F865" s="950">
        <v>1</v>
      </c>
      <c r="G865" s="951">
        <v>69</v>
      </c>
      <c r="H865" s="951">
        <v>64</v>
      </c>
      <c r="I865" s="18"/>
    </row>
    <row r="866" spans="1:9">
      <c r="A866" s="943">
        <v>3</v>
      </c>
      <c r="B866" s="944">
        <v>794.33100000000002</v>
      </c>
      <c r="C866" s="944" t="s">
        <v>4061</v>
      </c>
      <c r="D866" s="943" t="s">
        <v>2</v>
      </c>
      <c r="E866" s="945">
        <v>276</v>
      </c>
      <c r="F866" s="945">
        <v>1</v>
      </c>
      <c r="G866" s="946">
        <v>55</v>
      </c>
      <c r="H866" s="946">
        <v>55</v>
      </c>
    </row>
    <row r="867" spans="1:9" s="26" customFormat="1">
      <c r="A867" s="947">
        <v>3</v>
      </c>
      <c r="B867" s="948">
        <v>794.73699999999997</v>
      </c>
      <c r="C867" s="948" t="s">
        <v>4010</v>
      </c>
      <c r="D867" s="947" t="s">
        <v>2</v>
      </c>
      <c r="E867" s="950">
        <v>90</v>
      </c>
      <c r="F867" s="950">
        <v>1</v>
      </c>
      <c r="G867" s="951">
        <v>55</v>
      </c>
      <c r="H867" s="951">
        <v>55</v>
      </c>
      <c r="I867" s="18"/>
    </row>
    <row r="868" spans="1:9">
      <c r="A868" s="943">
        <v>3</v>
      </c>
      <c r="B868" s="944">
        <v>795.15099999999995</v>
      </c>
      <c r="C868" s="944" t="s">
        <v>4019</v>
      </c>
      <c r="D868" s="943" t="s">
        <v>2</v>
      </c>
      <c r="E868" s="945">
        <v>16</v>
      </c>
      <c r="F868" s="945">
        <v>1</v>
      </c>
      <c r="G868" s="946">
        <v>69</v>
      </c>
      <c r="H868" s="946">
        <v>64.63</v>
      </c>
    </row>
    <row r="869" spans="1:9" s="26" customFormat="1">
      <c r="A869" s="947">
        <v>3</v>
      </c>
      <c r="B869" s="948">
        <v>795.15499999999997</v>
      </c>
      <c r="C869" s="948" t="s">
        <v>4020</v>
      </c>
      <c r="D869" s="947" t="s">
        <v>2</v>
      </c>
      <c r="E869" s="950">
        <v>104</v>
      </c>
      <c r="F869" s="950">
        <v>1</v>
      </c>
      <c r="G869" s="951">
        <v>69</v>
      </c>
      <c r="H869" s="951">
        <v>65.25</v>
      </c>
      <c r="I869" s="18"/>
    </row>
    <row r="870" spans="1:9">
      <c r="A870" s="943">
        <v>3</v>
      </c>
      <c r="B870" s="944">
        <v>795.43299999999999</v>
      </c>
      <c r="C870" s="944" t="s">
        <v>4065</v>
      </c>
      <c r="D870" s="943" t="s">
        <v>2</v>
      </c>
      <c r="E870" s="945">
        <v>126</v>
      </c>
      <c r="F870" s="945">
        <v>1</v>
      </c>
      <c r="G870" s="946">
        <v>102.5</v>
      </c>
      <c r="H870" s="946">
        <v>102</v>
      </c>
    </row>
    <row r="871" spans="1:9" s="26" customFormat="1">
      <c r="A871" s="947">
        <v>3</v>
      </c>
      <c r="B871" s="948">
        <v>801.42</v>
      </c>
      <c r="C871" s="948" t="s">
        <v>484</v>
      </c>
      <c r="D871" s="947" t="s">
        <v>17</v>
      </c>
      <c r="E871" s="949">
        <v>4800</v>
      </c>
      <c r="F871" s="950">
        <v>1</v>
      </c>
      <c r="G871" s="951">
        <v>86</v>
      </c>
      <c r="H871" s="951">
        <v>86.75</v>
      </c>
      <c r="I871" s="18"/>
    </row>
    <row r="872" spans="1:9">
      <c r="A872" s="943">
        <v>3</v>
      </c>
      <c r="B872" s="944">
        <v>801.44</v>
      </c>
      <c r="C872" s="944" t="s">
        <v>1511</v>
      </c>
      <c r="D872" s="943" t="s">
        <v>17</v>
      </c>
      <c r="E872" s="952">
        <v>1032</v>
      </c>
      <c r="F872" s="945">
        <v>1</v>
      </c>
      <c r="G872" s="946">
        <v>200</v>
      </c>
      <c r="H872" s="946">
        <v>187.17</v>
      </c>
    </row>
    <row r="873" spans="1:9" s="26" customFormat="1">
      <c r="A873" s="947">
        <v>3</v>
      </c>
      <c r="B873" s="948">
        <v>801.46</v>
      </c>
      <c r="C873" s="948" t="s">
        <v>1512</v>
      </c>
      <c r="D873" s="947" t="s">
        <v>17</v>
      </c>
      <c r="E873" s="949">
        <v>1290</v>
      </c>
      <c r="F873" s="950">
        <v>1</v>
      </c>
      <c r="G873" s="951">
        <v>235</v>
      </c>
      <c r="H873" s="951">
        <v>225</v>
      </c>
      <c r="I873" s="18"/>
    </row>
    <row r="874" spans="1:9">
      <c r="A874" s="943">
        <v>3</v>
      </c>
      <c r="B874" s="944">
        <v>804.2</v>
      </c>
      <c r="C874" s="944" t="s">
        <v>487</v>
      </c>
      <c r="D874" s="943" t="s">
        <v>17</v>
      </c>
      <c r="E874" s="945">
        <v>150</v>
      </c>
      <c r="F874" s="945">
        <v>1</v>
      </c>
      <c r="G874" s="946">
        <v>10</v>
      </c>
      <c r="H874" s="946">
        <v>6.67</v>
      </c>
    </row>
    <row r="875" spans="1:9" s="26" customFormat="1">
      <c r="A875" s="947">
        <v>3</v>
      </c>
      <c r="B875" s="948">
        <v>804.3</v>
      </c>
      <c r="C875" s="948" t="s">
        <v>488</v>
      </c>
      <c r="D875" s="947" t="s">
        <v>17</v>
      </c>
      <c r="E875" s="949">
        <v>8453</v>
      </c>
      <c r="F875" s="950">
        <v>5</v>
      </c>
      <c r="G875" s="951">
        <v>75</v>
      </c>
      <c r="H875" s="951">
        <v>71.709999999999994</v>
      </c>
      <c r="I875" s="18"/>
    </row>
    <row r="876" spans="1:9">
      <c r="A876" s="943">
        <v>3</v>
      </c>
      <c r="B876" s="944">
        <v>804.4</v>
      </c>
      <c r="C876" s="944" t="s">
        <v>489</v>
      </c>
      <c r="D876" s="943" t="s">
        <v>17</v>
      </c>
      <c r="E876" s="952">
        <v>2400</v>
      </c>
      <c r="F876" s="945">
        <v>1</v>
      </c>
      <c r="G876" s="946">
        <v>38</v>
      </c>
      <c r="H876" s="946">
        <v>37.630000000000003</v>
      </c>
    </row>
    <row r="877" spans="1:9" s="26" customFormat="1">
      <c r="A877" s="947">
        <v>3</v>
      </c>
      <c r="B877" s="948">
        <v>806.4</v>
      </c>
      <c r="C877" s="948" t="s">
        <v>492</v>
      </c>
      <c r="D877" s="947" t="s">
        <v>17</v>
      </c>
      <c r="E877" s="949">
        <v>1062</v>
      </c>
      <c r="F877" s="950">
        <v>1</v>
      </c>
      <c r="G877" s="951">
        <v>170</v>
      </c>
      <c r="H877" s="951">
        <v>171.33</v>
      </c>
      <c r="I877" s="18"/>
    </row>
    <row r="878" spans="1:9">
      <c r="A878" s="943">
        <v>3</v>
      </c>
      <c r="B878" s="944">
        <v>811.22</v>
      </c>
      <c r="C878" s="944" t="s">
        <v>496</v>
      </c>
      <c r="D878" s="943" t="s">
        <v>2</v>
      </c>
      <c r="E878" s="945">
        <v>153</v>
      </c>
      <c r="F878" s="945">
        <v>4</v>
      </c>
      <c r="G878" s="946">
        <v>1865</v>
      </c>
      <c r="H878" s="946">
        <v>1781.33</v>
      </c>
    </row>
    <row r="879" spans="1:9" s="26" customFormat="1">
      <c r="A879" s="947">
        <v>3</v>
      </c>
      <c r="B879" s="948">
        <v>811.3</v>
      </c>
      <c r="C879" s="948" t="s">
        <v>500</v>
      </c>
      <c r="D879" s="947" t="s">
        <v>2</v>
      </c>
      <c r="E879" s="950">
        <v>15</v>
      </c>
      <c r="F879" s="950">
        <v>1</v>
      </c>
      <c r="G879" s="951">
        <v>100</v>
      </c>
      <c r="H879" s="951">
        <v>66.67</v>
      </c>
      <c r="I879" s="18"/>
    </row>
    <row r="880" spans="1:9">
      <c r="A880" s="943">
        <v>3</v>
      </c>
      <c r="B880" s="944">
        <v>811.31</v>
      </c>
      <c r="C880" s="944" t="s">
        <v>501</v>
      </c>
      <c r="D880" s="943" t="s">
        <v>2</v>
      </c>
      <c r="E880" s="945">
        <v>84</v>
      </c>
      <c r="F880" s="945">
        <v>4</v>
      </c>
      <c r="G880" s="946">
        <v>1200</v>
      </c>
      <c r="H880" s="946">
        <v>1174.44</v>
      </c>
    </row>
    <row r="881" spans="1:9" s="26" customFormat="1">
      <c r="A881" s="947">
        <v>3</v>
      </c>
      <c r="B881" s="948">
        <v>811.35</v>
      </c>
      <c r="C881" s="948" t="s">
        <v>502</v>
      </c>
      <c r="D881" s="947" t="s">
        <v>2</v>
      </c>
      <c r="E881" s="950">
        <v>9</v>
      </c>
      <c r="F881" s="950">
        <v>1</v>
      </c>
      <c r="G881" s="951">
        <v>400</v>
      </c>
      <c r="H881" s="951">
        <v>350</v>
      </c>
      <c r="I881" s="18"/>
    </row>
    <row r="882" spans="1:9">
      <c r="A882" s="943">
        <v>3</v>
      </c>
      <c r="B882" s="944">
        <v>811.37</v>
      </c>
      <c r="C882" s="944" t="s">
        <v>504</v>
      </c>
      <c r="D882" s="943" t="s">
        <v>2</v>
      </c>
      <c r="E882" s="945">
        <v>6</v>
      </c>
      <c r="F882" s="945">
        <v>1</v>
      </c>
      <c r="G882" s="946">
        <v>400</v>
      </c>
      <c r="H882" s="946">
        <v>300</v>
      </c>
    </row>
    <row r="883" spans="1:9" s="26" customFormat="1">
      <c r="A883" s="947">
        <v>3</v>
      </c>
      <c r="B883" s="948">
        <v>812.13</v>
      </c>
      <c r="C883" s="948" t="s">
        <v>508</v>
      </c>
      <c r="D883" s="947" t="s">
        <v>2</v>
      </c>
      <c r="E883" s="950">
        <v>6</v>
      </c>
      <c r="F883" s="950">
        <v>1</v>
      </c>
      <c r="G883" s="951">
        <v>4000</v>
      </c>
      <c r="H883" s="951">
        <v>3666.67</v>
      </c>
      <c r="I883" s="18"/>
    </row>
    <row r="884" spans="1:9">
      <c r="A884" s="943">
        <v>3</v>
      </c>
      <c r="B884" s="944">
        <v>812.3</v>
      </c>
      <c r="C884" s="944" t="s">
        <v>3113</v>
      </c>
      <c r="D884" s="943" t="s">
        <v>2</v>
      </c>
      <c r="E884" s="945">
        <v>64</v>
      </c>
      <c r="F884" s="945">
        <v>2</v>
      </c>
      <c r="G884" s="946">
        <v>1500</v>
      </c>
      <c r="H884" s="946">
        <v>1564.29</v>
      </c>
    </row>
    <row r="885" spans="1:9" s="26" customFormat="1">
      <c r="A885" s="947">
        <v>3</v>
      </c>
      <c r="B885" s="948">
        <v>813.42</v>
      </c>
      <c r="C885" s="948" t="s">
        <v>519</v>
      </c>
      <c r="D885" s="947" t="s">
        <v>17</v>
      </c>
      <c r="E885" s="950">
        <v>800</v>
      </c>
      <c r="F885" s="950">
        <v>1</v>
      </c>
      <c r="G885" s="951">
        <v>2</v>
      </c>
      <c r="H885" s="951">
        <v>1.63</v>
      </c>
      <c r="I885" s="18"/>
    </row>
    <row r="886" spans="1:9">
      <c r="A886" s="943">
        <v>3</v>
      </c>
      <c r="B886" s="944">
        <v>813.52</v>
      </c>
      <c r="C886" s="944" t="s">
        <v>521</v>
      </c>
      <c r="D886" s="943" t="s">
        <v>17</v>
      </c>
      <c r="E886" s="945">
        <v>800</v>
      </c>
      <c r="F886" s="945">
        <v>1</v>
      </c>
      <c r="G886" s="946">
        <v>5</v>
      </c>
      <c r="H886" s="946">
        <v>5.5</v>
      </c>
    </row>
    <row r="887" spans="1:9" s="26" customFormat="1">
      <c r="A887" s="947">
        <v>3</v>
      </c>
      <c r="B887" s="948">
        <v>813.53</v>
      </c>
      <c r="C887" s="948" t="s">
        <v>3132</v>
      </c>
      <c r="D887" s="947" t="s">
        <v>17</v>
      </c>
      <c r="E887" s="949">
        <v>2400</v>
      </c>
      <c r="F887" s="950">
        <v>1</v>
      </c>
      <c r="G887" s="951">
        <v>2</v>
      </c>
      <c r="H887" s="951">
        <v>1.33</v>
      </c>
      <c r="I887" s="18"/>
    </row>
    <row r="888" spans="1:9">
      <c r="A888" s="943">
        <v>3</v>
      </c>
      <c r="B888" s="944">
        <v>813.81</v>
      </c>
      <c r="C888" s="944" t="s">
        <v>525</v>
      </c>
      <c r="D888" s="943" t="s">
        <v>22</v>
      </c>
      <c r="E888" s="945">
        <v>4</v>
      </c>
      <c r="F888" s="945">
        <v>1</v>
      </c>
      <c r="G888" s="946">
        <v>5750</v>
      </c>
      <c r="H888" s="946">
        <v>5875</v>
      </c>
    </row>
    <row r="889" spans="1:9" s="26" customFormat="1">
      <c r="A889" s="947">
        <v>3</v>
      </c>
      <c r="B889" s="948">
        <v>815.1</v>
      </c>
      <c r="C889" s="948" t="s">
        <v>526</v>
      </c>
      <c r="D889" s="947" t="s">
        <v>22</v>
      </c>
      <c r="E889" s="950">
        <v>4</v>
      </c>
      <c r="F889" s="950">
        <v>1</v>
      </c>
      <c r="G889" s="951">
        <v>265000</v>
      </c>
      <c r="H889" s="951">
        <v>236500</v>
      </c>
      <c r="I889" s="18"/>
    </row>
    <row r="890" spans="1:9">
      <c r="A890" s="943">
        <v>3</v>
      </c>
      <c r="B890" s="944">
        <v>816.01</v>
      </c>
      <c r="C890" s="944" t="s">
        <v>531</v>
      </c>
      <c r="D890" s="943" t="s">
        <v>22</v>
      </c>
      <c r="E890" s="945">
        <v>5</v>
      </c>
      <c r="F890" s="945">
        <v>1</v>
      </c>
      <c r="G890" s="946">
        <v>102350</v>
      </c>
      <c r="H890" s="946">
        <v>110940</v>
      </c>
    </row>
    <row r="891" spans="1:9" s="26" customFormat="1">
      <c r="A891" s="947">
        <v>3</v>
      </c>
      <c r="B891" s="948">
        <v>816.02</v>
      </c>
      <c r="C891" s="948" t="s">
        <v>532</v>
      </c>
      <c r="D891" s="947" t="s">
        <v>22</v>
      </c>
      <c r="E891" s="950">
        <v>6</v>
      </c>
      <c r="F891" s="950">
        <v>1</v>
      </c>
      <c r="G891" s="951">
        <v>324000</v>
      </c>
      <c r="H891" s="951">
        <v>330166.67</v>
      </c>
      <c r="I891" s="18"/>
    </row>
    <row r="892" spans="1:9">
      <c r="A892" s="943">
        <v>3</v>
      </c>
      <c r="B892" s="944">
        <v>816.8</v>
      </c>
      <c r="C892" s="944" t="s">
        <v>534</v>
      </c>
      <c r="D892" s="943" t="s">
        <v>22</v>
      </c>
      <c r="E892" s="945">
        <v>4</v>
      </c>
      <c r="F892" s="945">
        <v>1</v>
      </c>
      <c r="G892" s="946">
        <v>8250</v>
      </c>
      <c r="H892" s="946">
        <v>7500</v>
      </c>
    </row>
    <row r="893" spans="1:9" s="26" customFormat="1">
      <c r="A893" s="947">
        <v>3</v>
      </c>
      <c r="B893" s="948">
        <v>816.81</v>
      </c>
      <c r="C893" s="948" t="s">
        <v>535</v>
      </c>
      <c r="D893" s="947" t="s">
        <v>22</v>
      </c>
      <c r="E893" s="950">
        <v>5</v>
      </c>
      <c r="F893" s="950">
        <v>1</v>
      </c>
      <c r="G893" s="951">
        <v>13000</v>
      </c>
      <c r="H893" s="951">
        <v>13400</v>
      </c>
      <c r="I893" s="18"/>
    </row>
    <row r="894" spans="1:9">
      <c r="A894" s="943">
        <v>3</v>
      </c>
      <c r="B894" s="944">
        <v>817.1</v>
      </c>
      <c r="C894" s="944" t="s">
        <v>537</v>
      </c>
      <c r="D894" s="943" t="s">
        <v>2</v>
      </c>
      <c r="E894" s="945">
        <v>16</v>
      </c>
      <c r="F894" s="945">
        <v>2</v>
      </c>
      <c r="G894" s="946">
        <v>1312.5</v>
      </c>
      <c r="H894" s="946">
        <v>1281.25</v>
      </c>
    </row>
    <row r="895" spans="1:9" s="26" customFormat="1">
      <c r="A895" s="947">
        <v>3</v>
      </c>
      <c r="B895" s="948">
        <v>817.11</v>
      </c>
      <c r="C895" s="948" t="s">
        <v>538</v>
      </c>
      <c r="D895" s="947" t="s">
        <v>2</v>
      </c>
      <c r="E895" s="950">
        <v>120</v>
      </c>
      <c r="F895" s="950">
        <v>1</v>
      </c>
      <c r="G895" s="951">
        <v>1000</v>
      </c>
      <c r="H895" s="951">
        <v>867.5</v>
      </c>
      <c r="I895" s="18"/>
    </row>
    <row r="896" spans="1:9">
      <c r="A896" s="943">
        <v>3</v>
      </c>
      <c r="B896" s="944">
        <v>817.41</v>
      </c>
      <c r="C896" s="944" t="s">
        <v>3142</v>
      </c>
      <c r="D896" s="943" t="s">
        <v>2</v>
      </c>
      <c r="E896" s="945">
        <v>6</v>
      </c>
      <c r="F896" s="945">
        <v>1</v>
      </c>
      <c r="G896" s="946">
        <v>500</v>
      </c>
      <c r="H896" s="946">
        <v>430</v>
      </c>
    </row>
    <row r="897" spans="1:9" s="26" customFormat="1">
      <c r="A897" s="947">
        <v>3</v>
      </c>
      <c r="B897" s="948">
        <v>819.83</v>
      </c>
      <c r="C897" s="948" t="s">
        <v>3213</v>
      </c>
      <c r="D897" s="947" t="s">
        <v>2</v>
      </c>
      <c r="E897" s="950">
        <v>10</v>
      </c>
      <c r="F897" s="950">
        <v>1</v>
      </c>
      <c r="G897" s="951">
        <v>140</v>
      </c>
      <c r="H897" s="951">
        <v>120</v>
      </c>
      <c r="I897" s="18"/>
    </row>
    <row r="898" spans="1:9">
      <c r="A898" s="943">
        <v>3</v>
      </c>
      <c r="B898" s="944">
        <v>819.83100000000002</v>
      </c>
      <c r="C898" s="944" t="s">
        <v>540</v>
      </c>
      <c r="D898" s="943" t="s">
        <v>17</v>
      </c>
      <c r="E898" s="952">
        <v>40808</v>
      </c>
      <c r="F898" s="945">
        <v>4</v>
      </c>
      <c r="G898" s="946">
        <v>16</v>
      </c>
      <c r="H898" s="946">
        <v>16.079999999999998</v>
      </c>
    </row>
    <row r="899" spans="1:9" s="26" customFormat="1">
      <c r="A899" s="947">
        <v>3</v>
      </c>
      <c r="B899" s="948">
        <v>819.85</v>
      </c>
      <c r="C899" s="948" t="s">
        <v>3215</v>
      </c>
      <c r="D899" s="947" t="s">
        <v>2</v>
      </c>
      <c r="E899" s="950">
        <v>40</v>
      </c>
      <c r="F899" s="950">
        <v>1</v>
      </c>
      <c r="G899" s="951">
        <v>200</v>
      </c>
      <c r="H899" s="951">
        <v>183</v>
      </c>
      <c r="I899" s="18"/>
    </row>
    <row r="900" spans="1:9">
      <c r="A900" s="943">
        <v>3</v>
      </c>
      <c r="B900" s="944">
        <v>823.7</v>
      </c>
      <c r="C900" s="944" t="s">
        <v>547</v>
      </c>
      <c r="D900" s="943" t="s">
        <v>2</v>
      </c>
      <c r="E900" s="945">
        <v>7</v>
      </c>
      <c r="F900" s="945">
        <v>1</v>
      </c>
      <c r="G900" s="946">
        <v>4400</v>
      </c>
      <c r="H900" s="946">
        <v>4550</v>
      </c>
    </row>
    <row r="901" spans="1:9" s="26" customFormat="1">
      <c r="A901" s="947">
        <v>3</v>
      </c>
      <c r="B901" s="948">
        <v>824.5</v>
      </c>
      <c r="C901" s="948" t="s">
        <v>3291</v>
      </c>
      <c r="D901" s="947" t="s">
        <v>22</v>
      </c>
      <c r="E901" s="950">
        <v>7</v>
      </c>
      <c r="F901" s="950">
        <v>1</v>
      </c>
      <c r="G901" s="951">
        <v>5000</v>
      </c>
      <c r="H901" s="951">
        <v>4864.29</v>
      </c>
      <c r="I901" s="18"/>
    </row>
    <row r="902" spans="1:9">
      <c r="A902" s="943">
        <v>3</v>
      </c>
      <c r="B902" s="944">
        <v>824.6</v>
      </c>
      <c r="C902" s="944" t="s">
        <v>3293</v>
      </c>
      <c r="D902" s="943" t="s">
        <v>2</v>
      </c>
      <c r="E902" s="945">
        <v>4</v>
      </c>
      <c r="F902" s="945">
        <v>1</v>
      </c>
      <c r="G902" s="946">
        <v>1500</v>
      </c>
      <c r="H902" s="946">
        <v>1500</v>
      </c>
    </row>
    <row r="903" spans="1:9" s="26" customFormat="1">
      <c r="A903" s="947">
        <v>3</v>
      </c>
      <c r="B903" s="948">
        <v>827.21</v>
      </c>
      <c r="C903" s="948" t="s">
        <v>551</v>
      </c>
      <c r="D903" s="947" t="s">
        <v>2</v>
      </c>
      <c r="E903" s="950">
        <v>200</v>
      </c>
      <c r="F903" s="950">
        <v>1</v>
      </c>
      <c r="G903" s="951">
        <v>195</v>
      </c>
      <c r="H903" s="951">
        <v>195</v>
      </c>
      <c r="I903" s="18"/>
    </row>
    <row r="904" spans="1:9">
      <c r="A904" s="943">
        <v>3</v>
      </c>
      <c r="B904" s="944">
        <v>827.22</v>
      </c>
      <c r="C904" s="944" t="s">
        <v>3307</v>
      </c>
      <c r="D904" s="943" t="s">
        <v>2</v>
      </c>
      <c r="E904" s="945">
        <v>744</v>
      </c>
      <c r="F904" s="945">
        <v>2</v>
      </c>
      <c r="G904" s="946">
        <v>280</v>
      </c>
      <c r="H904" s="946">
        <v>297.31</v>
      </c>
    </row>
    <row r="905" spans="1:9" s="26" customFormat="1">
      <c r="A905" s="947">
        <v>3</v>
      </c>
      <c r="B905" s="948">
        <v>828.01</v>
      </c>
      <c r="C905" s="948" t="s">
        <v>1521</v>
      </c>
      <c r="D905" s="947" t="s">
        <v>3</v>
      </c>
      <c r="E905" s="950">
        <v>400</v>
      </c>
      <c r="F905" s="950">
        <v>1</v>
      </c>
      <c r="G905" s="951">
        <v>16.75</v>
      </c>
      <c r="H905" s="951">
        <v>16.75</v>
      </c>
      <c r="I905" s="18"/>
    </row>
    <row r="906" spans="1:9">
      <c r="A906" s="943">
        <v>3</v>
      </c>
      <c r="B906" s="944">
        <v>828.1</v>
      </c>
      <c r="C906" s="944" t="s">
        <v>553</v>
      </c>
      <c r="D906" s="943" t="s">
        <v>3</v>
      </c>
      <c r="E906" s="945">
        <v>500</v>
      </c>
      <c r="F906" s="945">
        <v>1</v>
      </c>
      <c r="G906" s="946">
        <v>27</v>
      </c>
      <c r="H906" s="946">
        <v>27</v>
      </c>
    </row>
    <row r="907" spans="1:9" s="26" customFormat="1">
      <c r="A907" s="947">
        <v>3</v>
      </c>
      <c r="B907" s="948">
        <v>829</v>
      </c>
      <c r="C907" s="948" t="s">
        <v>554</v>
      </c>
      <c r="D907" s="947" t="s">
        <v>3</v>
      </c>
      <c r="E907" s="949">
        <v>5520</v>
      </c>
      <c r="F907" s="950">
        <v>2</v>
      </c>
      <c r="G907" s="951">
        <v>29.5</v>
      </c>
      <c r="H907" s="951">
        <v>29.35</v>
      </c>
      <c r="I907" s="18"/>
    </row>
    <row r="908" spans="1:9">
      <c r="A908" s="943">
        <v>3</v>
      </c>
      <c r="B908" s="944">
        <v>831</v>
      </c>
      <c r="C908" s="944" t="s">
        <v>555</v>
      </c>
      <c r="D908" s="943" t="s">
        <v>3</v>
      </c>
      <c r="E908" s="952">
        <v>1730</v>
      </c>
      <c r="F908" s="945">
        <v>2</v>
      </c>
      <c r="G908" s="946">
        <v>36.75</v>
      </c>
      <c r="H908" s="946">
        <v>39.19</v>
      </c>
    </row>
    <row r="909" spans="1:9" s="26" customFormat="1">
      <c r="A909" s="947">
        <v>3</v>
      </c>
      <c r="B909" s="948">
        <v>832</v>
      </c>
      <c r="C909" s="948" t="s">
        <v>556</v>
      </c>
      <c r="D909" s="947" t="s">
        <v>3</v>
      </c>
      <c r="E909" s="949">
        <v>20014</v>
      </c>
      <c r="F909" s="950">
        <v>12</v>
      </c>
      <c r="G909" s="951">
        <v>16</v>
      </c>
      <c r="H909" s="951">
        <v>16.100000000000001</v>
      </c>
      <c r="I909" s="18"/>
    </row>
    <row r="910" spans="1:9">
      <c r="A910" s="943">
        <v>3</v>
      </c>
      <c r="B910" s="944">
        <v>833.5</v>
      </c>
      <c r="C910" s="944" t="s">
        <v>557</v>
      </c>
      <c r="D910" s="943" t="s">
        <v>2</v>
      </c>
      <c r="E910" s="952">
        <v>2929</v>
      </c>
      <c r="F910" s="945">
        <v>3</v>
      </c>
      <c r="G910" s="946">
        <v>9</v>
      </c>
      <c r="H910" s="946">
        <v>9.36</v>
      </c>
    </row>
    <row r="911" spans="1:9" s="26" customFormat="1">
      <c r="A911" s="947">
        <v>3</v>
      </c>
      <c r="B911" s="948">
        <v>833.7</v>
      </c>
      <c r="C911" s="948" t="s">
        <v>558</v>
      </c>
      <c r="D911" s="947" t="s">
        <v>2</v>
      </c>
      <c r="E911" s="949">
        <v>1469</v>
      </c>
      <c r="F911" s="950">
        <v>9</v>
      </c>
      <c r="G911" s="951">
        <v>90</v>
      </c>
      <c r="H911" s="951">
        <v>87.82</v>
      </c>
      <c r="I911" s="18"/>
    </row>
    <row r="912" spans="1:9">
      <c r="A912" s="943">
        <v>3</v>
      </c>
      <c r="B912" s="944">
        <v>834</v>
      </c>
      <c r="C912" s="944" t="s">
        <v>559</v>
      </c>
      <c r="D912" s="943" t="s">
        <v>2</v>
      </c>
      <c r="E912" s="945">
        <v>133</v>
      </c>
      <c r="F912" s="945">
        <v>3</v>
      </c>
      <c r="G912" s="946">
        <v>240</v>
      </c>
      <c r="H912" s="946">
        <v>240.38</v>
      </c>
    </row>
    <row r="913" spans="1:9" s="26" customFormat="1">
      <c r="A913" s="947">
        <v>3</v>
      </c>
      <c r="B913" s="948">
        <v>834.17</v>
      </c>
      <c r="C913" s="948" t="s">
        <v>560</v>
      </c>
      <c r="D913" s="947" t="s">
        <v>2</v>
      </c>
      <c r="E913" s="950">
        <v>585</v>
      </c>
      <c r="F913" s="950">
        <v>4</v>
      </c>
      <c r="G913" s="951">
        <v>74</v>
      </c>
      <c r="H913" s="951">
        <v>68.400000000000006</v>
      </c>
      <c r="I913" s="18"/>
    </row>
    <row r="914" spans="1:9">
      <c r="A914" s="943">
        <v>3</v>
      </c>
      <c r="B914" s="944">
        <v>834.18</v>
      </c>
      <c r="C914" s="944" t="s">
        <v>561</v>
      </c>
      <c r="D914" s="943" t="s">
        <v>2</v>
      </c>
      <c r="E914" s="952">
        <v>2913</v>
      </c>
      <c r="F914" s="945">
        <v>4</v>
      </c>
      <c r="G914" s="946">
        <v>57.5</v>
      </c>
      <c r="H914" s="946">
        <v>63.4</v>
      </c>
    </row>
    <row r="915" spans="1:9" s="26" customFormat="1">
      <c r="A915" s="947">
        <v>3</v>
      </c>
      <c r="B915" s="948">
        <v>836.5</v>
      </c>
      <c r="C915" s="948" t="s">
        <v>562</v>
      </c>
      <c r="D915" s="947" t="s">
        <v>2</v>
      </c>
      <c r="E915" s="950">
        <v>468</v>
      </c>
      <c r="F915" s="950">
        <v>4</v>
      </c>
      <c r="G915" s="951">
        <v>67.5</v>
      </c>
      <c r="H915" s="951">
        <v>86.25</v>
      </c>
      <c r="I915" s="18"/>
    </row>
    <row r="916" spans="1:9">
      <c r="A916" s="943">
        <v>3</v>
      </c>
      <c r="B916" s="944">
        <v>841.1</v>
      </c>
      <c r="C916" s="944" t="s">
        <v>566</v>
      </c>
      <c r="D916" s="943" t="s">
        <v>2</v>
      </c>
      <c r="E916" s="945">
        <v>72</v>
      </c>
      <c r="F916" s="945">
        <v>2</v>
      </c>
      <c r="G916" s="946">
        <v>2612.5</v>
      </c>
      <c r="H916" s="946">
        <v>2615</v>
      </c>
    </row>
    <row r="917" spans="1:9" s="26" customFormat="1">
      <c r="A917" s="947">
        <v>3</v>
      </c>
      <c r="B917" s="948">
        <v>841.2</v>
      </c>
      <c r="C917" s="948" t="s">
        <v>567</v>
      </c>
      <c r="D917" s="947" t="s">
        <v>2</v>
      </c>
      <c r="E917" s="950">
        <v>8</v>
      </c>
      <c r="F917" s="950">
        <v>1</v>
      </c>
      <c r="G917" s="951">
        <v>1600</v>
      </c>
      <c r="H917" s="951">
        <v>1600</v>
      </c>
      <c r="I917" s="18"/>
    </row>
    <row r="918" spans="1:9">
      <c r="A918" s="943">
        <v>3</v>
      </c>
      <c r="B918" s="944">
        <v>841.6</v>
      </c>
      <c r="C918" s="944" t="s">
        <v>569</v>
      </c>
      <c r="D918" s="943" t="s">
        <v>2</v>
      </c>
      <c r="E918" s="945">
        <v>8</v>
      </c>
      <c r="F918" s="945">
        <v>1</v>
      </c>
      <c r="G918" s="946">
        <v>1600</v>
      </c>
      <c r="H918" s="946">
        <v>1600</v>
      </c>
    </row>
    <row r="919" spans="1:9" s="26" customFormat="1">
      <c r="A919" s="947">
        <v>3</v>
      </c>
      <c r="B919" s="948">
        <v>841.8</v>
      </c>
      <c r="C919" s="948" t="s">
        <v>571</v>
      </c>
      <c r="D919" s="947" t="s">
        <v>2</v>
      </c>
      <c r="E919" s="950">
        <v>24</v>
      </c>
      <c r="F919" s="950">
        <v>1</v>
      </c>
      <c r="G919" s="951">
        <v>4375</v>
      </c>
      <c r="H919" s="951">
        <v>4466.88</v>
      </c>
      <c r="I919" s="18"/>
    </row>
    <row r="920" spans="1:9">
      <c r="A920" s="943">
        <v>3</v>
      </c>
      <c r="B920" s="944">
        <v>847.1</v>
      </c>
      <c r="C920" s="944" t="s">
        <v>578</v>
      </c>
      <c r="D920" s="943" t="s">
        <v>2</v>
      </c>
      <c r="E920" s="952">
        <v>2872</v>
      </c>
      <c r="F920" s="945">
        <v>11</v>
      </c>
      <c r="G920" s="946">
        <v>250</v>
      </c>
      <c r="H920" s="946">
        <v>252.7</v>
      </c>
    </row>
    <row r="921" spans="1:9" s="26" customFormat="1">
      <c r="A921" s="947">
        <v>3</v>
      </c>
      <c r="B921" s="948">
        <v>848.1</v>
      </c>
      <c r="C921" s="948" t="s">
        <v>579</v>
      </c>
      <c r="D921" s="947" t="s">
        <v>2</v>
      </c>
      <c r="E921" s="950">
        <v>57</v>
      </c>
      <c r="F921" s="950">
        <v>5</v>
      </c>
      <c r="G921" s="951">
        <v>490</v>
      </c>
      <c r="H921" s="951">
        <v>468.25</v>
      </c>
      <c r="I921" s="18"/>
    </row>
    <row r="922" spans="1:9">
      <c r="A922" s="943">
        <v>3</v>
      </c>
      <c r="B922" s="944">
        <v>850.41</v>
      </c>
      <c r="C922" s="944" t="s">
        <v>580</v>
      </c>
      <c r="D922" s="943" t="s">
        <v>24</v>
      </c>
      <c r="E922" s="952">
        <v>10936</v>
      </c>
      <c r="F922" s="945">
        <v>8</v>
      </c>
      <c r="G922" s="946">
        <v>72</v>
      </c>
      <c r="H922" s="946">
        <v>73.58</v>
      </c>
    </row>
    <row r="923" spans="1:9" s="26" customFormat="1">
      <c r="A923" s="947">
        <v>3</v>
      </c>
      <c r="B923" s="948">
        <v>851.1</v>
      </c>
      <c r="C923" s="948" t="s">
        <v>581</v>
      </c>
      <c r="D923" s="947" t="s">
        <v>42</v>
      </c>
      <c r="E923" s="949">
        <v>4171</v>
      </c>
      <c r="F923" s="950">
        <v>15</v>
      </c>
      <c r="G923" s="951">
        <v>61</v>
      </c>
      <c r="H923" s="951">
        <v>63.57</v>
      </c>
      <c r="I923" s="18"/>
    </row>
    <row r="924" spans="1:9">
      <c r="A924" s="943">
        <v>3</v>
      </c>
      <c r="B924" s="944">
        <v>852</v>
      </c>
      <c r="C924" s="944" t="s">
        <v>49</v>
      </c>
      <c r="D924" s="943" t="s">
        <v>3</v>
      </c>
      <c r="E924" s="952">
        <v>70546</v>
      </c>
      <c r="F924" s="945">
        <v>25</v>
      </c>
      <c r="G924" s="946">
        <v>25</v>
      </c>
      <c r="H924" s="946">
        <v>23.1</v>
      </c>
    </row>
    <row r="925" spans="1:9" s="26" customFormat="1">
      <c r="A925" s="947">
        <v>3</v>
      </c>
      <c r="B925" s="948">
        <v>853.1</v>
      </c>
      <c r="C925" s="948" t="s">
        <v>582</v>
      </c>
      <c r="D925" s="947" t="s">
        <v>2</v>
      </c>
      <c r="E925" s="950">
        <v>314</v>
      </c>
      <c r="F925" s="950">
        <v>12</v>
      </c>
      <c r="G925" s="951">
        <v>150</v>
      </c>
      <c r="H925" s="951">
        <v>158.47</v>
      </c>
      <c r="I925" s="18"/>
    </row>
    <row r="926" spans="1:9">
      <c r="A926" s="943">
        <v>3</v>
      </c>
      <c r="B926" s="944">
        <v>853.2</v>
      </c>
      <c r="C926" s="944" t="s">
        <v>1453</v>
      </c>
      <c r="D926" s="943" t="s">
        <v>17</v>
      </c>
      <c r="E926" s="952">
        <v>25985</v>
      </c>
      <c r="F926" s="945">
        <v>5</v>
      </c>
      <c r="G926" s="946">
        <v>55</v>
      </c>
      <c r="H926" s="946">
        <v>54.37</v>
      </c>
    </row>
    <row r="927" spans="1:9" s="26" customFormat="1">
      <c r="A927" s="947">
        <v>3</v>
      </c>
      <c r="B927" s="948">
        <v>853.21</v>
      </c>
      <c r="C927" s="948" t="s">
        <v>583</v>
      </c>
      <c r="D927" s="947" t="s">
        <v>17</v>
      </c>
      <c r="E927" s="949">
        <v>46246</v>
      </c>
      <c r="F927" s="950">
        <v>11</v>
      </c>
      <c r="G927" s="951">
        <v>20</v>
      </c>
      <c r="H927" s="951">
        <v>21.78</v>
      </c>
      <c r="I927" s="18"/>
    </row>
    <row r="928" spans="1:9">
      <c r="A928" s="943">
        <v>3</v>
      </c>
      <c r="B928" s="944">
        <v>853.23</v>
      </c>
      <c r="C928" s="944" t="s">
        <v>584</v>
      </c>
      <c r="D928" s="943" t="s">
        <v>17</v>
      </c>
      <c r="E928" s="952">
        <v>1500</v>
      </c>
      <c r="F928" s="945">
        <v>1</v>
      </c>
      <c r="G928" s="946">
        <v>75</v>
      </c>
      <c r="H928" s="946">
        <v>78.33</v>
      </c>
    </row>
    <row r="929" spans="1:9" s="26" customFormat="1">
      <c r="A929" s="947">
        <v>3</v>
      </c>
      <c r="B929" s="948">
        <v>853.33</v>
      </c>
      <c r="C929" s="948" t="s">
        <v>587</v>
      </c>
      <c r="D929" s="947" t="s">
        <v>17</v>
      </c>
      <c r="E929" s="949">
        <v>12465</v>
      </c>
      <c r="F929" s="950">
        <v>8</v>
      </c>
      <c r="G929" s="951">
        <v>77</v>
      </c>
      <c r="H929" s="951">
        <v>73.42</v>
      </c>
      <c r="I929" s="18"/>
    </row>
    <row r="930" spans="1:9">
      <c r="A930" s="943">
        <v>3</v>
      </c>
      <c r="B930" s="944">
        <v>853.40300000000002</v>
      </c>
      <c r="C930" s="944" t="s">
        <v>588</v>
      </c>
      <c r="D930" s="943" t="s">
        <v>42</v>
      </c>
      <c r="E930" s="952">
        <v>9258</v>
      </c>
      <c r="F930" s="945">
        <v>12</v>
      </c>
      <c r="G930" s="946">
        <v>200</v>
      </c>
      <c r="H930" s="946">
        <v>173.7</v>
      </c>
    </row>
    <row r="931" spans="1:9" s="26" customFormat="1">
      <c r="A931" s="947">
        <v>3</v>
      </c>
      <c r="B931" s="948">
        <v>853.8</v>
      </c>
      <c r="C931" s="948" t="s">
        <v>589</v>
      </c>
      <c r="D931" s="947" t="s">
        <v>42</v>
      </c>
      <c r="E931" s="949">
        <v>3837</v>
      </c>
      <c r="F931" s="950">
        <v>13</v>
      </c>
      <c r="G931" s="951">
        <v>40</v>
      </c>
      <c r="H931" s="951">
        <v>32.479999999999997</v>
      </c>
      <c r="I931" s="18"/>
    </row>
    <row r="932" spans="1:9">
      <c r="A932" s="943">
        <v>3</v>
      </c>
      <c r="B932" s="944">
        <v>854.01599999999996</v>
      </c>
      <c r="C932" s="944" t="s">
        <v>591</v>
      </c>
      <c r="D932" s="943" t="s">
        <v>17</v>
      </c>
      <c r="E932" s="952">
        <v>4967707</v>
      </c>
      <c r="F932" s="945">
        <v>10</v>
      </c>
      <c r="G932" s="946">
        <v>0.4</v>
      </c>
      <c r="H932" s="946">
        <v>0.38</v>
      </c>
    </row>
    <row r="933" spans="1:9" s="26" customFormat="1">
      <c r="A933" s="947">
        <v>3</v>
      </c>
      <c r="B933" s="948">
        <v>854.03599999999994</v>
      </c>
      <c r="C933" s="948" t="s">
        <v>592</v>
      </c>
      <c r="D933" s="947" t="s">
        <v>17</v>
      </c>
      <c r="E933" s="949">
        <v>692366</v>
      </c>
      <c r="F933" s="950">
        <v>12</v>
      </c>
      <c r="G933" s="951">
        <v>1.8</v>
      </c>
      <c r="H933" s="951">
        <v>1.82</v>
      </c>
      <c r="I933" s="18"/>
    </row>
    <row r="934" spans="1:9">
      <c r="A934" s="943">
        <v>3</v>
      </c>
      <c r="B934" s="944">
        <v>854.1</v>
      </c>
      <c r="C934" s="944" t="s">
        <v>593</v>
      </c>
      <c r="D934" s="943" t="s">
        <v>3</v>
      </c>
      <c r="E934" s="952">
        <v>334190</v>
      </c>
      <c r="F934" s="945">
        <v>11</v>
      </c>
      <c r="G934" s="946">
        <v>3</v>
      </c>
      <c r="H934" s="946">
        <v>2.86</v>
      </c>
    </row>
    <row r="935" spans="1:9" s="26" customFormat="1">
      <c r="A935" s="947">
        <v>3</v>
      </c>
      <c r="B935" s="948">
        <v>854.6</v>
      </c>
      <c r="C935" s="948" t="s">
        <v>1454</v>
      </c>
      <c r="D935" s="947" t="s">
        <v>42</v>
      </c>
      <c r="E935" s="949">
        <v>10956</v>
      </c>
      <c r="F935" s="950">
        <v>12</v>
      </c>
      <c r="G935" s="951">
        <v>25</v>
      </c>
      <c r="H935" s="951">
        <v>33.89</v>
      </c>
      <c r="I935" s="18"/>
    </row>
    <row r="936" spans="1:9">
      <c r="A936" s="943">
        <v>3</v>
      </c>
      <c r="B936" s="944">
        <v>856</v>
      </c>
      <c r="C936" s="944" t="s">
        <v>595</v>
      </c>
      <c r="D936" s="943" t="s">
        <v>42</v>
      </c>
      <c r="E936" s="952">
        <v>44159</v>
      </c>
      <c r="F936" s="945">
        <v>22</v>
      </c>
      <c r="G936" s="946">
        <v>10.5</v>
      </c>
      <c r="H936" s="946">
        <v>10.91</v>
      </c>
    </row>
    <row r="937" spans="1:9" s="26" customFormat="1">
      <c r="A937" s="947">
        <v>3</v>
      </c>
      <c r="B937" s="948">
        <v>856.12</v>
      </c>
      <c r="C937" s="948" t="s">
        <v>596</v>
      </c>
      <c r="D937" s="947" t="s">
        <v>42</v>
      </c>
      <c r="E937" s="949">
        <v>120115</v>
      </c>
      <c r="F937" s="950">
        <v>21</v>
      </c>
      <c r="G937" s="951">
        <v>25</v>
      </c>
      <c r="H937" s="951">
        <v>24.37</v>
      </c>
      <c r="I937" s="18"/>
    </row>
    <row r="938" spans="1:9">
      <c r="A938" s="943">
        <v>3</v>
      </c>
      <c r="B938" s="944">
        <v>859</v>
      </c>
      <c r="C938" s="944" t="s">
        <v>28</v>
      </c>
      <c r="D938" s="943" t="s">
        <v>42</v>
      </c>
      <c r="E938" s="952">
        <v>4801688</v>
      </c>
      <c r="F938" s="945">
        <v>21</v>
      </c>
      <c r="G938" s="946">
        <v>0.3</v>
      </c>
      <c r="H938" s="946">
        <v>0.27</v>
      </c>
    </row>
    <row r="939" spans="1:9" s="26" customFormat="1">
      <c r="A939" s="947">
        <v>3</v>
      </c>
      <c r="B939" s="948">
        <v>859.1</v>
      </c>
      <c r="C939" s="948" t="s">
        <v>1455</v>
      </c>
      <c r="D939" s="947" t="s">
        <v>42</v>
      </c>
      <c r="E939" s="949">
        <v>78023</v>
      </c>
      <c r="F939" s="950">
        <v>20</v>
      </c>
      <c r="G939" s="951">
        <v>5</v>
      </c>
      <c r="H939" s="951">
        <v>4.96</v>
      </c>
      <c r="I939" s="18"/>
    </row>
    <row r="940" spans="1:9">
      <c r="A940" s="943">
        <v>3</v>
      </c>
      <c r="B940" s="944">
        <v>860.10599999999999</v>
      </c>
      <c r="C940" s="944" t="s">
        <v>597</v>
      </c>
      <c r="D940" s="943" t="s">
        <v>17</v>
      </c>
      <c r="E940" s="952">
        <v>2700000</v>
      </c>
      <c r="F940" s="945">
        <v>1</v>
      </c>
      <c r="G940" s="946">
        <v>0.18</v>
      </c>
      <c r="H940" s="946">
        <v>0.17</v>
      </c>
    </row>
    <row r="941" spans="1:9" s="26" customFormat="1">
      <c r="A941" s="947">
        <v>3</v>
      </c>
      <c r="B941" s="948">
        <v>860.11199999999997</v>
      </c>
      <c r="C941" s="948" t="s">
        <v>598</v>
      </c>
      <c r="D941" s="947" t="s">
        <v>17</v>
      </c>
      <c r="E941" s="950">
        <v>135</v>
      </c>
      <c r="F941" s="950">
        <v>1</v>
      </c>
      <c r="G941" s="951">
        <v>4</v>
      </c>
      <c r="H941" s="951">
        <v>4.0999999999999996</v>
      </c>
      <c r="I941" s="18"/>
    </row>
    <row r="942" spans="1:9">
      <c r="A942" s="943">
        <v>3</v>
      </c>
      <c r="B942" s="944">
        <v>861.10599999999999</v>
      </c>
      <c r="C942" s="944" t="s">
        <v>599</v>
      </c>
      <c r="D942" s="943" t="s">
        <v>17</v>
      </c>
      <c r="E942" s="952">
        <v>2325000</v>
      </c>
      <c r="F942" s="945">
        <v>1</v>
      </c>
      <c r="G942" s="946">
        <v>0.18</v>
      </c>
      <c r="H942" s="946">
        <v>0.17</v>
      </c>
    </row>
    <row r="943" spans="1:9" s="26" customFormat="1">
      <c r="A943" s="947">
        <v>3</v>
      </c>
      <c r="B943" s="948">
        <v>864</v>
      </c>
      <c r="C943" s="948" t="s">
        <v>601</v>
      </c>
      <c r="D943" s="947" t="s">
        <v>3</v>
      </c>
      <c r="E943" s="950">
        <v>700</v>
      </c>
      <c r="F943" s="950">
        <v>1</v>
      </c>
      <c r="G943" s="951">
        <v>15</v>
      </c>
      <c r="H943" s="951">
        <v>15.5</v>
      </c>
      <c r="I943" s="18"/>
    </row>
    <row r="944" spans="1:9">
      <c r="A944" s="943">
        <v>3</v>
      </c>
      <c r="B944" s="944">
        <v>864.04</v>
      </c>
      <c r="C944" s="944" t="s">
        <v>1456</v>
      </c>
      <c r="D944" s="943" t="s">
        <v>3</v>
      </c>
      <c r="E944" s="952">
        <v>105590</v>
      </c>
      <c r="F944" s="945">
        <v>10</v>
      </c>
      <c r="G944" s="946">
        <v>14.5</v>
      </c>
      <c r="H944" s="946">
        <v>11.1</v>
      </c>
    </row>
    <row r="945" spans="1:9" s="26" customFormat="1">
      <c r="A945" s="947">
        <v>3</v>
      </c>
      <c r="B945" s="948">
        <v>864.07</v>
      </c>
      <c r="C945" s="948" t="s">
        <v>604</v>
      </c>
      <c r="D945" s="947" t="s">
        <v>3</v>
      </c>
      <c r="E945" s="949">
        <v>2640</v>
      </c>
      <c r="F945" s="950">
        <v>1</v>
      </c>
      <c r="G945" s="951">
        <v>8</v>
      </c>
      <c r="H945" s="951">
        <v>7.33</v>
      </c>
      <c r="I945" s="18"/>
    </row>
    <row r="946" spans="1:9">
      <c r="A946" s="943">
        <v>3</v>
      </c>
      <c r="B946" s="944">
        <v>864.31</v>
      </c>
      <c r="C946" s="944" t="s">
        <v>605</v>
      </c>
      <c r="D946" s="943" t="s">
        <v>2</v>
      </c>
      <c r="E946" s="952">
        <v>7519</v>
      </c>
      <c r="F946" s="945">
        <v>4</v>
      </c>
      <c r="G946" s="946">
        <v>34.76</v>
      </c>
      <c r="H946" s="946">
        <v>33.700000000000003</v>
      </c>
    </row>
    <row r="947" spans="1:9" s="26" customFormat="1">
      <c r="A947" s="947">
        <v>3</v>
      </c>
      <c r="B947" s="948">
        <v>864.32</v>
      </c>
      <c r="C947" s="948" t="s">
        <v>606</v>
      </c>
      <c r="D947" s="947" t="s">
        <v>2</v>
      </c>
      <c r="E947" s="949">
        <v>1905</v>
      </c>
      <c r="F947" s="950">
        <v>1</v>
      </c>
      <c r="G947" s="951">
        <v>30</v>
      </c>
      <c r="H947" s="951">
        <v>32.17</v>
      </c>
      <c r="I947" s="18"/>
    </row>
    <row r="948" spans="1:9">
      <c r="A948" s="943">
        <v>3</v>
      </c>
      <c r="B948" s="944">
        <v>864.33</v>
      </c>
      <c r="C948" s="944" t="s">
        <v>607</v>
      </c>
      <c r="D948" s="943" t="s">
        <v>2</v>
      </c>
      <c r="E948" s="952">
        <v>6513</v>
      </c>
      <c r="F948" s="945">
        <v>4</v>
      </c>
      <c r="G948" s="946">
        <v>34.76</v>
      </c>
      <c r="H948" s="946">
        <v>33.869999999999997</v>
      </c>
    </row>
    <row r="949" spans="1:9" s="26" customFormat="1">
      <c r="A949" s="947">
        <v>3</v>
      </c>
      <c r="B949" s="948">
        <v>864.34</v>
      </c>
      <c r="C949" s="948" t="s">
        <v>608</v>
      </c>
      <c r="D949" s="947" t="s">
        <v>2</v>
      </c>
      <c r="E949" s="949">
        <v>4139</v>
      </c>
      <c r="F949" s="950">
        <v>4</v>
      </c>
      <c r="G949" s="951">
        <v>34.76</v>
      </c>
      <c r="H949" s="951">
        <v>33.869999999999997</v>
      </c>
      <c r="I949" s="18"/>
    </row>
    <row r="950" spans="1:9">
      <c r="A950" s="943">
        <v>3</v>
      </c>
      <c r="B950" s="944">
        <v>866.10599999999999</v>
      </c>
      <c r="C950" s="944" t="s">
        <v>25</v>
      </c>
      <c r="D950" s="943" t="s">
        <v>17</v>
      </c>
      <c r="E950" s="952">
        <v>17330</v>
      </c>
      <c r="F950" s="945">
        <v>4</v>
      </c>
      <c r="G950" s="946">
        <v>3</v>
      </c>
      <c r="H950" s="946">
        <v>2.75</v>
      </c>
    </row>
    <row r="951" spans="1:9" s="26" customFormat="1">
      <c r="A951" s="947">
        <v>3</v>
      </c>
      <c r="B951" s="948">
        <v>866.11199999999997</v>
      </c>
      <c r="C951" s="948" t="s">
        <v>610</v>
      </c>
      <c r="D951" s="947" t="s">
        <v>17</v>
      </c>
      <c r="E951" s="949">
        <v>180270</v>
      </c>
      <c r="F951" s="950">
        <v>5</v>
      </c>
      <c r="G951" s="951">
        <v>6.88</v>
      </c>
      <c r="H951" s="951">
        <v>6.7</v>
      </c>
      <c r="I951" s="18"/>
    </row>
    <row r="952" spans="1:9">
      <c r="A952" s="943">
        <v>3</v>
      </c>
      <c r="B952" s="944">
        <v>866.20600000000002</v>
      </c>
      <c r="C952" s="944" t="s">
        <v>611</v>
      </c>
      <c r="D952" s="943" t="s">
        <v>17</v>
      </c>
      <c r="E952" s="952">
        <v>400550</v>
      </c>
      <c r="F952" s="945">
        <v>6</v>
      </c>
      <c r="G952" s="946">
        <v>3</v>
      </c>
      <c r="H952" s="946">
        <v>3.06</v>
      </c>
    </row>
    <row r="953" spans="1:9" s="26" customFormat="1">
      <c r="A953" s="947">
        <v>3</v>
      </c>
      <c r="B953" s="948">
        <v>866.21199999999999</v>
      </c>
      <c r="C953" s="948" t="s">
        <v>612</v>
      </c>
      <c r="D953" s="947" t="s">
        <v>17</v>
      </c>
      <c r="E953" s="949">
        <v>13455</v>
      </c>
      <c r="F953" s="950">
        <v>3</v>
      </c>
      <c r="G953" s="951">
        <v>12.25</v>
      </c>
      <c r="H953" s="951">
        <v>12.23</v>
      </c>
      <c r="I953" s="18"/>
    </row>
    <row r="954" spans="1:9">
      <c r="A954" s="943">
        <v>3</v>
      </c>
      <c r="B954" s="944">
        <v>867.10599999999999</v>
      </c>
      <c r="C954" s="944" t="s">
        <v>613</v>
      </c>
      <c r="D954" s="943" t="s">
        <v>17</v>
      </c>
      <c r="E954" s="952">
        <v>25420</v>
      </c>
      <c r="F954" s="945">
        <v>4</v>
      </c>
      <c r="G954" s="946">
        <v>3</v>
      </c>
      <c r="H954" s="946">
        <v>2.74</v>
      </c>
    </row>
    <row r="955" spans="1:9" s="26" customFormat="1">
      <c r="A955" s="947">
        <v>3</v>
      </c>
      <c r="B955" s="948">
        <v>867.11199999999997</v>
      </c>
      <c r="C955" s="948" t="s">
        <v>50</v>
      </c>
      <c r="D955" s="947" t="s">
        <v>17</v>
      </c>
      <c r="E955" s="949">
        <v>1010</v>
      </c>
      <c r="F955" s="950">
        <v>3</v>
      </c>
      <c r="G955" s="951">
        <v>6.5</v>
      </c>
      <c r="H955" s="951">
        <v>6.62</v>
      </c>
      <c r="I955" s="18"/>
    </row>
    <row r="956" spans="1:9">
      <c r="A956" s="943">
        <v>3</v>
      </c>
      <c r="B956" s="944">
        <v>867.20600000000002</v>
      </c>
      <c r="C956" s="944" t="s">
        <v>614</v>
      </c>
      <c r="D956" s="943" t="s">
        <v>17</v>
      </c>
      <c r="E956" s="952">
        <v>386155</v>
      </c>
      <c r="F956" s="945">
        <v>6</v>
      </c>
      <c r="G956" s="946">
        <v>2.85</v>
      </c>
      <c r="H956" s="946">
        <v>3.07</v>
      </c>
    </row>
    <row r="957" spans="1:9" s="26" customFormat="1">
      <c r="A957" s="947">
        <v>3</v>
      </c>
      <c r="B957" s="948">
        <v>868.06</v>
      </c>
      <c r="C957" s="948" t="s">
        <v>3317</v>
      </c>
      <c r="D957" s="947" t="s">
        <v>17</v>
      </c>
      <c r="E957" s="949">
        <v>6660</v>
      </c>
      <c r="F957" s="950">
        <v>1</v>
      </c>
      <c r="G957" s="951">
        <v>2.2000000000000002</v>
      </c>
      <c r="H957" s="951">
        <v>2.35</v>
      </c>
      <c r="I957" s="18"/>
    </row>
    <row r="958" spans="1:9">
      <c r="A958" s="943">
        <v>3</v>
      </c>
      <c r="B958" s="944">
        <v>868.12</v>
      </c>
      <c r="C958" s="944" t="s">
        <v>615</v>
      </c>
      <c r="D958" s="943" t="s">
        <v>17</v>
      </c>
      <c r="E958" s="952">
        <v>2600</v>
      </c>
      <c r="F958" s="945">
        <v>1</v>
      </c>
      <c r="G958" s="946">
        <v>6.7</v>
      </c>
      <c r="H958" s="946">
        <v>7.84</v>
      </c>
    </row>
    <row r="959" spans="1:9" s="26" customFormat="1">
      <c r="A959" s="947">
        <v>3</v>
      </c>
      <c r="B959" s="948">
        <v>869.06</v>
      </c>
      <c r="C959" s="948" t="s">
        <v>3318</v>
      </c>
      <c r="D959" s="947" t="s">
        <v>17</v>
      </c>
      <c r="E959" s="949">
        <v>6700</v>
      </c>
      <c r="F959" s="950">
        <v>1</v>
      </c>
      <c r="G959" s="951">
        <v>2.2000000000000002</v>
      </c>
      <c r="H959" s="951">
        <v>2.35</v>
      </c>
      <c r="I959" s="18"/>
    </row>
    <row r="960" spans="1:9">
      <c r="A960" s="943">
        <v>3</v>
      </c>
      <c r="B960" s="944">
        <v>869.12</v>
      </c>
      <c r="C960" s="944" t="s">
        <v>616</v>
      </c>
      <c r="D960" s="943" t="s">
        <v>17</v>
      </c>
      <c r="E960" s="945">
        <v>280</v>
      </c>
      <c r="F960" s="945">
        <v>1</v>
      </c>
      <c r="G960" s="946">
        <v>6.7</v>
      </c>
      <c r="H960" s="946">
        <v>7.3</v>
      </c>
    </row>
    <row r="961" spans="1:9" s="26" customFormat="1">
      <c r="A961" s="947">
        <v>3</v>
      </c>
      <c r="B961" s="948">
        <v>874</v>
      </c>
      <c r="C961" s="948" t="s">
        <v>23</v>
      </c>
      <c r="D961" s="947" t="s">
        <v>2</v>
      </c>
      <c r="E961" s="950">
        <v>654</v>
      </c>
      <c r="F961" s="950">
        <v>7</v>
      </c>
      <c r="G961" s="951">
        <v>110</v>
      </c>
      <c r="H961" s="951">
        <v>100.84</v>
      </c>
      <c r="I961" s="18"/>
    </row>
    <row r="962" spans="1:9">
      <c r="A962" s="943">
        <v>3</v>
      </c>
      <c r="B962" s="944">
        <v>874.2</v>
      </c>
      <c r="C962" s="944" t="s">
        <v>618</v>
      </c>
      <c r="D962" s="943" t="s">
        <v>2</v>
      </c>
      <c r="E962" s="945">
        <v>292</v>
      </c>
      <c r="F962" s="945">
        <v>8</v>
      </c>
      <c r="G962" s="946">
        <v>200</v>
      </c>
      <c r="H962" s="946">
        <v>198.78</v>
      </c>
    </row>
    <row r="963" spans="1:9" s="26" customFormat="1">
      <c r="A963" s="947">
        <v>3</v>
      </c>
      <c r="B963" s="948">
        <v>874.4</v>
      </c>
      <c r="C963" s="948" t="s">
        <v>620</v>
      </c>
      <c r="D963" s="947" t="s">
        <v>2</v>
      </c>
      <c r="E963" s="949">
        <v>1183</v>
      </c>
      <c r="F963" s="950">
        <v>5</v>
      </c>
      <c r="G963" s="951">
        <v>45</v>
      </c>
      <c r="H963" s="951">
        <v>46.43</v>
      </c>
      <c r="I963" s="18"/>
    </row>
    <row r="964" spans="1:9">
      <c r="A964" s="943">
        <v>3</v>
      </c>
      <c r="B964" s="944">
        <v>877</v>
      </c>
      <c r="C964" s="944" t="s">
        <v>621</v>
      </c>
      <c r="D964" s="943" t="s">
        <v>2</v>
      </c>
      <c r="E964" s="945">
        <v>22</v>
      </c>
      <c r="F964" s="945">
        <v>2</v>
      </c>
      <c r="G964" s="946">
        <v>220</v>
      </c>
      <c r="H964" s="946">
        <v>211.67</v>
      </c>
    </row>
    <row r="965" spans="1:9" s="26" customFormat="1">
      <c r="A965" s="947">
        <v>3</v>
      </c>
      <c r="B965" s="948">
        <v>877.1</v>
      </c>
      <c r="C965" s="948" t="s">
        <v>622</v>
      </c>
      <c r="D965" s="947" t="s">
        <v>2</v>
      </c>
      <c r="E965" s="950">
        <v>376</v>
      </c>
      <c r="F965" s="950">
        <v>3</v>
      </c>
      <c r="G965" s="951">
        <v>30</v>
      </c>
      <c r="H965" s="951">
        <v>27.67</v>
      </c>
      <c r="I965" s="18"/>
    </row>
    <row r="966" spans="1:9">
      <c r="A966" s="943">
        <v>3</v>
      </c>
      <c r="B966" s="944">
        <v>901</v>
      </c>
      <c r="C966" s="944" t="s">
        <v>624</v>
      </c>
      <c r="D966" s="943" t="s">
        <v>4</v>
      </c>
      <c r="E966" s="945">
        <v>102</v>
      </c>
      <c r="F966" s="945">
        <v>3</v>
      </c>
      <c r="G966" s="946">
        <v>2500</v>
      </c>
      <c r="H966" s="946">
        <v>2241.67</v>
      </c>
    </row>
    <row r="967" spans="1:9" s="26" customFormat="1">
      <c r="A967" s="947">
        <v>3</v>
      </c>
      <c r="B967" s="948">
        <v>901.3</v>
      </c>
      <c r="C967" s="948" t="s">
        <v>625</v>
      </c>
      <c r="D967" s="947" t="s">
        <v>4</v>
      </c>
      <c r="E967" s="950">
        <v>60</v>
      </c>
      <c r="F967" s="950">
        <v>1</v>
      </c>
      <c r="G967" s="951">
        <v>285</v>
      </c>
      <c r="H967" s="951">
        <v>295</v>
      </c>
      <c r="I967" s="18"/>
    </row>
    <row r="968" spans="1:9">
      <c r="A968" s="943">
        <v>3</v>
      </c>
      <c r="B968" s="944">
        <v>903</v>
      </c>
      <c r="C968" s="944" t="s">
        <v>626</v>
      </c>
      <c r="D968" s="943" t="s">
        <v>4</v>
      </c>
      <c r="E968" s="945">
        <v>162</v>
      </c>
      <c r="F968" s="945">
        <v>3</v>
      </c>
      <c r="G968" s="946">
        <v>525</v>
      </c>
      <c r="H968" s="946">
        <v>373.75</v>
      </c>
    </row>
    <row r="969" spans="1:9" s="26" customFormat="1">
      <c r="A969" s="947">
        <v>3</v>
      </c>
      <c r="B969" s="948">
        <v>904</v>
      </c>
      <c r="C969" s="948" t="s">
        <v>627</v>
      </c>
      <c r="D969" s="947" t="s">
        <v>4</v>
      </c>
      <c r="E969" s="950">
        <v>110</v>
      </c>
      <c r="F969" s="950">
        <v>1</v>
      </c>
      <c r="G969" s="951">
        <v>1700</v>
      </c>
      <c r="H969" s="951">
        <v>1627.27</v>
      </c>
      <c r="I969" s="18"/>
    </row>
    <row r="970" spans="1:9">
      <c r="A970" s="943">
        <v>3</v>
      </c>
      <c r="B970" s="944">
        <v>904.1</v>
      </c>
      <c r="C970" s="944" t="s">
        <v>3333</v>
      </c>
      <c r="D970" s="943" t="s">
        <v>4</v>
      </c>
      <c r="E970" s="945">
        <v>24</v>
      </c>
      <c r="F970" s="945">
        <v>1</v>
      </c>
      <c r="G970" s="946">
        <v>9000</v>
      </c>
      <c r="H970" s="946">
        <v>8530</v>
      </c>
    </row>
    <row r="971" spans="1:9" s="26" customFormat="1">
      <c r="A971" s="947">
        <v>3</v>
      </c>
      <c r="B971" s="948">
        <v>904.3</v>
      </c>
      <c r="C971" s="948" t="s">
        <v>628</v>
      </c>
      <c r="D971" s="947" t="s">
        <v>4</v>
      </c>
      <c r="E971" s="950">
        <v>70</v>
      </c>
      <c r="F971" s="950">
        <v>1</v>
      </c>
      <c r="G971" s="951">
        <v>4650</v>
      </c>
      <c r="H971" s="951">
        <v>4650</v>
      </c>
      <c r="I971" s="18"/>
    </row>
    <row r="972" spans="1:9">
      <c r="A972" s="943">
        <v>3</v>
      </c>
      <c r="B972" s="944">
        <v>904.4</v>
      </c>
      <c r="C972" s="944" t="s">
        <v>629</v>
      </c>
      <c r="D972" s="943" t="s">
        <v>4</v>
      </c>
      <c r="E972" s="945">
        <v>400</v>
      </c>
      <c r="F972" s="945">
        <v>1</v>
      </c>
      <c r="G972" s="946">
        <v>1800</v>
      </c>
      <c r="H972" s="946">
        <v>1828.13</v>
      </c>
    </row>
    <row r="973" spans="1:9" s="26" customFormat="1">
      <c r="A973" s="947">
        <v>3</v>
      </c>
      <c r="B973" s="948">
        <v>905</v>
      </c>
      <c r="C973" s="948" t="s">
        <v>630</v>
      </c>
      <c r="D973" s="947" t="s">
        <v>4</v>
      </c>
      <c r="E973" s="949">
        <v>1081</v>
      </c>
      <c r="F973" s="950">
        <v>6</v>
      </c>
      <c r="G973" s="951">
        <v>4241.5</v>
      </c>
      <c r="H973" s="951">
        <v>4448.17</v>
      </c>
      <c r="I973" s="18"/>
    </row>
    <row r="974" spans="1:9">
      <c r="A974" s="943">
        <v>3</v>
      </c>
      <c r="B974" s="944">
        <v>909.2</v>
      </c>
      <c r="C974" s="944" t="s">
        <v>635</v>
      </c>
      <c r="D974" s="943" t="s">
        <v>3</v>
      </c>
      <c r="E974" s="945">
        <v>580</v>
      </c>
      <c r="F974" s="945">
        <v>4</v>
      </c>
      <c r="G974" s="946">
        <v>100</v>
      </c>
      <c r="H974" s="946">
        <v>82.5</v>
      </c>
    </row>
    <row r="975" spans="1:9" s="26" customFormat="1">
      <c r="A975" s="947">
        <v>3</v>
      </c>
      <c r="B975" s="948">
        <v>910</v>
      </c>
      <c r="C975" s="948" t="s">
        <v>636</v>
      </c>
      <c r="D975" s="947" t="s">
        <v>100</v>
      </c>
      <c r="E975" s="949">
        <v>1500</v>
      </c>
      <c r="F975" s="950">
        <v>2</v>
      </c>
      <c r="G975" s="951">
        <v>9.4</v>
      </c>
      <c r="H975" s="951">
        <v>9.3800000000000008</v>
      </c>
      <c r="I975" s="18"/>
    </row>
    <row r="976" spans="1:9">
      <c r="A976" s="943">
        <v>3</v>
      </c>
      <c r="B976" s="944">
        <v>910.1</v>
      </c>
      <c r="C976" s="944" t="s">
        <v>637</v>
      </c>
      <c r="D976" s="943" t="s">
        <v>100</v>
      </c>
      <c r="E976" s="952">
        <v>229135</v>
      </c>
      <c r="F976" s="945">
        <v>11</v>
      </c>
      <c r="G976" s="946">
        <v>4</v>
      </c>
      <c r="H976" s="946">
        <v>3.73</v>
      </c>
    </row>
    <row r="977" spans="1:9" s="26" customFormat="1">
      <c r="A977" s="947">
        <v>3</v>
      </c>
      <c r="B977" s="948">
        <v>912</v>
      </c>
      <c r="C977" s="948" t="s">
        <v>641</v>
      </c>
      <c r="D977" s="947" t="s">
        <v>2</v>
      </c>
      <c r="E977" s="949">
        <v>1990</v>
      </c>
      <c r="F977" s="950">
        <v>5</v>
      </c>
      <c r="G977" s="951">
        <v>65</v>
      </c>
      <c r="H977" s="951">
        <v>60.33</v>
      </c>
      <c r="I977" s="18"/>
    </row>
    <row r="978" spans="1:9">
      <c r="A978" s="943">
        <v>3</v>
      </c>
      <c r="B978" s="944">
        <v>942.10199999999998</v>
      </c>
      <c r="C978" s="944" t="s">
        <v>646</v>
      </c>
      <c r="D978" s="943" t="s">
        <v>17</v>
      </c>
      <c r="E978" s="952">
        <v>3560</v>
      </c>
      <c r="F978" s="945">
        <v>1</v>
      </c>
      <c r="G978" s="946">
        <v>230</v>
      </c>
      <c r="H978" s="946">
        <v>176.25</v>
      </c>
    </row>
    <row r="979" spans="1:9" s="26" customFormat="1">
      <c r="A979" s="947">
        <v>3</v>
      </c>
      <c r="B979" s="948">
        <v>948.41</v>
      </c>
      <c r="C979" s="948" t="s">
        <v>654</v>
      </c>
      <c r="D979" s="947" t="s">
        <v>2</v>
      </c>
      <c r="E979" s="950">
        <v>10</v>
      </c>
      <c r="F979" s="950">
        <v>1</v>
      </c>
      <c r="G979" s="951">
        <v>12000</v>
      </c>
      <c r="H979" s="951">
        <v>12050</v>
      </c>
      <c r="I979" s="18"/>
    </row>
    <row r="980" spans="1:9">
      <c r="A980" s="943">
        <v>3</v>
      </c>
      <c r="B980" s="944">
        <v>948.5</v>
      </c>
      <c r="C980" s="944" t="s">
        <v>655</v>
      </c>
      <c r="D980" s="943" t="s">
        <v>2</v>
      </c>
      <c r="E980" s="945">
        <v>90</v>
      </c>
      <c r="F980" s="945">
        <v>1</v>
      </c>
      <c r="G980" s="946">
        <v>250</v>
      </c>
      <c r="H980" s="946">
        <v>196</v>
      </c>
    </row>
    <row r="981" spans="1:9" s="26" customFormat="1">
      <c r="A981" s="947">
        <v>3</v>
      </c>
      <c r="B981" s="948">
        <v>950.1</v>
      </c>
      <c r="C981" s="948" t="s">
        <v>656</v>
      </c>
      <c r="D981" s="947" t="s">
        <v>22</v>
      </c>
      <c r="E981" s="950">
        <v>4</v>
      </c>
      <c r="F981" s="950">
        <v>1</v>
      </c>
      <c r="G981" s="951">
        <v>75000</v>
      </c>
      <c r="H981" s="951">
        <v>72125</v>
      </c>
      <c r="I981" s="18"/>
    </row>
    <row r="982" spans="1:9">
      <c r="A982" s="943">
        <v>3</v>
      </c>
      <c r="B982" s="944">
        <v>961.20100000000002</v>
      </c>
      <c r="C982" s="944" t="s">
        <v>660</v>
      </c>
      <c r="D982" s="943" t="s">
        <v>22</v>
      </c>
      <c r="E982" s="945">
        <v>6</v>
      </c>
      <c r="F982" s="945">
        <v>2</v>
      </c>
      <c r="G982" s="946">
        <v>670000</v>
      </c>
      <c r="H982" s="946">
        <v>700977.5</v>
      </c>
    </row>
    <row r="983" spans="1:9" s="26" customFormat="1">
      <c r="A983" s="947">
        <v>3</v>
      </c>
      <c r="B983" s="948">
        <v>961.202</v>
      </c>
      <c r="C983" s="948" t="s">
        <v>660</v>
      </c>
      <c r="D983" s="947" t="s">
        <v>22</v>
      </c>
      <c r="E983" s="950">
        <v>4</v>
      </c>
      <c r="F983" s="950">
        <v>1</v>
      </c>
      <c r="G983" s="951">
        <v>577500</v>
      </c>
      <c r="H983" s="951">
        <v>588750</v>
      </c>
      <c r="I983" s="18"/>
    </row>
    <row r="984" spans="1:9">
      <c r="A984" s="943">
        <v>3</v>
      </c>
      <c r="B984" s="944">
        <v>961.20299999999997</v>
      </c>
      <c r="C984" s="944" t="s">
        <v>661</v>
      </c>
      <c r="D984" s="943" t="s">
        <v>22</v>
      </c>
      <c r="E984" s="945">
        <v>4</v>
      </c>
      <c r="F984" s="945">
        <v>1</v>
      </c>
      <c r="G984" s="946">
        <v>294500</v>
      </c>
      <c r="H984" s="946">
        <v>276000</v>
      </c>
    </row>
    <row r="985" spans="1:9" s="26" customFormat="1">
      <c r="A985" s="947">
        <v>3</v>
      </c>
      <c r="B985" s="948">
        <v>961.20399999999995</v>
      </c>
      <c r="C985" s="948" t="s">
        <v>660</v>
      </c>
      <c r="D985" s="947" t="s">
        <v>22</v>
      </c>
      <c r="E985" s="950">
        <v>3</v>
      </c>
      <c r="F985" s="950">
        <v>1</v>
      </c>
      <c r="G985" s="951">
        <v>447200</v>
      </c>
      <c r="H985" s="951">
        <v>409800</v>
      </c>
      <c r="I985" s="18"/>
    </row>
    <row r="986" spans="1:9">
      <c r="A986" s="943">
        <v>3</v>
      </c>
      <c r="B986" s="944">
        <v>966</v>
      </c>
      <c r="C986" s="944" t="s">
        <v>1466</v>
      </c>
      <c r="D986" s="943" t="s">
        <v>3</v>
      </c>
      <c r="E986" s="952">
        <v>80900</v>
      </c>
      <c r="F986" s="945">
        <v>4</v>
      </c>
      <c r="G986" s="946">
        <v>4.5</v>
      </c>
      <c r="H986" s="946">
        <v>4.7300000000000004</v>
      </c>
    </row>
    <row r="987" spans="1:9" s="26" customFormat="1">
      <c r="A987" s="947">
        <v>3</v>
      </c>
      <c r="B987" s="948">
        <v>970</v>
      </c>
      <c r="C987" s="948" t="s">
        <v>3585</v>
      </c>
      <c r="D987" s="947" t="s">
        <v>3</v>
      </c>
      <c r="E987" s="949">
        <v>2800</v>
      </c>
      <c r="F987" s="950">
        <v>1</v>
      </c>
      <c r="G987" s="951">
        <v>10</v>
      </c>
      <c r="H987" s="951">
        <v>9.1300000000000008</v>
      </c>
      <c r="I987" s="18"/>
    </row>
    <row r="988" spans="1:9">
      <c r="A988" s="943">
        <v>3</v>
      </c>
      <c r="B988" s="944">
        <v>983</v>
      </c>
      <c r="C988" s="944" t="s">
        <v>671</v>
      </c>
      <c r="D988" s="943" t="s">
        <v>7</v>
      </c>
      <c r="E988" s="952">
        <v>1359</v>
      </c>
      <c r="F988" s="945">
        <v>2</v>
      </c>
      <c r="G988" s="946">
        <v>120</v>
      </c>
      <c r="H988" s="946">
        <v>116.82</v>
      </c>
    </row>
    <row r="989" spans="1:9" s="26" customFormat="1">
      <c r="A989" s="947">
        <v>3</v>
      </c>
      <c r="B989" s="948">
        <v>986</v>
      </c>
      <c r="C989" s="948" t="s">
        <v>675</v>
      </c>
      <c r="D989" s="947" t="s">
        <v>7</v>
      </c>
      <c r="E989" s="949">
        <v>5115</v>
      </c>
      <c r="F989" s="950">
        <v>4</v>
      </c>
      <c r="G989" s="951">
        <v>92.5</v>
      </c>
      <c r="H989" s="951">
        <v>82.25</v>
      </c>
      <c r="I989" s="18"/>
    </row>
    <row r="990" spans="1:9">
      <c r="A990" s="943">
        <v>3</v>
      </c>
      <c r="B990" s="944">
        <v>986.1</v>
      </c>
      <c r="C990" s="944" t="s">
        <v>675</v>
      </c>
      <c r="D990" s="943" t="s">
        <v>1</v>
      </c>
      <c r="E990" s="945">
        <v>775</v>
      </c>
      <c r="F990" s="945">
        <v>1</v>
      </c>
      <c r="G990" s="946">
        <v>120</v>
      </c>
      <c r="H990" s="946">
        <v>109</v>
      </c>
    </row>
    <row r="991" spans="1:9" s="26" customFormat="1">
      <c r="A991" s="947">
        <v>3</v>
      </c>
      <c r="B991" s="948">
        <v>987</v>
      </c>
      <c r="C991" s="948" t="s">
        <v>1433</v>
      </c>
      <c r="D991" s="947" t="s">
        <v>1</v>
      </c>
      <c r="E991" s="950">
        <v>880</v>
      </c>
      <c r="F991" s="950">
        <v>3</v>
      </c>
      <c r="G991" s="951">
        <v>155</v>
      </c>
      <c r="H991" s="951">
        <v>138.5</v>
      </c>
      <c r="I991" s="18"/>
    </row>
    <row r="992" spans="1:9">
      <c r="A992" s="943">
        <v>3</v>
      </c>
      <c r="B992" s="944">
        <v>987.02</v>
      </c>
      <c r="C992" s="944" t="s">
        <v>676</v>
      </c>
      <c r="D992" s="943" t="s">
        <v>1</v>
      </c>
      <c r="E992" s="945">
        <v>240</v>
      </c>
      <c r="F992" s="945">
        <v>1</v>
      </c>
      <c r="G992" s="946">
        <v>300</v>
      </c>
      <c r="H992" s="946">
        <v>325</v>
      </c>
    </row>
    <row r="993" spans="1:9" s="26" customFormat="1">
      <c r="A993" s="947">
        <v>3</v>
      </c>
      <c r="B993" s="948">
        <v>989.2</v>
      </c>
      <c r="C993" s="948" t="s">
        <v>3607</v>
      </c>
      <c r="D993" s="947" t="s">
        <v>22</v>
      </c>
      <c r="E993" s="950">
        <v>5</v>
      </c>
      <c r="F993" s="950">
        <v>1</v>
      </c>
      <c r="G993" s="951">
        <v>20000</v>
      </c>
      <c r="H993" s="951">
        <v>19700</v>
      </c>
      <c r="I993" s="18"/>
    </row>
    <row r="994" spans="1:9">
      <c r="A994" s="943">
        <v>3</v>
      </c>
      <c r="B994" s="944">
        <v>991.1</v>
      </c>
      <c r="C994" s="944" t="s">
        <v>678</v>
      </c>
      <c r="D994" s="943" t="s">
        <v>22</v>
      </c>
      <c r="E994" s="945">
        <v>17</v>
      </c>
      <c r="F994" s="945">
        <v>4</v>
      </c>
      <c r="G994" s="946">
        <v>222500</v>
      </c>
      <c r="H994" s="946">
        <v>233352.94</v>
      </c>
    </row>
    <row r="995" spans="1:9" s="26" customFormat="1">
      <c r="A995" s="947">
        <v>3</v>
      </c>
      <c r="B995" s="948">
        <v>992.1</v>
      </c>
      <c r="C995" s="948" t="s">
        <v>679</v>
      </c>
      <c r="D995" s="947" t="s">
        <v>22</v>
      </c>
      <c r="E995" s="950">
        <v>4</v>
      </c>
      <c r="F995" s="950">
        <v>1</v>
      </c>
      <c r="G995" s="951">
        <v>642245</v>
      </c>
      <c r="H995" s="951">
        <v>649620</v>
      </c>
      <c r="I995" s="18"/>
    </row>
    <row r="996" spans="1:9">
      <c r="A996" s="943">
        <v>3</v>
      </c>
      <c r="B996" s="944">
        <v>992.3</v>
      </c>
      <c r="C996" s="944" t="s">
        <v>1434</v>
      </c>
      <c r="D996" s="943" t="s">
        <v>22</v>
      </c>
      <c r="E996" s="945">
        <v>5</v>
      </c>
      <c r="F996" s="945">
        <v>1</v>
      </c>
      <c r="G996" s="946">
        <v>55000</v>
      </c>
      <c r="H996" s="946">
        <v>48000</v>
      </c>
    </row>
    <row r="997" spans="1:9" s="26" customFormat="1">
      <c r="A997" s="947">
        <v>3</v>
      </c>
      <c r="B997" s="948">
        <v>993.1</v>
      </c>
      <c r="C997" s="948" t="s">
        <v>681</v>
      </c>
      <c r="D997" s="947" t="s">
        <v>22</v>
      </c>
      <c r="E997" s="950">
        <v>6</v>
      </c>
      <c r="F997" s="950">
        <v>2</v>
      </c>
      <c r="G997" s="951">
        <v>500000</v>
      </c>
      <c r="H997" s="951">
        <v>375000</v>
      </c>
      <c r="I997" s="18"/>
    </row>
    <row r="998" spans="1:9">
      <c r="A998" s="943">
        <v>3</v>
      </c>
      <c r="B998" s="944">
        <v>994.01</v>
      </c>
      <c r="C998" s="944" t="s">
        <v>682</v>
      </c>
      <c r="D998" s="943" t="s">
        <v>22</v>
      </c>
      <c r="E998" s="945">
        <v>13</v>
      </c>
      <c r="F998" s="945">
        <v>3</v>
      </c>
      <c r="G998" s="946">
        <v>52500</v>
      </c>
      <c r="H998" s="946">
        <v>52692.31</v>
      </c>
    </row>
    <row r="999" spans="1:9" s="26" customFormat="1">
      <c r="A999" s="947">
        <v>3</v>
      </c>
      <c r="B999" s="948">
        <v>994.1</v>
      </c>
      <c r="C999" s="948" t="s">
        <v>683</v>
      </c>
      <c r="D999" s="947" t="s">
        <v>3</v>
      </c>
      <c r="E999" s="949">
        <v>106820</v>
      </c>
      <c r="F999" s="950">
        <v>8</v>
      </c>
      <c r="G999" s="951">
        <v>12</v>
      </c>
      <c r="H999" s="951">
        <v>10.87</v>
      </c>
      <c r="I999" s="18"/>
    </row>
    <row r="1000" spans="1:9">
      <c r="A1000" s="943">
        <v>3</v>
      </c>
      <c r="B1000" s="944">
        <v>994.2</v>
      </c>
      <c r="C1000" s="944" t="s">
        <v>3616</v>
      </c>
      <c r="D1000" s="943" t="s">
        <v>3</v>
      </c>
      <c r="E1000" s="952">
        <v>29200</v>
      </c>
      <c r="F1000" s="945">
        <v>3</v>
      </c>
      <c r="G1000" s="946">
        <v>11.15</v>
      </c>
      <c r="H1000" s="946">
        <v>11.31</v>
      </c>
    </row>
    <row r="1001" spans="1:9" s="26" customFormat="1">
      <c r="A1001" s="947">
        <v>3</v>
      </c>
      <c r="B1001" s="948">
        <v>995</v>
      </c>
      <c r="C1001" s="948" t="s">
        <v>684</v>
      </c>
      <c r="D1001" s="947" t="s">
        <v>22</v>
      </c>
      <c r="E1001" s="950">
        <v>7</v>
      </c>
      <c r="F1001" s="950">
        <v>1</v>
      </c>
      <c r="G1001" s="951">
        <v>3402500</v>
      </c>
      <c r="H1001" s="951">
        <v>3261635.71</v>
      </c>
      <c r="I1001" s="18"/>
    </row>
    <row r="1002" spans="1:9">
      <c r="A1002" s="943">
        <v>3</v>
      </c>
      <c r="B1002" s="944">
        <v>995.01</v>
      </c>
      <c r="C1002" s="944" t="s">
        <v>685</v>
      </c>
      <c r="D1002" s="943" t="s">
        <v>22</v>
      </c>
      <c r="E1002" s="945">
        <v>21</v>
      </c>
      <c r="F1002" s="945">
        <v>3</v>
      </c>
      <c r="G1002" s="946">
        <v>1219500</v>
      </c>
      <c r="H1002" s="946">
        <v>1259541.79</v>
      </c>
    </row>
    <row r="1003" spans="1:9" s="26" customFormat="1">
      <c r="A1003" s="947">
        <v>3</v>
      </c>
      <c r="B1003" s="948">
        <v>995.01099999999997</v>
      </c>
      <c r="C1003" s="948" t="s">
        <v>686</v>
      </c>
      <c r="D1003" s="947" t="s">
        <v>22</v>
      </c>
      <c r="E1003" s="950">
        <v>8</v>
      </c>
      <c r="F1003" s="950">
        <v>1</v>
      </c>
      <c r="G1003" s="951">
        <v>380000</v>
      </c>
      <c r="H1003" s="951">
        <v>373875</v>
      </c>
      <c r="I1003" s="18"/>
    </row>
    <row r="1004" spans="1:9">
      <c r="A1004" s="943">
        <v>3</v>
      </c>
      <c r="B1004" s="944">
        <v>995.02099999999996</v>
      </c>
      <c r="C1004" s="944" t="s">
        <v>4068</v>
      </c>
      <c r="D1004" s="943" t="s">
        <v>22</v>
      </c>
      <c r="E1004" s="945">
        <v>8</v>
      </c>
      <c r="F1004" s="945">
        <v>1</v>
      </c>
      <c r="G1004" s="946">
        <v>495000</v>
      </c>
      <c r="H1004" s="946">
        <v>491250</v>
      </c>
    </row>
    <row r="1005" spans="1:9" s="26" customFormat="1">
      <c r="A1005" s="947">
        <v>3</v>
      </c>
      <c r="B1005" s="948">
        <v>996.01</v>
      </c>
      <c r="C1005" s="948" t="s">
        <v>688</v>
      </c>
      <c r="D1005" s="947" t="s">
        <v>22</v>
      </c>
      <c r="E1005" s="950">
        <v>2</v>
      </c>
      <c r="F1005" s="950">
        <v>1</v>
      </c>
      <c r="G1005" s="951">
        <v>1000000</v>
      </c>
      <c r="H1005" s="951">
        <v>1225000</v>
      </c>
      <c r="I1005" s="18"/>
    </row>
    <row r="1006" spans="1:9">
      <c r="A1006" s="943">
        <v>4</v>
      </c>
      <c r="B1006" s="944">
        <v>100</v>
      </c>
      <c r="C1006" s="944" t="s">
        <v>51</v>
      </c>
      <c r="D1006" s="943" t="s">
        <v>22</v>
      </c>
      <c r="E1006" s="945">
        <v>33</v>
      </c>
      <c r="F1006" s="945">
        <v>9</v>
      </c>
      <c r="G1006" s="946">
        <v>46500</v>
      </c>
      <c r="H1006" s="946">
        <v>40363.64</v>
      </c>
    </row>
    <row r="1007" spans="1:9" s="26" customFormat="1">
      <c r="A1007" s="947">
        <v>4</v>
      </c>
      <c r="B1007" s="948">
        <v>100.001</v>
      </c>
      <c r="C1007" s="948" t="s">
        <v>82</v>
      </c>
      <c r="D1007" s="947" t="s">
        <v>24</v>
      </c>
      <c r="E1007" s="949">
        <v>2050</v>
      </c>
      <c r="F1007" s="950">
        <v>2</v>
      </c>
      <c r="G1007" s="951">
        <v>140</v>
      </c>
      <c r="H1007" s="951">
        <v>139.78</v>
      </c>
      <c r="I1007" s="18"/>
    </row>
    <row r="1008" spans="1:9">
      <c r="A1008" s="943">
        <v>4</v>
      </c>
      <c r="B1008" s="944">
        <v>100.002</v>
      </c>
      <c r="C1008" s="944" t="s">
        <v>83</v>
      </c>
      <c r="D1008" s="943" t="s">
        <v>24</v>
      </c>
      <c r="E1008" s="952">
        <v>9400</v>
      </c>
      <c r="F1008" s="945">
        <v>2</v>
      </c>
      <c r="G1008" s="946">
        <v>85</v>
      </c>
      <c r="H1008" s="946">
        <v>80.44</v>
      </c>
    </row>
    <row r="1009" spans="1:9" s="26" customFormat="1">
      <c r="A1009" s="947">
        <v>4</v>
      </c>
      <c r="B1009" s="948">
        <v>100.004</v>
      </c>
      <c r="C1009" s="948" t="s">
        <v>1938</v>
      </c>
      <c r="D1009" s="947" t="s">
        <v>24</v>
      </c>
      <c r="E1009" s="950">
        <v>48</v>
      </c>
      <c r="F1009" s="950">
        <v>1</v>
      </c>
      <c r="G1009" s="951">
        <v>262.5</v>
      </c>
      <c r="H1009" s="951">
        <v>246.67</v>
      </c>
      <c r="I1009" s="18"/>
    </row>
    <row r="1010" spans="1:9">
      <c r="A1010" s="943">
        <v>4</v>
      </c>
      <c r="B1010" s="944">
        <v>100.1</v>
      </c>
      <c r="C1010" s="944" t="s">
        <v>85</v>
      </c>
      <c r="D1010" s="943" t="s">
        <v>24</v>
      </c>
      <c r="E1010" s="952">
        <v>115231</v>
      </c>
      <c r="F1010" s="945">
        <v>9</v>
      </c>
      <c r="G1010" s="946">
        <v>132</v>
      </c>
      <c r="H1010" s="946">
        <v>133.58000000000001</v>
      </c>
    </row>
    <row r="1011" spans="1:9" s="26" customFormat="1">
      <c r="A1011" s="947">
        <v>4</v>
      </c>
      <c r="B1011" s="948">
        <v>101</v>
      </c>
      <c r="C1011" s="948" t="s">
        <v>54</v>
      </c>
      <c r="D1011" s="947" t="s">
        <v>55</v>
      </c>
      <c r="E1011" s="950">
        <v>11.35</v>
      </c>
      <c r="F1011" s="950">
        <v>4</v>
      </c>
      <c r="G1011" s="951">
        <v>61000</v>
      </c>
      <c r="H1011" s="951">
        <v>62564.71</v>
      </c>
      <c r="I1011" s="18"/>
    </row>
    <row r="1012" spans="1:9">
      <c r="A1012" s="943">
        <v>4</v>
      </c>
      <c r="B1012" s="944">
        <v>102</v>
      </c>
      <c r="C1012" s="944" t="s">
        <v>92</v>
      </c>
      <c r="D1012" s="943" t="s">
        <v>55</v>
      </c>
      <c r="E1012" s="945">
        <v>8</v>
      </c>
      <c r="F1012" s="945">
        <v>2</v>
      </c>
      <c r="G1012" s="946">
        <v>37500</v>
      </c>
      <c r="H1012" s="946">
        <v>35423.33</v>
      </c>
    </row>
    <row r="1013" spans="1:9" s="26" customFormat="1">
      <c r="A1013" s="947">
        <v>4</v>
      </c>
      <c r="B1013" s="948">
        <v>102.1</v>
      </c>
      <c r="C1013" s="948" t="s">
        <v>93</v>
      </c>
      <c r="D1013" s="947" t="s">
        <v>17</v>
      </c>
      <c r="E1013" s="949">
        <v>38790</v>
      </c>
      <c r="F1013" s="950">
        <v>9</v>
      </c>
      <c r="G1013" s="951">
        <v>25</v>
      </c>
      <c r="H1013" s="951">
        <v>22.48</v>
      </c>
      <c r="I1013" s="18"/>
    </row>
    <row r="1014" spans="1:9">
      <c r="A1014" s="943">
        <v>4</v>
      </c>
      <c r="B1014" s="944">
        <v>102.12</v>
      </c>
      <c r="C1014" s="944" t="s">
        <v>93</v>
      </c>
      <c r="D1014" s="943" t="s">
        <v>2</v>
      </c>
      <c r="E1014" s="945">
        <v>10</v>
      </c>
      <c r="F1014" s="945">
        <v>1</v>
      </c>
      <c r="G1014" s="946">
        <v>850</v>
      </c>
      <c r="H1014" s="946">
        <v>925</v>
      </c>
    </row>
    <row r="1015" spans="1:9" s="26" customFormat="1">
      <c r="A1015" s="947">
        <v>4</v>
      </c>
      <c r="B1015" s="948">
        <v>102.3</v>
      </c>
      <c r="C1015" s="948" t="s">
        <v>3995</v>
      </c>
      <c r="D1015" s="947" t="s">
        <v>24</v>
      </c>
      <c r="E1015" s="950">
        <v>164</v>
      </c>
      <c r="F1015" s="950">
        <v>4</v>
      </c>
      <c r="G1015" s="951">
        <v>600</v>
      </c>
      <c r="H1015" s="951">
        <v>596.54</v>
      </c>
      <c r="I1015" s="18"/>
    </row>
    <row r="1016" spans="1:9">
      <c r="A1016" s="943">
        <v>4</v>
      </c>
      <c r="B1016" s="944">
        <v>102.33</v>
      </c>
      <c r="C1016" s="944" t="s">
        <v>1275</v>
      </c>
      <c r="D1016" s="943" t="s">
        <v>24</v>
      </c>
      <c r="E1016" s="945">
        <v>126</v>
      </c>
      <c r="F1016" s="945">
        <v>4</v>
      </c>
      <c r="G1016" s="946">
        <v>367.5</v>
      </c>
      <c r="H1016" s="946">
        <v>352.33</v>
      </c>
    </row>
    <row r="1017" spans="1:9" s="26" customFormat="1">
      <c r="A1017" s="947">
        <v>4</v>
      </c>
      <c r="B1017" s="948">
        <v>102.511</v>
      </c>
      <c r="C1017" s="948" t="s">
        <v>4029</v>
      </c>
      <c r="D1017" s="947" t="s">
        <v>2</v>
      </c>
      <c r="E1017" s="950">
        <v>860</v>
      </c>
      <c r="F1017" s="950">
        <v>8</v>
      </c>
      <c r="G1017" s="951">
        <v>400</v>
      </c>
      <c r="H1017" s="951">
        <v>410.28</v>
      </c>
      <c r="I1017" s="18"/>
    </row>
    <row r="1018" spans="1:9">
      <c r="A1018" s="943">
        <v>4</v>
      </c>
      <c r="B1018" s="944">
        <v>102.521</v>
      </c>
      <c r="C1018" s="944" t="s">
        <v>1276</v>
      </c>
      <c r="D1018" s="943" t="s">
        <v>17</v>
      </c>
      <c r="E1018" s="952">
        <v>7410</v>
      </c>
      <c r="F1018" s="945">
        <v>9</v>
      </c>
      <c r="G1018" s="946">
        <v>15</v>
      </c>
      <c r="H1018" s="946">
        <v>14.43</v>
      </c>
    </row>
    <row r="1019" spans="1:9" s="26" customFormat="1">
      <c r="A1019" s="947">
        <v>4</v>
      </c>
      <c r="B1019" s="948">
        <v>102.52200000000001</v>
      </c>
      <c r="C1019" s="948" t="s">
        <v>1952</v>
      </c>
      <c r="D1019" s="947" t="s">
        <v>17</v>
      </c>
      <c r="E1019" s="949">
        <v>5990</v>
      </c>
      <c r="F1019" s="950">
        <v>2</v>
      </c>
      <c r="G1019" s="951">
        <v>33</v>
      </c>
      <c r="H1019" s="951">
        <v>30.22</v>
      </c>
      <c r="I1019" s="18"/>
    </row>
    <row r="1020" spans="1:9">
      <c r="A1020" s="943">
        <v>4</v>
      </c>
      <c r="B1020" s="944">
        <v>102.55</v>
      </c>
      <c r="C1020" s="944" t="s">
        <v>1277</v>
      </c>
      <c r="D1020" s="943" t="s">
        <v>24</v>
      </c>
      <c r="E1020" s="952">
        <v>1256</v>
      </c>
      <c r="F1020" s="945">
        <v>7</v>
      </c>
      <c r="G1020" s="946">
        <v>289</v>
      </c>
      <c r="H1020" s="946">
        <v>277.52</v>
      </c>
    </row>
    <row r="1021" spans="1:9" s="26" customFormat="1">
      <c r="A1021" s="947">
        <v>4</v>
      </c>
      <c r="B1021" s="948">
        <v>103</v>
      </c>
      <c r="C1021" s="948" t="s">
        <v>35</v>
      </c>
      <c r="D1021" s="947" t="s">
        <v>2</v>
      </c>
      <c r="E1021" s="950">
        <v>338</v>
      </c>
      <c r="F1021" s="950">
        <v>8</v>
      </c>
      <c r="G1021" s="951">
        <v>3000</v>
      </c>
      <c r="H1021" s="951">
        <v>2993.63</v>
      </c>
      <c r="I1021" s="18"/>
    </row>
    <row r="1022" spans="1:9">
      <c r="A1022" s="943">
        <v>4</v>
      </c>
      <c r="B1022" s="944">
        <v>104</v>
      </c>
      <c r="C1022" s="944" t="s">
        <v>94</v>
      </c>
      <c r="D1022" s="943" t="s">
        <v>2</v>
      </c>
      <c r="E1022" s="945">
        <v>97</v>
      </c>
      <c r="F1022" s="945">
        <v>7</v>
      </c>
      <c r="G1022" s="946">
        <v>4300</v>
      </c>
      <c r="H1022" s="946">
        <v>4123.3900000000003</v>
      </c>
    </row>
    <row r="1023" spans="1:9" s="26" customFormat="1">
      <c r="A1023" s="947">
        <v>4</v>
      </c>
      <c r="B1023" s="948">
        <v>105</v>
      </c>
      <c r="C1023" s="948" t="s">
        <v>95</v>
      </c>
      <c r="D1023" s="947" t="s">
        <v>2</v>
      </c>
      <c r="E1023" s="950">
        <v>60</v>
      </c>
      <c r="F1023" s="950">
        <v>4</v>
      </c>
      <c r="G1023" s="951">
        <v>850</v>
      </c>
      <c r="H1023" s="951">
        <v>845</v>
      </c>
      <c r="I1023" s="18"/>
    </row>
    <row r="1024" spans="1:9">
      <c r="A1024" s="943">
        <v>4</v>
      </c>
      <c r="B1024" s="944">
        <v>106.101</v>
      </c>
      <c r="C1024" s="944" t="s">
        <v>1955</v>
      </c>
      <c r="D1024" s="943" t="s">
        <v>2</v>
      </c>
      <c r="E1024" s="945">
        <v>20</v>
      </c>
      <c r="F1024" s="945">
        <v>1</v>
      </c>
      <c r="G1024" s="946">
        <v>5000</v>
      </c>
      <c r="H1024" s="946">
        <v>4827.5</v>
      </c>
    </row>
    <row r="1025" spans="1:9" s="26" customFormat="1">
      <c r="A1025" s="947">
        <v>4</v>
      </c>
      <c r="B1025" s="948">
        <v>106.12</v>
      </c>
      <c r="C1025" s="948" t="s">
        <v>96</v>
      </c>
      <c r="D1025" s="947" t="s">
        <v>17</v>
      </c>
      <c r="E1025" s="950">
        <v>470</v>
      </c>
      <c r="F1025" s="950">
        <v>3</v>
      </c>
      <c r="G1025" s="951">
        <v>95</v>
      </c>
      <c r="H1025" s="951">
        <v>90</v>
      </c>
      <c r="I1025" s="18"/>
    </row>
    <row r="1026" spans="1:9">
      <c r="A1026" s="943">
        <v>4</v>
      </c>
      <c r="B1026" s="944">
        <v>106.15</v>
      </c>
      <c r="C1026" s="944" t="s">
        <v>97</v>
      </c>
      <c r="D1026" s="943" t="s">
        <v>2</v>
      </c>
      <c r="E1026" s="945">
        <v>3</v>
      </c>
      <c r="F1026" s="945">
        <v>1</v>
      </c>
      <c r="G1026" s="946">
        <v>950</v>
      </c>
      <c r="H1026" s="946">
        <v>950</v>
      </c>
    </row>
    <row r="1027" spans="1:9" s="26" customFormat="1">
      <c r="A1027" s="947">
        <v>4</v>
      </c>
      <c r="B1027" s="948">
        <v>106.88</v>
      </c>
      <c r="C1027" s="948" t="s">
        <v>98</v>
      </c>
      <c r="D1027" s="947" t="s">
        <v>2</v>
      </c>
      <c r="E1027" s="950">
        <v>467</v>
      </c>
      <c r="F1027" s="950">
        <v>5</v>
      </c>
      <c r="G1027" s="951">
        <v>9125</v>
      </c>
      <c r="H1027" s="951">
        <v>9456.92</v>
      </c>
      <c r="I1027" s="18"/>
    </row>
    <row r="1028" spans="1:9">
      <c r="A1028" s="943">
        <v>4</v>
      </c>
      <c r="B1028" s="944">
        <v>107.18</v>
      </c>
      <c r="C1028" s="944" t="s">
        <v>1978</v>
      </c>
      <c r="D1028" s="943" t="s">
        <v>100</v>
      </c>
      <c r="E1028" s="952">
        <v>4302</v>
      </c>
      <c r="F1028" s="945">
        <v>1</v>
      </c>
      <c r="G1028" s="946">
        <v>50</v>
      </c>
      <c r="H1028" s="946">
        <v>48.37</v>
      </c>
    </row>
    <row r="1029" spans="1:9" s="26" customFormat="1">
      <c r="A1029" s="947">
        <v>4</v>
      </c>
      <c r="B1029" s="948">
        <v>107.855</v>
      </c>
      <c r="C1029" s="948" t="s">
        <v>102</v>
      </c>
      <c r="D1029" s="947" t="s">
        <v>17</v>
      </c>
      <c r="E1029" s="950">
        <v>510</v>
      </c>
      <c r="F1029" s="950">
        <v>2</v>
      </c>
      <c r="G1029" s="951">
        <v>85</v>
      </c>
      <c r="H1029" s="951">
        <v>85.6</v>
      </c>
      <c r="I1029" s="18"/>
    </row>
    <row r="1030" spans="1:9">
      <c r="A1030" s="943">
        <v>4</v>
      </c>
      <c r="B1030" s="944">
        <v>107.97</v>
      </c>
      <c r="C1030" s="944" t="s">
        <v>103</v>
      </c>
      <c r="D1030" s="943" t="s">
        <v>100</v>
      </c>
      <c r="E1030" s="952">
        <v>83220</v>
      </c>
      <c r="F1030" s="945">
        <v>3</v>
      </c>
      <c r="G1030" s="946">
        <v>62.5</v>
      </c>
      <c r="H1030" s="946">
        <v>58.62</v>
      </c>
    </row>
    <row r="1031" spans="1:9" s="26" customFormat="1">
      <c r="A1031" s="947">
        <v>4</v>
      </c>
      <c r="B1031" s="948">
        <v>114.1</v>
      </c>
      <c r="C1031" s="948" t="s">
        <v>104</v>
      </c>
      <c r="D1031" s="947" t="s">
        <v>22</v>
      </c>
      <c r="E1031" s="950">
        <v>6</v>
      </c>
      <c r="F1031" s="950">
        <v>2</v>
      </c>
      <c r="G1031" s="951">
        <v>395000</v>
      </c>
      <c r="H1031" s="951">
        <v>369066.67</v>
      </c>
      <c r="I1031" s="18"/>
    </row>
    <row r="1032" spans="1:9">
      <c r="A1032" s="943">
        <v>4</v>
      </c>
      <c r="B1032" s="944">
        <v>115.1</v>
      </c>
      <c r="C1032" s="944" t="s">
        <v>105</v>
      </c>
      <c r="D1032" s="943" t="s">
        <v>22</v>
      </c>
      <c r="E1032" s="945">
        <v>5</v>
      </c>
      <c r="F1032" s="945">
        <v>2</v>
      </c>
      <c r="G1032" s="946">
        <v>1875000</v>
      </c>
      <c r="H1032" s="946">
        <v>1831000</v>
      </c>
    </row>
    <row r="1033" spans="1:9" s="26" customFormat="1">
      <c r="A1033" s="947">
        <v>4</v>
      </c>
      <c r="B1033" s="948">
        <v>115.2</v>
      </c>
      <c r="C1033" s="948" t="s">
        <v>105</v>
      </c>
      <c r="D1033" s="947" t="s">
        <v>22</v>
      </c>
      <c r="E1033" s="950">
        <v>6</v>
      </c>
      <c r="F1033" s="950">
        <v>2</v>
      </c>
      <c r="G1033" s="951">
        <v>2352500</v>
      </c>
      <c r="H1033" s="951">
        <v>2238333.33</v>
      </c>
      <c r="I1033" s="18"/>
    </row>
    <row r="1034" spans="1:9">
      <c r="A1034" s="943">
        <v>4</v>
      </c>
      <c r="B1034" s="944">
        <v>115.3</v>
      </c>
      <c r="C1034" s="944" t="s">
        <v>105</v>
      </c>
      <c r="D1034" s="943" t="s">
        <v>22</v>
      </c>
      <c r="E1034" s="945">
        <v>3</v>
      </c>
      <c r="F1034" s="945">
        <v>1</v>
      </c>
      <c r="G1034" s="946">
        <v>1700000</v>
      </c>
      <c r="H1034" s="946">
        <v>1633333.33</v>
      </c>
    </row>
    <row r="1035" spans="1:9" s="26" customFormat="1">
      <c r="A1035" s="947">
        <v>4</v>
      </c>
      <c r="B1035" s="948">
        <v>119</v>
      </c>
      <c r="C1035" s="948" t="s">
        <v>106</v>
      </c>
      <c r="D1035" s="947" t="s">
        <v>22</v>
      </c>
      <c r="E1035" s="950">
        <v>10</v>
      </c>
      <c r="F1035" s="950">
        <v>3</v>
      </c>
      <c r="G1035" s="951">
        <v>20000</v>
      </c>
      <c r="H1035" s="951">
        <v>20650</v>
      </c>
      <c r="I1035" s="18"/>
    </row>
    <row r="1036" spans="1:9">
      <c r="A1036" s="943">
        <v>4</v>
      </c>
      <c r="B1036" s="944">
        <v>120</v>
      </c>
      <c r="C1036" s="944" t="s">
        <v>107</v>
      </c>
      <c r="D1036" s="943" t="s">
        <v>4</v>
      </c>
      <c r="E1036" s="952">
        <v>494502</v>
      </c>
      <c r="F1036" s="945">
        <v>10</v>
      </c>
      <c r="G1036" s="946">
        <v>50</v>
      </c>
      <c r="H1036" s="946">
        <v>53.25</v>
      </c>
    </row>
    <row r="1037" spans="1:9" s="26" customFormat="1">
      <c r="A1037" s="947">
        <v>4</v>
      </c>
      <c r="B1037" s="948">
        <v>120.1</v>
      </c>
      <c r="C1037" s="948" t="s">
        <v>19</v>
      </c>
      <c r="D1037" s="947" t="s">
        <v>4</v>
      </c>
      <c r="E1037" s="949">
        <v>39495</v>
      </c>
      <c r="F1037" s="950">
        <v>4</v>
      </c>
      <c r="G1037" s="951">
        <v>50</v>
      </c>
      <c r="H1037" s="951">
        <v>51.04</v>
      </c>
      <c r="I1037" s="18"/>
    </row>
    <row r="1038" spans="1:9">
      <c r="A1038" s="943">
        <v>4</v>
      </c>
      <c r="B1038" s="944">
        <v>121</v>
      </c>
      <c r="C1038" s="944" t="s">
        <v>108</v>
      </c>
      <c r="D1038" s="943" t="s">
        <v>4</v>
      </c>
      <c r="E1038" s="945">
        <v>336</v>
      </c>
      <c r="F1038" s="945">
        <v>7</v>
      </c>
      <c r="G1038" s="946">
        <v>250</v>
      </c>
      <c r="H1038" s="946">
        <v>237.32</v>
      </c>
    </row>
    <row r="1039" spans="1:9" s="26" customFormat="1">
      <c r="A1039" s="947">
        <v>4</v>
      </c>
      <c r="B1039" s="948">
        <v>123</v>
      </c>
      <c r="C1039" s="948" t="s">
        <v>109</v>
      </c>
      <c r="D1039" s="947" t="s">
        <v>4</v>
      </c>
      <c r="E1039" s="949">
        <v>3000</v>
      </c>
      <c r="F1039" s="950">
        <v>1</v>
      </c>
      <c r="G1039" s="951">
        <v>142.5</v>
      </c>
      <c r="H1039" s="951">
        <v>142.5</v>
      </c>
      <c r="I1039" s="18"/>
    </row>
    <row r="1040" spans="1:9">
      <c r="A1040" s="943">
        <v>4</v>
      </c>
      <c r="B1040" s="944">
        <v>127</v>
      </c>
      <c r="C1040" s="944" t="s">
        <v>111</v>
      </c>
      <c r="D1040" s="943" t="s">
        <v>4</v>
      </c>
      <c r="E1040" s="952">
        <v>11245</v>
      </c>
      <c r="F1040" s="945">
        <v>3</v>
      </c>
      <c r="G1040" s="946">
        <v>130</v>
      </c>
      <c r="H1040" s="946">
        <v>144.13999999999999</v>
      </c>
    </row>
    <row r="1041" spans="1:9" s="26" customFormat="1">
      <c r="A1041" s="947">
        <v>4</v>
      </c>
      <c r="B1041" s="948">
        <v>127.1</v>
      </c>
      <c r="C1041" s="948" t="s">
        <v>112</v>
      </c>
      <c r="D1041" s="947" t="s">
        <v>4</v>
      </c>
      <c r="E1041" s="949">
        <v>2145</v>
      </c>
      <c r="F1041" s="950">
        <v>9</v>
      </c>
      <c r="G1041" s="951">
        <v>4447.5</v>
      </c>
      <c r="H1041" s="951">
        <v>4300.4799999999996</v>
      </c>
      <c r="I1041" s="18"/>
    </row>
    <row r="1042" spans="1:9">
      <c r="A1042" s="943">
        <v>4</v>
      </c>
      <c r="B1042" s="944">
        <v>127.4</v>
      </c>
      <c r="C1042" s="944" t="s">
        <v>113</v>
      </c>
      <c r="D1042" s="943" t="s">
        <v>1</v>
      </c>
      <c r="E1042" s="952">
        <v>8590</v>
      </c>
      <c r="F1042" s="945">
        <v>6</v>
      </c>
      <c r="G1042" s="946">
        <v>1127.5</v>
      </c>
      <c r="H1042" s="946">
        <v>1065.29</v>
      </c>
    </row>
    <row r="1043" spans="1:9" s="26" customFormat="1">
      <c r="A1043" s="947">
        <v>4</v>
      </c>
      <c r="B1043" s="948">
        <v>127.41</v>
      </c>
      <c r="C1043" s="948" t="s">
        <v>114</v>
      </c>
      <c r="D1043" s="947" t="s">
        <v>4</v>
      </c>
      <c r="E1043" s="949">
        <v>1855</v>
      </c>
      <c r="F1043" s="950">
        <v>5</v>
      </c>
      <c r="G1043" s="951">
        <v>4000</v>
      </c>
      <c r="H1043" s="951">
        <v>3865.59</v>
      </c>
      <c r="I1043" s="18"/>
    </row>
    <row r="1044" spans="1:9">
      <c r="A1044" s="943">
        <v>4</v>
      </c>
      <c r="B1044" s="944">
        <v>129.19999999999999</v>
      </c>
      <c r="C1044" s="944" t="s">
        <v>115</v>
      </c>
      <c r="D1044" s="943" t="s">
        <v>1</v>
      </c>
      <c r="E1044" s="952">
        <v>4900</v>
      </c>
      <c r="F1044" s="945">
        <v>1</v>
      </c>
      <c r="G1044" s="946">
        <v>11</v>
      </c>
      <c r="H1044" s="946">
        <v>10.5</v>
      </c>
    </row>
    <row r="1045" spans="1:9" s="26" customFormat="1">
      <c r="A1045" s="947">
        <v>4</v>
      </c>
      <c r="B1045" s="948">
        <v>129.6</v>
      </c>
      <c r="C1045" s="948" t="s">
        <v>117</v>
      </c>
      <c r="D1045" s="947" t="s">
        <v>1</v>
      </c>
      <c r="E1045" s="949">
        <v>9115</v>
      </c>
      <c r="F1045" s="950">
        <v>4</v>
      </c>
      <c r="G1045" s="951">
        <v>35</v>
      </c>
      <c r="H1045" s="951">
        <v>34.25</v>
      </c>
      <c r="I1045" s="18"/>
    </row>
    <row r="1046" spans="1:9">
      <c r="A1046" s="943">
        <v>4</v>
      </c>
      <c r="B1046" s="944">
        <v>140</v>
      </c>
      <c r="C1046" s="944" t="s">
        <v>118</v>
      </c>
      <c r="D1046" s="943" t="s">
        <v>4</v>
      </c>
      <c r="E1046" s="952">
        <v>15160</v>
      </c>
      <c r="F1046" s="945">
        <v>3</v>
      </c>
      <c r="G1046" s="946">
        <v>89.5</v>
      </c>
      <c r="H1046" s="946">
        <v>83.5</v>
      </c>
    </row>
    <row r="1047" spans="1:9" s="26" customFormat="1">
      <c r="A1047" s="947">
        <v>4</v>
      </c>
      <c r="B1047" s="948">
        <v>141</v>
      </c>
      <c r="C1047" s="948" t="s">
        <v>120</v>
      </c>
      <c r="D1047" s="947" t="s">
        <v>4</v>
      </c>
      <c r="E1047" s="949">
        <v>10580</v>
      </c>
      <c r="F1047" s="950">
        <v>8</v>
      </c>
      <c r="G1047" s="951">
        <v>75</v>
      </c>
      <c r="H1047" s="951">
        <v>70.260000000000005</v>
      </c>
      <c r="I1047" s="18"/>
    </row>
    <row r="1048" spans="1:9">
      <c r="A1048" s="943">
        <v>4</v>
      </c>
      <c r="B1048" s="944">
        <v>141.1</v>
      </c>
      <c r="C1048" s="944" t="s">
        <v>121</v>
      </c>
      <c r="D1048" s="943" t="s">
        <v>4</v>
      </c>
      <c r="E1048" s="952">
        <v>8840</v>
      </c>
      <c r="F1048" s="945">
        <v>12</v>
      </c>
      <c r="G1048" s="946">
        <v>150</v>
      </c>
      <c r="H1048" s="946">
        <v>138.46</v>
      </c>
    </row>
    <row r="1049" spans="1:9" s="26" customFormat="1">
      <c r="A1049" s="947">
        <v>4</v>
      </c>
      <c r="B1049" s="948">
        <v>142</v>
      </c>
      <c r="C1049" s="948" t="s">
        <v>122</v>
      </c>
      <c r="D1049" s="947" t="s">
        <v>4</v>
      </c>
      <c r="E1049" s="949">
        <v>7335</v>
      </c>
      <c r="F1049" s="950">
        <v>10</v>
      </c>
      <c r="G1049" s="951">
        <v>55</v>
      </c>
      <c r="H1049" s="951">
        <v>54.73</v>
      </c>
      <c r="I1049" s="18"/>
    </row>
    <row r="1050" spans="1:9">
      <c r="A1050" s="943">
        <v>4</v>
      </c>
      <c r="B1050" s="944">
        <v>143</v>
      </c>
      <c r="C1050" s="944" t="s">
        <v>123</v>
      </c>
      <c r="D1050" s="943" t="s">
        <v>4</v>
      </c>
      <c r="E1050" s="945">
        <v>160</v>
      </c>
      <c r="F1050" s="945">
        <v>1</v>
      </c>
      <c r="G1050" s="946">
        <v>300</v>
      </c>
      <c r="H1050" s="946">
        <v>325</v>
      </c>
    </row>
    <row r="1051" spans="1:9" s="26" customFormat="1">
      <c r="A1051" s="947">
        <v>4</v>
      </c>
      <c r="B1051" s="948">
        <v>144</v>
      </c>
      <c r="C1051" s="948" t="s">
        <v>124</v>
      </c>
      <c r="D1051" s="947" t="s">
        <v>4</v>
      </c>
      <c r="E1051" s="949">
        <v>1797</v>
      </c>
      <c r="F1051" s="950">
        <v>14</v>
      </c>
      <c r="G1051" s="951">
        <v>250</v>
      </c>
      <c r="H1051" s="951">
        <v>250.7</v>
      </c>
      <c r="I1051" s="18"/>
    </row>
    <row r="1052" spans="1:9">
      <c r="A1052" s="943">
        <v>4</v>
      </c>
      <c r="B1052" s="944">
        <v>145</v>
      </c>
      <c r="C1052" s="944" t="s">
        <v>125</v>
      </c>
      <c r="D1052" s="943" t="s">
        <v>2</v>
      </c>
      <c r="E1052" s="945">
        <v>65</v>
      </c>
      <c r="F1052" s="945">
        <v>1</v>
      </c>
      <c r="G1052" s="946">
        <v>990</v>
      </c>
      <c r="H1052" s="946">
        <v>986</v>
      </c>
    </row>
    <row r="1053" spans="1:9" s="26" customFormat="1">
      <c r="A1053" s="947">
        <v>4</v>
      </c>
      <c r="B1053" s="948">
        <v>146</v>
      </c>
      <c r="C1053" s="948" t="s">
        <v>126</v>
      </c>
      <c r="D1053" s="947" t="s">
        <v>2</v>
      </c>
      <c r="E1053" s="950">
        <v>778</v>
      </c>
      <c r="F1053" s="950">
        <v>6</v>
      </c>
      <c r="G1053" s="951">
        <v>1125</v>
      </c>
      <c r="H1053" s="951">
        <v>1409.04</v>
      </c>
      <c r="I1053" s="18"/>
    </row>
    <row r="1054" spans="1:9">
      <c r="A1054" s="943">
        <v>4</v>
      </c>
      <c r="B1054" s="944">
        <v>149.19999999999999</v>
      </c>
      <c r="C1054" s="944" t="s">
        <v>1284</v>
      </c>
      <c r="D1054" s="943" t="s">
        <v>22</v>
      </c>
      <c r="E1054" s="945">
        <v>3</v>
      </c>
      <c r="F1054" s="945">
        <v>1</v>
      </c>
      <c r="G1054" s="946">
        <v>100000</v>
      </c>
      <c r="H1054" s="946">
        <v>92000</v>
      </c>
    </row>
    <row r="1055" spans="1:9" s="26" customFormat="1">
      <c r="A1055" s="947">
        <v>4</v>
      </c>
      <c r="B1055" s="948">
        <v>150</v>
      </c>
      <c r="C1055" s="948" t="s">
        <v>128</v>
      </c>
      <c r="D1055" s="947" t="s">
        <v>4</v>
      </c>
      <c r="E1055" s="949">
        <v>17730</v>
      </c>
      <c r="F1055" s="950">
        <v>5</v>
      </c>
      <c r="G1055" s="951">
        <v>50</v>
      </c>
      <c r="H1055" s="951">
        <v>52.41</v>
      </c>
      <c r="I1055" s="18"/>
    </row>
    <row r="1056" spans="1:9">
      <c r="A1056" s="943">
        <v>4</v>
      </c>
      <c r="B1056" s="944">
        <v>150.1</v>
      </c>
      <c r="C1056" s="944" t="s">
        <v>129</v>
      </c>
      <c r="D1056" s="943" t="s">
        <v>4</v>
      </c>
      <c r="E1056" s="952">
        <v>24540</v>
      </c>
      <c r="F1056" s="945">
        <v>2</v>
      </c>
      <c r="G1056" s="946">
        <v>65</v>
      </c>
      <c r="H1056" s="946">
        <v>66.47</v>
      </c>
    </row>
    <row r="1057" spans="1:9" s="26" customFormat="1">
      <c r="A1057" s="947">
        <v>4</v>
      </c>
      <c r="B1057" s="948">
        <v>151</v>
      </c>
      <c r="C1057" s="948" t="s">
        <v>5</v>
      </c>
      <c r="D1057" s="947" t="s">
        <v>4</v>
      </c>
      <c r="E1057" s="949">
        <v>180525</v>
      </c>
      <c r="F1057" s="950">
        <v>12</v>
      </c>
      <c r="G1057" s="951">
        <v>62.5</v>
      </c>
      <c r="H1057" s="951">
        <v>60.59</v>
      </c>
      <c r="I1057" s="18"/>
    </row>
    <row r="1058" spans="1:9">
      <c r="A1058" s="943">
        <v>4</v>
      </c>
      <c r="B1058" s="944">
        <v>151.01</v>
      </c>
      <c r="C1058" s="944" t="s">
        <v>130</v>
      </c>
      <c r="D1058" s="943" t="s">
        <v>4</v>
      </c>
      <c r="E1058" s="952">
        <v>2955</v>
      </c>
      <c r="F1058" s="945">
        <v>4</v>
      </c>
      <c r="G1058" s="946">
        <v>85</v>
      </c>
      <c r="H1058" s="946">
        <v>87.33</v>
      </c>
    </row>
    <row r="1059" spans="1:9" s="26" customFormat="1">
      <c r="A1059" s="947">
        <v>4</v>
      </c>
      <c r="B1059" s="948">
        <v>151.19999999999999</v>
      </c>
      <c r="C1059" s="948" t="s">
        <v>52</v>
      </c>
      <c r="D1059" s="947" t="s">
        <v>4</v>
      </c>
      <c r="E1059" s="949">
        <v>43210</v>
      </c>
      <c r="F1059" s="950">
        <v>8</v>
      </c>
      <c r="G1059" s="951">
        <v>65</v>
      </c>
      <c r="H1059" s="951">
        <v>63.59</v>
      </c>
      <c r="I1059" s="18"/>
    </row>
    <row r="1060" spans="1:9">
      <c r="A1060" s="943">
        <v>4</v>
      </c>
      <c r="B1060" s="944">
        <v>153</v>
      </c>
      <c r="C1060" s="944" t="s">
        <v>134</v>
      </c>
      <c r="D1060" s="943" t="s">
        <v>4</v>
      </c>
      <c r="E1060" s="952">
        <v>1863</v>
      </c>
      <c r="F1060" s="945">
        <v>10</v>
      </c>
      <c r="G1060" s="946">
        <v>250</v>
      </c>
      <c r="H1060" s="946">
        <v>272.68</v>
      </c>
    </row>
    <row r="1061" spans="1:9" s="26" customFormat="1">
      <c r="A1061" s="947">
        <v>4</v>
      </c>
      <c r="B1061" s="948">
        <v>153.1</v>
      </c>
      <c r="C1061" s="948" t="s">
        <v>135</v>
      </c>
      <c r="D1061" s="947" t="s">
        <v>4</v>
      </c>
      <c r="E1061" s="950">
        <v>60</v>
      </c>
      <c r="F1061" s="950">
        <v>2</v>
      </c>
      <c r="G1061" s="951">
        <v>555</v>
      </c>
      <c r="H1061" s="951">
        <v>541.16999999999996</v>
      </c>
      <c r="I1061" s="18"/>
    </row>
    <row r="1062" spans="1:9">
      <c r="A1062" s="943">
        <v>4</v>
      </c>
      <c r="B1062" s="944">
        <v>156</v>
      </c>
      <c r="C1062" s="944" t="s">
        <v>26</v>
      </c>
      <c r="D1062" s="943" t="s">
        <v>7</v>
      </c>
      <c r="E1062" s="952">
        <v>26637</v>
      </c>
      <c r="F1062" s="945">
        <v>12</v>
      </c>
      <c r="G1062" s="946">
        <v>60</v>
      </c>
      <c r="H1062" s="946">
        <v>57.39</v>
      </c>
    </row>
    <row r="1063" spans="1:9" s="26" customFormat="1">
      <c r="A1063" s="947">
        <v>4</v>
      </c>
      <c r="B1063" s="948">
        <v>156.5</v>
      </c>
      <c r="C1063" s="948" t="s">
        <v>138</v>
      </c>
      <c r="D1063" s="947" t="s">
        <v>4</v>
      </c>
      <c r="E1063" s="950">
        <v>15</v>
      </c>
      <c r="F1063" s="950">
        <v>1</v>
      </c>
      <c r="G1063" s="951">
        <v>325</v>
      </c>
      <c r="H1063" s="951">
        <v>341.67</v>
      </c>
      <c r="I1063" s="18"/>
    </row>
    <row r="1064" spans="1:9">
      <c r="A1064" s="943">
        <v>4</v>
      </c>
      <c r="B1064" s="944">
        <v>170</v>
      </c>
      <c r="C1064" s="944" t="s">
        <v>1287</v>
      </c>
      <c r="D1064" s="943" t="s">
        <v>1</v>
      </c>
      <c r="E1064" s="952">
        <v>689500</v>
      </c>
      <c r="F1064" s="945">
        <v>14</v>
      </c>
      <c r="G1064" s="946">
        <v>16.93</v>
      </c>
      <c r="H1064" s="946">
        <v>16.350000000000001</v>
      </c>
    </row>
    <row r="1065" spans="1:9" s="26" customFormat="1">
      <c r="A1065" s="947">
        <v>4</v>
      </c>
      <c r="B1065" s="948">
        <v>180.01</v>
      </c>
      <c r="C1065" s="948" t="s">
        <v>1288</v>
      </c>
      <c r="D1065" s="947" t="s">
        <v>22</v>
      </c>
      <c r="E1065" s="950">
        <v>34</v>
      </c>
      <c r="F1065" s="950">
        <v>15</v>
      </c>
      <c r="G1065" s="951">
        <v>8770</v>
      </c>
      <c r="H1065" s="951">
        <v>7584.47</v>
      </c>
      <c r="I1065" s="18"/>
    </row>
    <row r="1066" spans="1:9">
      <c r="A1066" s="943">
        <v>4</v>
      </c>
      <c r="B1066" s="944">
        <v>180.02</v>
      </c>
      <c r="C1066" s="944" t="s">
        <v>1289</v>
      </c>
      <c r="D1066" s="943" t="s">
        <v>24</v>
      </c>
      <c r="E1066" s="952">
        <v>1040</v>
      </c>
      <c r="F1066" s="945">
        <v>15</v>
      </c>
      <c r="G1066" s="946">
        <v>15</v>
      </c>
      <c r="H1066" s="946">
        <v>17.13</v>
      </c>
    </row>
    <row r="1067" spans="1:9" s="26" customFormat="1">
      <c r="A1067" s="947">
        <v>4</v>
      </c>
      <c r="B1067" s="948">
        <v>180.03</v>
      </c>
      <c r="C1067" s="948" t="s">
        <v>1290</v>
      </c>
      <c r="D1067" s="947" t="s">
        <v>24</v>
      </c>
      <c r="E1067" s="949">
        <v>2636</v>
      </c>
      <c r="F1067" s="950">
        <v>17</v>
      </c>
      <c r="G1067" s="951">
        <v>135</v>
      </c>
      <c r="H1067" s="951">
        <v>140.56</v>
      </c>
      <c r="I1067" s="18"/>
    </row>
    <row r="1068" spans="1:9">
      <c r="A1068" s="943">
        <v>4</v>
      </c>
      <c r="B1068" s="944">
        <v>181.11</v>
      </c>
      <c r="C1068" s="944" t="s">
        <v>58</v>
      </c>
      <c r="D1068" s="943" t="s">
        <v>7</v>
      </c>
      <c r="E1068" s="952">
        <v>101124</v>
      </c>
      <c r="F1068" s="945">
        <v>16</v>
      </c>
      <c r="G1068" s="946">
        <v>52.8</v>
      </c>
      <c r="H1068" s="946">
        <v>52.71</v>
      </c>
    </row>
    <row r="1069" spans="1:9" s="26" customFormat="1">
      <c r="A1069" s="947">
        <v>4</v>
      </c>
      <c r="B1069" s="948">
        <v>181.12</v>
      </c>
      <c r="C1069" s="948" t="s">
        <v>141</v>
      </c>
      <c r="D1069" s="947" t="s">
        <v>7</v>
      </c>
      <c r="E1069" s="949">
        <v>25406</v>
      </c>
      <c r="F1069" s="950">
        <v>16</v>
      </c>
      <c r="G1069" s="951">
        <v>105</v>
      </c>
      <c r="H1069" s="951">
        <v>108.59</v>
      </c>
      <c r="I1069" s="18"/>
    </row>
    <row r="1070" spans="1:9">
      <c r="A1070" s="943">
        <v>4</v>
      </c>
      <c r="B1070" s="944">
        <v>181.13</v>
      </c>
      <c r="C1070" s="944" t="s">
        <v>142</v>
      </c>
      <c r="D1070" s="943" t="s">
        <v>7</v>
      </c>
      <c r="E1070" s="952">
        <v>9770</v>
      </c>
      <c r="F1070" s="945">
        <v>16</v>
      </c>
      <c r="G1070" s="946">
        <v>200</v>
      </c>
      <c r="H1070" s="946">
        <v>192.36</v>
      </c>
    </row>
    <row r="1071" spans="1:9" s="26" customFormat="1">
      <c r="A1071" s="947">
        <v>4</v>
      </c>
      <c r="B1071" s="948">
        <v>181.14</v>
      </c>
      <c r="C1071" s="948" t="s">
        <v>59</v>
      </c>
      <c r="D1071" s="947" t="s">
        <v>7</v>
      </c>
      <c r="E1071" s="949">
        <v>3223</v>
      </c>
      <c r="F1071" s="950">
        <v>14</v>
      </c>
      <c r="G1071" s="951">
        <v>500</v>
      </c>
      <c r="H1071" s="951">
        <v>487.24</v>
      </c>
      <c r="I1071" s="18"/>
    </row>
    <row r="1072" spans="1:9">
      <c r="A1072" s="943">
        <v>4</v>
      </c>
      <c r="B1072" s="944">
        <v>182.1</v>
      </c>
      <c r="C1072" s="944" t="s">
        <v>143</v>
      </c>
      <c r="D1072" s="943" t="s">
        <v>22</v>
      </c>
      <c r="E1072" s="945">
        <v>19</v>
      </c>
      <c r="F1072" s="945">
        <v>8</v>
      </c>
      <c r="G1072" s="946">
        <v>3400</v>
      </c>
      <c r="H1072" s="946">
        <v>3023.53</v>
      </c>
    </row>
    <row r="1073" spans="1:9" s="26" customFormat="1">
      <c r="A1073" s="947">
        <v>4</v>
      </c>
      <c r="B1073" s="948">
        <v>182.2</v>
      </c>
      <c r="C1073" s="948" t="s">
        <v>144</v>
      </c>
      <c r="D1073" s="947" t="s">
        <v>17</v>
      </c>
      <c r="E1073" s="949">
        <v>2808</v>
      </c>
      <c r="F1073" s="950">
        <v>7</v>
      </c>
      <c r="G1073" s="951">
        <v>105</v>
      </c>
      <c r="H1073" s="951">
        <v>113.91</v>
      </c>
      <c r="I1073" s="18"/>
    </row>
    <row r="1074" spans="1:9">
      <c r="A1074" s="943">
        <v>4</v>
      </c>
      <c r="B1074" s="944">
        <v>183.1</v>
      </c>
      <c r="C1074" s="944" t="s">
        <v>146</v>
      </c>
      <c r="D1074" s="943" t="s">
        <v>20</v>
      </c>
      <c r="E1074" s="952">
        <v>17075</v>
      </c>
      <c r="F1074" s="945">
        <v>6</v>
      </c>
      <c r="G1074" s="946">
        <v>8</v>
      </c>
      <c r="H1074" s="946">
        <v>11.47</v>
      </c>
    </row>
    <row r="1075" spans="1:9" s="26" customFormat="1">
      <c r="A1075" s="947">
        <v>4</v>
      </c>
      <c r="B1075" s="948">
        <v>183.2</v>
      </c>
      <c r="C1075" s="948" t="s">
        <v>147</v>
      </c>
      <c r="D1075" s="947" t="s">
        <v>100</v>
      </c>
      <c r="E1075" s="949">
        <v>11864</v>
      </c>
      <c r="F1075" s="950">
        <v>6</v>
      </c>
      <c r="G1075" s="951">
        <v>6</v>
      </c>
      <c r="H1075" s="951">
        <v>5.98</v>
      </c>
      <c r="I1075" s="18"/>
    </row>
    <row r="1076" spans="1:9">
      <c r="A1076" s="943">
        <v>4</v>
      </c>
      <c r="B1076" s="944">
        <v>184.1</v>
      </c>
      <c r="C1076" s="944" t="s">
        <v>148</v>
      </c>
      <c r="D1076" s="943" t="s">
        <v>7</v>
      </c>
      <c r="E1076" s="945">
        <v>618.20000000000005</v>
      </c>
      <c r="F1076" s="945">
        <v>10</v>
      </c>
      <c r="G1076" s="946">
        <v>475</v>
      </c>
      <c r="H1076" s="946">
        <v>452.27</v>
      </c>
    </row>
    <row r="1077" spans="1:9" s="26" customFormat="1">
      <c r="A1077" s="947">
        <v>4</v>
      </c>
      <c r="B1077" s="948">
        <v>191</v>
      </c>
      <c r="C1077" s="948" t="s">
        <v>151</v>
      </c>
      <c r="D1077" s="947" t="s">
        <v>17</v>
      </c>
      <c r="E1077" s="950">
        <v>440</v>
      </c>
      <c r="F1077" s="950">
        <v>2</v>
      </c>
      <c r="G1077" s="951">
        <v>100</v>
      </c>
      <c r="H1077" s="951">
        <v>102.6</v>
      </c>
      <c r="I1077" s="18"/>
    </row>
    <row r="1078" spans="1:9">
      <c r="A1078" s="943">
        <v>4</v>
      </c>
      <c r="B1078" s="944">
        <v>191.11</v>
      </c>
      <c r="C1078" s="944" t="s">
        <v>153</v>
      </c>
      <c r="D1078" s="943" t="s">
        <v>17</v>
      </c>
      <c r="E1078" s="945">
        <v>60</v>
      </c>
      <c r="F1078" s="945">
        <v>1</v>
      </c>
      <c r="G1078" s="946">
        <v>1</v>
      </c>
      <c r="H1078" s="946">
        <v>1</v>
      </c>
    </row>
    <row r="1079" spans="1:9" s="26" customFormat="1">
      <c r="A1079" s="947">
        <v>4</v>
      </c>
      <c r="B1079" s="948">
        <v>201</v>
      </c>
      <c r="C1079" s="948" t="s">
        <v>155</v>
      </c>
      <c r="D1079" s="947" t="s">
        <v>2</v>
      </c>
      <c r="E1079" s="949">
        <v>1909</v>
      </c>
      <c r="F1079" s="950">
        <v>10</v>
      </c>
      <c r="G1079" s="951">
        <v>6887.5</v>
      </c>
      <c r="H1079" s="951">
        <v>6622.54</v>
      </c>
      <c r="I1079" s="18"/>
    </row>
    <row r="1080" spans="1:9">
      <c r="A1080" s="943">
        <v>4</v>
      </c>
      <c r="B1080" s="944">
        <v>201.3</v>
      </c>
      <c r="C1080" s="944" t="s">
        <v>156</v>
      </c>
      <c r="D1080" s="943" t="s">
        <v>2</v>
      </c>
      <c r="E1080" s="945">
        <v>4</v>
      </c>
      <c r="F1080" s="945">
        <v>1</v>
      </c>
      <c r="G1080" s="946">
        <v>9200</v>
      </c>
      <c r="H1080" s="946">
        <v>8775</v>
      </c>
    </row>
    <row r="1081" spans="1:9" s="26" customFormat="1">
      <c r="A1081" s="947">
        <v>4</v>
      </c>
      <c r="B1081" s="948">
        <v>202</v>
      </c>
      <c r="C1081" s="948" t="s">
        <v>157</v>
      </c>
      <c r="D1081" s="947" t="s">
        <v>2</v>
      </c>
      <c r="E1081" s="950">
        <v>949</v>
      </c>
      <c r="F1081" s="950">
        <v>9</v>
      </c>
      <c r="G1081" s="951">
        <v>7500</v>
      </c>
      <c r="H1081" s="951">
        <v>7361.85</v>
      </c>
      <c r="I1081" s="18"/>
    </row>
    <row r="1082" spans="1:9">
      <c r="A1082" s="943">
        <v>4</v>
      </c>
      <c r="B1082" s="944">
        <v>202.2</v>
      </c>
      <c r="C1082" s="944" t="s">
        <v>158</v>
      </c>
      <c r="D1082" s="943" t="s">
        <v>2</v>
      </c>
      <c r="E1082" s="945">
        <v>33</v>
      </c>
      <c r="F1082" s="945">
        <v>2</v>
      </c>
      <c r="G1082" s="946">
        <v>18000</v>
      </c>
      <c r="H1082" s="946">
        <v>15983.33</v>
      </c>
    </row>
    <row r="1083" spans="1:9" s="26" customFormat="1">
      <c r="A1083" s="947">
        <v>4</v>
      </c>
      <c r="B1083" s="948">
        <v>204</v>
      </c>
      <c r="C1083" s="948" t="s">
        <v>160</v>
      </c>
      <c r="D1083" s="947" t="s">
        <v>2</v>
      </c>
      <c r="E1083" s="950">
        <v>64</v>
      </c>
      <c r="F1083" s="950">
        <v>5</v>
      </c>
      <c r="G1083" s="951">
        <v>4000</v>
      </c>
      <c r="H1083" s="951">
        <v>4515.28</v>
      </c>
      <c r="I1083" s="18"/>
    </row>
    <row r="1084" spans="1:9">
      <c r="A1084" s="943">
        <v>4</v>
      </c>
      <c r="B1084" s="944">
        <v>204.11</v>
      </c>
      <c r="C1084" s="944" t="s">
        <v>1294</v>
      </c>
      <c r="D1084" s="943" t="s">
        <v>2</v>
      </c>
      <c r="E1084" s="945">
        <v>135</v>
      </c>
      <c r="F1084" s="945">
        <v>3</v>
      </c>
      <c r="G1084" s="946">
        <v>4000</v>
      </c>
      <c r="H1084" s="946">
        <v>3900</v>
      </c>
    </row>
    <row r="1085" spans="1:9" s="26" customFormat="1">
      <c r="A1085" s="947">
        <v>4</v>
      </c>
      <c r="B1085" s="948">
        <v>205</v>
      </c>
      <c r="C1085" s="948" t="s">
        <v>161</v>
      </c>
      <c r="D1085" s="947" t="s">
        <v>2</v>
      </c>
      <c r="E1085" s="950">
        <v>2</v>
      </c>
      <c r="F1085" s="950">
        <v>1</v>
      </c>
      <c r="G1085" s="951">
        <v>14250</v>
      </c>
      <c r="H1085" s="951">
        <v>14250</v>
      </c>
      <c r="I1085" s="18"/>
    </row>
    <row r="1086" spans="1:9">
      <c r="A1086" s="943">
        <v>4</v>
      </c>
      <c r="B1086" s="944">
        <v>220</v>
      </c>
      <c r="C1086" s="944" t="s">
        <v>172</v>
      </c>
      <c r="D1086" s="943" t="s">
        <v>2</v>
      </c>
      <c r="E1086" s="952">
        <v>7831</v>
      </c>
      <c r="F1086" s="945">
        <v>16</v>
      </c>
      <c r="G1086" s="946">
        <v>500</v>
      </c>
      <c r="H1086" s="946">
        <v>528.25</v>
      </c>
    </row>
    <row r="1087" spans="1:9" s="26" customFormat="1">
      <c r="A1087" s="947">
        <v>4</v>
      </c>
      <c r="B1087" s="948">
        <v>220.2</v>
      </c>
      <c r="C1087" s="948" t="s">
        <v>173</v>
      </c>
      <c r="D1087" s="947" t="s">
        <v>17</v>
      </c>
      <c r="E1087" s="949">
        <v>4175</v>
      </c>
      <c r="F1087" s="950">
        <v>12</v>
      </c>
      <c r="G1087" s="951">
        <v>500</v>
      </c>
      <c r="H1087" s="951">
        <v>516.59</v>
      </c>
      <c r="I1087" s="18"/>
    </row>
    <row r="1088" spans="1:9">
      <c r="A1088" s="943">
        <v>4</v>
      </c>
      <c r="B1088" s="944">
        <v>220.3</v>
      </c>
      <c r="C1088" s="944" t="s">
        <v>174</v>
      </c>
      <c r="D1088" s="943" t="s">
        <v>2</v>
      </c>
      <c r="E1088" s="945">
        <v>69</v>
      </c>
      <c r="F1088" s="945">
        <v>6</v>
      </c>
      <c r="G1088" s="946">
        <v>1500</v>
      </c>
      <c r="H1088" s="946">
        <v>1411.67</v>
      </c>
    </row>
    <row r="1089" spans="1:9" s="26" customFormat="1">
      <c r="A1089" s="947">
        <v>4</v>
      </c>
      <c r="B1089" s="948">
        <v>220.5</v>
      </c>
      <c r="C1089" s="948" t="s">
        <v>175</v>
      </c>
      <c r="D1089" s="947" t="s">
        <v>2</v>
      </c>
      <c r="E1089" s="950">
        <v>282</v>
      </c>
      <c r="F1089" s="950">
        <v>7</v>
      </c>
      <c r="G1089" s="951">
        <v>950</v>
      </c>
      <c r="H1089" s="951">
        <v>823.74</v>
      </c>
      <c r="I1089" s="18"/>
    </row>
    <row r="1090" spans="1:9">
      <c r="A1090" s="943">
        <v>4</v>
      </c>
      <c r="B1090" s="944">
        <v>220.6</v>
      </c>
      <c r="C1090" s="944" t="s">
        <v>176</v>
      </c>
      <c r="D1090" s="943" t="s">
        <v>17</v>
      </c>
      <c r="E1090" s="945">
        <v>260</v>
      </c>
      <c r="F1090" s="945">
        <v>3</v>
      </c>
      <c r="G1090" s="946">
        <v>500</v>
      </c>
      <c r="H1090" s="946">
        <v>520.33000000000004</v>
      </c>
    </row>
    <row r="1091" spans="1:9" s="26" customFormat="1">
      <c r="A1091" s="947">
        <v>4</v>
      </c>
      <c r="B1091" s="948">
        <v>220.7</v>
      </c>
      <c r="C1091" s="948" t="s">
        <v>177</v>
      </c>
      <c r="D1091" s="947" t="s">
        <v>2</v>
      </c>
      <c r="E1091" s="949">
        <v>1709</v>
      </c>
      <c r="F1091" s="950">
        <v>10</v>
      </c>
      <c r="G1091" s="951">
        <v>500</v>
      </c>
      <c r="H1091" s="951">
        <v>489.52</v>
      </c>
      <c r="I1091" s="18"/>
    </row>
    <row r="1092" spans="1:9">
      <c r="A1092" s="943">
        <v>4</v>
      </c>
      <c r="B1092" s="944">
        <v>220.8</v>
      </c>
      <c r="C1092" s="944" t="s">
        <v>178</v>
      </c>
      <c r="D1092" s="943" t="s">
        <v>2</v>
      </c>
      <c r="E1092" s="945">
        <v>607</v>
      </c>
      <c r="F1092" s="945">
        <v>6</v>
      </c>
      <c r="G1092" s="946">
        <v>850</v>
      </c>
      <c r="H1092" s="946">
        <v>905.48</v>
      </c>
    </row>
    <row r="1093" spans="1:9" s="26" customFormat="1">
      <c r="A1093" s="947">
        <v>4</v>
      </c>
      <c r="B1093" s="948">
        <v>221</v>
      </c>
      <c r="C1093" s="948" t="s">
        <v>180</v>
      </c>
      <c r="D1093" s="947" t="s">
        <v>2</v>
      </c>
      <c r="E1093" s="950">
        <v>999</v>
      </c>
      <c r="F1093" s="950">
        <v>10</v>
      </c>
      <c r="G1093" s="951">
        <v>1200</v>
      </c>
      <c r="H1093" s="951">
        <v>1107.5899999999999</v>
      </c>
      <c r="I1093" s="18"/>
    </row>
    <row r="1094" spans="1:9">
      <c r="A1094" s="943">
        <v>4</v>
      </c>
      <c r="B1094" s="944">
        <v>221.1</v>
      </c>
      <c r="C1094" s="944" t="s">
        <v>1300</v>
      </c>
      <c r="D1094" s="943" t="s">
        <v>2</v>
      </c>
      <c r="E1094" s="945">
        <v>593</v>
      </c>
      <c r="F1094" s="945">
        <v>5</v>
      </c>
      <c r="G1094" s="946">
        <v>874.03</v>
      </c>
      <c r="H1094" s="946">
        <v>914.57</v>
      </c>
    </row>
    <row r="1095" spans="1:9" s="26" customFormat="1">
      <c r="A1095" s="947">
        <v>4</v>
      </c>
      <c r="B1095" s="948">
        <v>222</v>
      </c>
      <c r="C1095" s="948" t="s">
        <v>181</v>
      </c>
      <c r="D1095" s="947" t="s">
        <v>2</v>
      </c>
      <c r="E1095" s="950">
        <v>290</v>
      </c>
      <c r="F1095" s="950">
        <v>4</v>
      </c>
      <c r="G1095" s="951">
        <v>750</v>
      </c>
      <c r="H1095" s="951">
        <v>810.13</v>
      </c>
      <c r="I1095" s="18"/>
    </row>
    <row r="1096" spans="1:9">
      <c r="A1096" s="943">
        <v>4</v>
      </c>
      <c r="B1096" s="944">
        <v>222.1</v>
      </c>
      <c r="C1096" s="944" t="s">
        <v>182</v>
      </c>
      <c r="D1096" s="943" t="s">
        <v>2</v>
      </c>
      <c r="E1096" s="952">
        <v>2102</v>
      </c>
      <c r="F1096" s="945">
        <v>10</v>
      </c>
      <c r="G1096" s="946">
        <v>1200</v>
      </c>
      <c r="H1096" s="946">
        <v>1150.1400000000001</v>
      </c>
    </row>
    <row r="1097" spans="1:9" s="26" customFormat="1">
      <c r="A1097" s="947">
        <v>4</v>
      </c>
      <c r="B1097" s="948">
        <v>222.3</v>
      </c>
      <c r="C1097" s="948" t="s">
        <v>29</v>
      </c>
      <c r="D1097" s="947" t="s">
        <v>2</v>
      </c>
      <c r="E1097" s="949">
        <v>2027</v>
      </c>
      <c r="F1097" s="950">
        <v>7</v>
      </c>
      <c r="G1097" s="951">
        <v>1200</v>
      </c>
      <c r="H1097" s="951">
        <v>1199.68</v>
      </c>
      <c r="I1097" s="18"/>
    </row>
    <row r="1098" spans="1:9">
      <c r="A1098" s="943">
        <v>4</v>
      </c>
      <c r="B1098" s="944">
        <v>223.1</v>
      </c>
      <c r="C1098" s="944" t="s">
        <v>184</v>
      </c>
      <c r="D1098" s="943" t="s">
        <v>2</v>
      </c>
      <c r="E1098" s="945">
        <v>66</v>
      </c>
      <c r="F1098" s="945">
        <v>2</v>
      </c>
      <c r="G1098" s="946">
        <v>150</v>
      </c>
      <c r="H1098" s="946">
        <v>158.66999999999999</v>
      </c>
    </row>
    <row r="1099" spans="1:9" s="26" customFormat="1">
      <c r="A1099" s="947">
        <v>4</v>
      </c>
      <c r="B1099" s="948">
        <v>223.2</v>
      </c>
      <c r="C1099" s="948" t="s">
        <v>185</v>
      </c>
      <c r="D1099" s="947" t="s">
        <v>2</v>
      </c>
      <c r="E1099" s="949">
        <v>1351</v>
      </c>
      <c r="F1099" s="950">
        <v>10</v>
      </c>
      <c r="G1099" s="951">
        <v>85</v>
      </c>
      <c r="H1099" s="951">
        <v>66.58</v>
      </c>
      <c r="I1099" s="18"/>
    </row>
    <row r="1100" spans="1:9">
      <c r="A1100" s="943">
        <v>4</v>
      </c>
      <c r="B1100" s="944">
        <v>224.12</v>
      </c>
      <c r="C1100" s="944" t="s">
        <v>187</v>
      </c>
      <c r="D1100" s="943" t="s">
        <v>2</v>
      </c>
      <c r="E1100" s="945">
        <v>851</v>
      </c>
      <c r="F1100" s="945">
        <v>6</v>
      </c>
      <c r="G1100" s="946">
        <v>750</v>
      </c>
      <c r="H1100" s="946">
        <v>725.43</v>
      </c>
    </row>
    <row r="1101" spans="1:9" s="26" customFormat="1">
      <c r="A1101" s="947">
        <v>4</v>
      </c>
      <c r="B1101" s="948">
        <v>227.3</v>
      </c>
      <c r="C1101" s="948" t="s">
        <v>189</v>
      </c>
      <c r="D1101" s="947" t="s">
        <v>4</v>
      </c>
      <c r="E1101" s="949">
        <v>2762</v>
      </c>
      <c r="F1101" s="950">
        <v>11</v>
      </c>
      <c r="G1101" s="951">
        <v>300.5</v>
      </c>
      <c r="H1101" s="951">
        <v>326.39</v>
      </c>
      <c r="I1101" s="18"/>
    </row>
    <row r="1102" spans="1:9">
      <c r="A1102" s="943">
        <v>4</v>
      </c>
      <c r="B1102" s="944">
        <v>227.31</v>
      </c>
      <c r="C1102" s="944" t="s">
        <v>190</v>
      </c>
      <c r="D1102" s="943" t="s">
        <v>17</v>
      </c>
      <c r="E1102" s="952">
        <v>28798</v>
      </c>
      <c r="F1102" s="945">
        <v>10</v>
      </c>
      <c r="G1102" s="946">
        <v>16.63</v>
      </c>
      <c r="H1102" s="946">
        <v>14.62</v>
      </c>
    </row>
    <row r="1103" spans="1:9" s="26" customFormat="1">
      <c r="A1103" s="947">
        <v>4</v>
      </c>
      <c r="B1103" s="948">
        <v>227.4</v>
      </c>
      <c r="C1103" s="948" t="s">
        <v>191</v>
      </c>
      <c r="D1103" s="947" t="s">
        <v>3</v>
      </c>
      <c r="E1103" s="950">
        <v>743</v>
      </c>
      <c r="F1103" s="950">
        <v>6</v>
      </c>
      <c r="G1103" s="951">
        <v>100</v>
      </c>
      <c r="H1103" s="951">
        <v>125.35</v>
      </c>
      <c r="I1103" s="18"/>
    </row>
    <row r="1104" spans="1:9">
      <c r="A1104" s="943">
        <v>4</v>
      </c>
      <c r="B1104" s="944">
        <v>234.12</v>
      </c>
      <c r="C1104" s="944" t="s">
        <v>195</v>
      </c>
      <c r="D1104" s="943" t="s">
        <v>17</v>
      </c>
      <c r="E1104" s="952">
        <v>51270</v>
      </c>
      <c r="F1104" s="945">
        <v>7</v>
      </c>
      <c r="G1104" s="946">
        <v>215</v>
      </c>
      <c r="H1104" s="946">
        <v>195.93</v>
      </c>
    </row>
    <row r="1105" spans="1:9" s="26" customFormat="1">
      <c r="A1105" s="947">
        <v>4</v>
      </c>
      <c r="B1105" s="948">
        <v>234.15</v>
      </c>
      <c r="C1105" s="948" t="s">
        <v>196</v>
      </c>
      <c r="D1105" s="947" t="s">
        <v>17</v>
      </c>
      <c r="E1105" s="949">
        <v>14100</v>
      </c>
      <c r="F1105" s="950">
        <v>3</v>
      </c>
      <c r="G1105" s="951">
        <v>162.5</v>
      </c>
      <c r="H1105" s="951">
        <v>178.32</v>
      </c>
      <c r="I1105" s="18"/>
    </row>
    <row r="1106" spans="1:9">
      <c r="A1106" s="943">
        <v>4</v>
      </c>
      <c r="B1106" s="944">
        <v>234.18</v>
      </c>
      <c r="C1106" s="944" t="s">
        <v>197</v>
      </c>
      <c r="D1106" s="943" t="s">
        <v>17</v>
      </c>
      <c r="E1106" s="952">
        <v>15300</v>
      </c>
      <c r="F1106" s="945">
        <v>3</v>
      </c>
      <c r="G1106" s="946">
        <v>170</v>
      </c>
      <c r="H1106" s="946">
        <v>181.13</v>
      </c>
    </row>
    <row r="1107" spans="1:9" s="26" customFormat="1">
      <c r="A1107" s="947">
        <v>4</v>
      </c>
      <c r="B1107" s="948">
        <v>234.24</v>
      </c>
      <c r="C1107" s="948" t="s">
        <v>198</v>
      </c>
      <c r="D1107" s="947" t="s">
        <v>17</v>
      </c>
      <c r="E1107" s="949">
        <v>3100</v>
      </c>
      <c r="F1107" s="950">
        <v>3</v>
      </c>
      <c r="G1107" s="951">
        <v>297.5</v>
      </c>
      <c r="H1107" s="951">
        <v>273.64</v>
      </c>
      <c r="I1107" s="18"/>
    </row>
    <row r="1108" spans="1:9">
      <c r="A1108" s="943">
        <v>4</v>
      </c>
      <c r="B1108" s="944">
        <v>234.3</v>
      </c>
      <c r="C1108" s="944" t="s">
        <v>199</v>
      </c>
      <c r="D1108" s="943" t="s">
        <v>17</v>
      </c>
      <c r="E1108" s="952">
        <v>4925</v>
      </c>
      <c r="F1108" s="945">
        <v>2</v>
      </c>
      <c r="G1108" s="946">
        <v>360</v>
      </c>
      <c r="H1108" s="946">
        <v>360.64</v>
      </c>
    </row>
    <row r="1109" spans="1:9" s="26" customFormat="1">
      <c r="A1109" s="947">
        <v>4</v>
      </c>
      <c r="B1109" s="948">
        <v>234.36</v>
      </c>
      <c r="C1109" s="948" t="s">
        <v>200</v>
      </c>
      <c r="D1109" s="947" t="s">
        <v>17</v>
      </c>
      <c r="E1109" s="949">
        <v>7200</v>
      </c>
      <c r="F1109" s="950">
        <v>1</v>
      </c>
      <c r="G1109" s="951">
        <v>355</v>
      </c>
      <c r="H1109" s="951">
        <v>348.75</v>
      </c>
      <c r="I1109" s="18"/>
    </row>
    <row r="1110" spans="1:9">
      <c r="A1110" s="943">
        <v>4</v>
      </c>
      <c r="B1110" s="944">
        <v>235.12</v>
      </c>
      <c r="C1110" s="944" t="s">
        <v>201</v>
      </c>
      <c r="D1110" s="943" t="s">
        <v>2</v>
      </c>
      <c r="E1110" s="945">
        <v>26</v>
      </c>
      <c r="F1110" s="945">
        <v>2</v>
      </c>
      <c r="G1110" s="946">
        <v>2275</v>
      </c>
      <c r="H1110" s="946">
        <v>2330</v>
      </c>
    </row>
    <row r="1111" spans="1:9" s="26" customFormat="1">
      <c r="A1111" s="947">
        <v>4</v>
      </c>
      <c r="B1111" s="948">
        <v>235.15</v>
      </c>
      <c r="C1111" s="948" t="s">
        <v>202</v>
      </c>
      <c r="D1111" s="947" t="s">
        <v>2</v>
      </c>
      <c r="E1111" s="950">
        <v>6</v>
      </c>
      <c r="F1111" s="950">
        <v>1</v>
      </c>
      <c r="G1111" s="951">
        <v>3275</v>
      </c>
      <c r="H1111" s="951">
        <v>2816.67</v>
      </c>
      <c r="I1111" s="18"/>
    </row>
    <row r="1112" spans="1:9">
      <c r="A1112" s="943">
        <v>4</v>
      </c>
      <c r="B1112" s="944">
        <v>235.18</v>
      </c>
      <c r="C1112" s="944" t="s">
        <v>203</v>
      </c>
      <c r="D1112" s="943" t="s">
        <v>2</v>
      </c>
      <c r="E1112" s="945">
        <v>42</v>
      </c>
      <c r="F1112" s="945">
        <v>2</v>
      </c>
      <c r="G1112" s="946">
        <v>2650</v>
      </c>
      <c r="H1112" s="946">
        <v>3041.67</v>
      </c>
    </row>
    <row r="1113" spans="1:9" s="26" customFormat="1">
      <c r="A1113" s="947">
        <v>4</v>
      </c>
      <c r="B1113" s="948">
        <v>238.1</v>
      </c>
      <c r="C1113" s="948" t="s">
        <v>207</v>
      </c>
      <c r="D1113" s="947" t="s">
        <v>17</v>
      </c>
      <c r="E1113" s="949">
        <v>1255</v>
      </c>
      <c r="F1113" s="950">
        <v>4</v>
      </c>
      <c r="G1113" s="951">
        <v>300</v>
      </c>
      <c r="H1113" s="951">
        <v>284.95</v>
      </c>
      <c r="I1113" s="18"/>
    </row>
    <row r="1114" spans="1:9">
      <c r="A1114" s="943">
        <v>4</v>
      </c>
      <c r="B1114" s="944">
        <v>238.12</v>
      </c>
      <c r="C1114" s="944" t="s">
        <v>208</v>
      </c>
      <c r="D1114" s="943" t="s">
        <v>17</v>
      </c>
      <c r="E1114" s="952">
        <v>1775</v>
      </c>
      <c r="F1114" s="945">
        <v>4</v>
      </c>
      <c r="G1114" s="946">
        <v>349</v>
      </c>
      <c r="H1114" s="946">
        <v>330.5</v>
      </c>
    </row>
    <row r="1115" spans="1:9" s="26" customFormat="1">
      <c r="A1115" s="947">
        <v>4</v>
      </c>
      <c r="B1115" s="948">
        <v>241.12</v>
      </c>
      <c r="C1115" s="948" t="s">
        <v>3996</v>
      </c>
      <c r="D1115" s="947" t="s">
        <v>17</v>
      </c>
      <c r="E1115" s="950">
        <v>150</v>
      </c>
      <c r="F1115" s="950">
        <v>2</v>
      </c>
      <c r="G1115" s="951">
        <v>275</v>
      </c>
      <c r="H1115" s="951">
        <v>316.67</v>
      </c>
      <c r="I1115" s="18"/>
    </row>
    <row r="1116" spans="1:9">
      <c r="A1116" s="943">
        <v>4</v>
      </c>
      <c r="B1116" s="944">
        <v>242.12</v>
      </c>
      <c r="C1116" s="944" t="s">
        <v>219</v>
      </c>
      <c r="D1116" s="943" t="s">
        <v>2</v>
      </c>
      <c r="E1116" s="945">
        <v>12</v>
      </c>
      <c r="F1116" s="945">
        <v>1</v>
      </c>
      <c r="G1116" s="946">
        <v>1250</v>
      </c>
      <c r="H1116" s="946">
        <v>1357.5</v>
      </c>
    </row>
    <row r="1117" spans="1:9" s="26" customFormat="1">
      <c r="A1117" s="947">
        <v>4</v>
      </c>
      <c r="B1117" s="948">
        <v>242.24</v>
      </c>
      <c r="C1117" s="948" t="s">
        <v>222</v>
      </c>
      <c r="D1117" s="947" t="s">
        <v>2</v>
      </c>
      <c r="E1117" s="950">
        <v>4</v>
      </c>
      <c r="F1117" s="950">
        <v>1</v>
      </c>
      <c r="G1117" s="951">
        <v>3500</v>
      </c>
      <c r="H1117" s="951">
        <v>3437.5</v>
      </c>
      <c r="I1117" s="18"/>
    </row>
    <row r="1118" spans="1:9">
      <c r="A1118" s="943">
        <v>4</v>
      </c>
      <c r="B1118" s="944">
        <v>243.12</v>
      </c>
      <c r="C1118" s="944" t="s">
        <v>226</v>
      </c>
      <c r="D1118" s="943" t="s">
        <v>17</v>
      </c>
      <c r="E1118" s="952">
        <v>6440</v>
      </c>
      <c r="F1118" s="945">
        <v>2</v>
      </c>
      <c r="G1118" s="946">
        <v>202.34</v>
      </c>
      <c r="H1118" s="946">
        <v>203.37</v>
      </c>
    </row>
    <row r="1119" spans="1:9" s="26" customFormat="1">
      <c r="A1119" s="947">
        <v>4</v>
      </c>
      <c r="B1119" s="948">
        <v>243.15</v>
      </c>
      <c r="C1119" s="948" t="s">
        <v>1311</v>
      </c>
      <c r="D1119" s="947" t="s">
        <v>17</v>
      </c>
      <c r="E1119" s="949">
        <v>2460</v>
      </c>
      <c r="F1119" s="950">
        <v>1</v>
      </c>
      <c r="G1119" s="951">
        <v>157.5</v>
      </c>
      <c r="H1119" s="951">
        <v>152.87</v>
      </c>
      <c r="I1119" s="18"/>
    </row>
    <row r="1120" spans="1:9">
      <c r="A1120" s="943">
        <v>4</v>
      </c>
      <c r="B1120" s="944">
        <v>243.24</v>
      </c>
      <c r="C1120" s="944" t="s">
        <v>228</v>
      </c>
      <c r="D1120" s="943" t="s">
        <v>17</v>
      </c>
      <c r="E1120" s="945">
        <v>600</v>
      </c>
      <c r="F1120" s="945">
        <v>1</v>
      </c>
      <c r="G1120" s="946">
        <v>340</v>
      </c>
      <c r="H1120" s="946">
        <v>338.75</v>
      </c>
    </row>
    <row r="1121" spans="1:9" s="26" customFormat="1">
      <c r="A1121" s="947">
        <v>4</v>
      </c>
      <c r="B1121" s="948">
        <v>244.12</v>
      </c>
      <c r="C1121" s="948" t="s">
        <v>229</v>
      </c>
      <c r="D1121" s="947" t="s">
        <v>17</v>
      </c>
      <c r="E1121" s="949">
        <v>23880</v>
      </c>
      <c r="F1121" s="950">
        <v>4</v>
      </c>
      <c r="G1121" s="951">
        <v>177.5</v>
      </c>
      <c r="H1121" s="951">
        <v>158.22</v>
      </c>
      <c r="I1121" s="18"/>
    </row>
    <row r="1122" spans="1:9">
      <c r="A1122" s="943">
        <v>4</v>
      </c>
      <c r="B1122" s="944">
        <v>244.15</v>
      </c>
      <c r="C1122" s="944" t="s">
        <v>230</v>
      </c>
      <c r="D1122" s="943" t="s">
        <v>17</v>
      </c>
      <c r="E1122" s="952">
        <v>5520</v>
      </c>
      <c r="F1122" s="945">
        <v>1</v>
      </c>
      <c r="G1122" s="946">
        <v>151.31</v>
      </c>
      <c r="H1122" s="946">
        <v>153.27000000000001</v>
      </c>
    </row>
    <row r="1123" spans="1:9" s="26" customFormat="1">
      <c r="A1123" s="947">
        <v>4</v>
      </c>
      <c r="B1123" s="948">
        <v>244.18</v>
      </c>
      <c r="C1123" s="948" t="s">
        <v>231</v>
      </c>
      <c r="D1123" s="947" t="s">
        <v>17</v>
      </c>
      <c r="E1123" s="949">
        <v>6600</v>
      </c>
      <c r="F1123" s="950">
        <v>1</v>
      </c>
      <c r="G1123" s="951">
        <v>156</v>
      </c>
      <c r="H1123" s="951">
        <v>162.59</v>
      </c>
      <c r="I1123" s="18"/>
    </row>
    <row r="1124" spans="1:9">
      <c r="A1124" s="943">
        <v>4</v>
      </c>
      <c r="B1124" s="944">
        <v>244.24</v>
      </c>
      <c r="C1124" s="944" t="s">
        <v>232</v>
      </c>
      <c r="D1124" s="943" t="s">
        <v>17</v>
      </c>
      <c r="E1124" s="952">
        <v>2580</v>
      </c>
      <c r="F1124" s="945">
        <v>1</v>
      </c>
      <c r="G1124" s="946">
        <v>222.5</v>
      </c>
      <c r="H1124" s="946">
        <v>225.26</v>
      </c>
    </row>
    <row r="1125" spans="1:9" s="26" customFormat="1">
      <c r="A1125" s="947">
        <v>4</v>
      </c>
      <c r="B1125" s="948">
        <v>258</v>
      </c>
      <c r="C1125" s="948" t="s">
        <v>238</v>
      </c>
      <c r="D1125" s="947" t="s">
        <v>1</v>
      </c>
      <c r="E1125" s="950">
        <v>740</v>
      </c>
      <c r="F1125" s="950">
        <v>3</v>
      </c>
      <c r="G1125" s="951">
        <v>125</v>
      </c>
      <c r="H1125" s="951">
        <v>124.87</v>
      </c>
      <c r="I1125" s="18"/>
    </row>
    <row r="1126" spans="1:9">
      <c r="A1126" s="943">
        <v>4</v>
      </c>
      <c r="B1126" s="944">
        <v>269.06</v>
      </c>
      <c r="C1126" s="944" t="s">
        <v>240</v>
      </c>
      <c r="D1126" s="943" t="s">
        <v>17</v>
      </c>
      <c r="E1126" s="945">
        <v>60</v>
      </c>
      <c r="F1126" s="945">
        <v>1</v>
      </c>
      <c r="G1126" s="946">
        <v>112.5</v>
      </c>
      <c r="H1126" s="946">
        <v>89.25</v>
      </c>
    </row>
    <row r="1127" spans="1:9" s="26" customFormat="1">
      <c r="A1127" s="947">
        <v>4</v>
      </c>
      <c r="B1127" s="948">
        <v>280</v>
      </c>
      <c r="C1127" s="948" t="s">
        <v>244</v>
      </c>
      <c r="D1127" s="947" t="s">
        <v>1</v>
      </c>
      <c r="E1127" s="950">
        <v>30</v>
      </c>
      <c r="F1127" s="950">
        <v>1</v>
      </c>
      <c r="G1127" s="951">
        <v>141.43</v>
      </c>
      <c r="H1127" s="951">
        <v>133.22</v>
      </c>
      <c r="I1127" s="18"/>
    </row>
    <row r="1128" spans="1:9">
      <c r="A1128" s="943">
        <v>4</v>
      </c>
      <c r="B1128" s="944">
        <v>302.06</v>
      </c>
      <c r="C1128" s="944" t="s">
        <v>247</v>
      </c>
      <c r="D1128" s="943" t="s">
        <v>17</v>
      </c>
      <c r="E1128" s="952">
        <v>1780</v>
      </c>
      <c r="F1128" s="945">
        <v>2</v>
      </c>
      <c r="G1128" s="946">
        <v>349.13</v>
      </c>
      <c r="H1128" s="946">
        <v>393.78</v>
      </c>
    </row>
    <row r="1129" spans="1:9" s="26" customFormat="1">
      <c r="A1129" s="947">
        <v>4</v>
      </c>
      <c r="B1129" s="948">
        <v>302.08</v>
      </c>
      <c r="C1129" s="948" t="s">
        <v>248</v>
      </c>
      <c r="D1129" s="947" t="s">
        <v>17</v>
      </c>
      <c r="E1129" s="949">
        <v>5160</v>
      </c>
      <c r="F1129" s="950">
        <v>2</v>
      </c>
      <c r="G1129" s="951">
        <v>275</v>
      </c>
      <c r="H1129" s="951">
        <v>274.54000000000002</v>
      </c>
      <c r="I1129" s="18"/>
    </row>
    <row r="1130" spans="1:9">
      <c r="A1130" s="943">
        <v>4</v>
      </c>
      <c r="B1130" s="944">
        <v>302.12</v>
      </c>
      <c r="C1130" s="944" t="s">
        <v>250</v>
      </c>
      <c r="D1130" s="943" t="s">
        <v>17</v>
      </c>
      <c r="E1130" s="952">
        <v>20000</v>
      </c>
      <c r="F1130" s="945">
        <v>1</v>
      </c>
      <c r="G1130" s="946">
        <v>275</v>
      </c>
      <c r="H1130" s="946">
        <v>256.94</v>
      </c>
    </row>
    <row r="1131" spans="1:9" s="26" customFormat="1">
      <c r="A1131" s="947">
        <v>4</v>
      </c>
      <c r="B1131" s="948">
        <v>303.06</v>
      </c>
      <c r="C1131" s="948" t="s">
        <v>251</v>
      </c>
      <c r="D1131" s="947" t="s">
        <v>17</v>
      </c>
      <c r="E1131" s="949">
        <v>1200</v>
      </c>
      <c r="F1131" s="950">
        <v>6</v>
      </c>
      <c r="G1131" s="951">
        <v>254.5</v>
      </c>
      <c r="H1131" s="951">
        <v>252.38</v>
      </c>
      <c r="I1131" s="18"/>
    </row>
    <row r="1132" spans="1:9">
      <c r="A1132" s="943">
        <v>4</v>
      </c>
      <c r="B1132" s="944">
        <v>303.08</v>
      </c>
      <c r="C1132" s="944" t="s">
        <v>252</v>
      </c>
      <c r="D1132" s="943" t="s">
        <v>17</v>
      </c>
      <c r="E1132" s="945">
        <v>300</v>
      </c>
      <c r="F1132" s="945">
        <v>1</v>
      </c>
      <c r="G1132" s="946">
        <v>288.5</v>
      </c>
      <c r="H1132" s="946">
        <v>274.17</v>
      </c>
    </row>
    <row r="1133" spans="1:9" s="26" customFormat="1">
      <c r="A1133" s="947">
        <v>4</v>
      </c>
      <c r="B1133" s="948">
        <v>303.10000000000002</v>
      </c>
      <c r="C1133" s="948" t="s">
        <v>253</v>
      </c>
      <c r="D1133" s="947" t="s">
        <v>17</v>
      </c>
      <c r="E1133" s="950">
        <v>150</v>
      </c>
      <c r="F1133" s="950">
        <v>1</v>
      </c>
      <c r="G1133" s="951">
        <v>225</v>
      </c>
      <c r="H1133" s="951">
        <v>172.5</v>
      </c>
      <c r="I1133" s="18"/>
    </row>
    <row r="1134" spans="1:9">
      <c r="A1134" s="943">
        <v>4</v>
      </c>
      <c r="B1134" s="944">
        <v>303.12</v>
      </c>
      <c r="C1134" s="944" t="s">
        <v>254</v>
      </c>
      <c r="D1134" s="943" t="s">
        <v>17</v>
      </c>
      <c r="E1134" s="952">
        <v>5268</v>
      </c>
      <c r="F1134" s="945">
        <v>3</v>
      </c>
      <c r="G1134" s="946">
        <v>235</v>
      </c>
      <c r="H1134" s="946">
        <v>211.5</v>
      </c>
    </row>
    <row r="1135" spans="1:9" s="26" customFormat="1">
      <c r="A1135" s="947">
        <v>4</v>
      </c>
      <c r="B1135" s="948">
        <v>309</v>
      </c>
      <c r="C1135" s="948" t="s">
        <v>256</v>
      </c>
      <c r="D1135" s="947" t="s">
        <v>100</v>
      </c>
      <c r="E1135" s="949">
        <v>58280</v>
      </c>
      <c r="F1135" s="950">
        <v>7</v>
      </c>
      <c r="G1135" s="951">
        <v>9.5</v>
      </c>
      <c r="H1135" s="951">
        <v>9.4</v>
      </c>
      <c r="I1135" s="18"/>
    </row>
    <row r="1136" spans="1:9">
      <c r="A1136" s="943">
        <v>4</v>
      </c>
      <c r="B1136" s="944">
        <v>325.24</v>
      </c>
      <c r="C1136" s="944" t="s">
        <v>2275</v>
      </c>
      <c r="D1136" s="943" t="s">
        <v>17</v>
      </c>
      <c r="E1136" s="945">
        <v>300</v>
      </c>
      <c r="F1136" s="945">
        <v>1</v>
      </c>
      <c r="G1136" s="946">
        <v>253.5</v>
      </c>
      <c r="H1136" s="946">
        <v>235.67</v>
      </c>
    </row>
    <row r="1137" spans="1:9" s="26" customFormat="1">
      <c r="A1137" s="947">
        <v>4</v>
      </c>
      <c r="B1137" s="948">
        <v>347.1</v>
      </c>
      <c r="C1137" s="948" t="s">
        <v>260</v>
      </c>
      <c r="D1137" s="947" t="s">
        <v>17</v>
      </c>
      <c r="E1137" s="949">
        <v>9100</v>
      </c>
      <c r="F1137" s="950">
        <v>4</v>
      </c>
      <c r="G1137" s="951">
        <v>142</v>
      </c>
      <c r="H1137" s="951">
        <v>137.31</v>
      </c>
      <c r="I1137" s="18"/>
    </row>
    <row r="1138" spans="1:9">
      <c r="A1138" s="943">
        <v>4</v>
      </c>
      <c r="B1138" s="944">
        <v>347.15</v>
      </c>
      <c r="C1138" s="944" t="s">
        <v>1329</v>
      </c>
      <c r="D1138" s="943" t="s">
        <v>17</v>
      </c>
      <c r="E1138" s="945">
        <v>250</v>
      </c>
      <c r="F1138" s="945">
        <v>1</v>
      </c>
      <c r="G1138" s="946">
        <v>175</v>
      </c>
      <c r="H1138" s="946">
        <v>177.35</v>
      </c>
    </row>
    <row r="1139" spans="1:9" s="26" customFormat="1">
      <c r="A1139" s="947">
        <v>4</v>
      </c>
      <c r="B1139" s="948">
        <v>347.2</v>
      </c>
      <c r="C1139" s="948" t="s">
        <v>261</v>
      </c>
      <c r="D1139" s="947" t="s">
        <v>17</v>
      </c>
      <c r="E1139" s="950">
        <v>900</v>
      </c>
      <c r="F1139" s="950">
        <v>1</v>
      </c>
      <c r="G1139" s="951">
        <v>135</v>
      </c>
      <c r="H1139" s="951">
        <v>133.75</v>
      </c>
      <c r="I1139" s="18"/>
    </row>
    <row r="1140" spans="1:9">
      <c r="A1140" s="943">
        <v>4</v>
      </c>
      <c r="B1140" s="944">
        <v>350.04</v>
      </c>
      <c r="C1140" s="944" t="s">
        <v>263</v>
      </c>
      <c r="D1140" s="943" t="s">
        <v>2</v>
      </c>
      <c r="E1140" s="945">
        <v>2</v>
      </c>
      <c r="F1140" s="945">
        <v>1</v>
      </c>
      <c r="G1140" s="946">
        <v>3000</v>
      </c>
      <c r="H1140" s="946">
        <v>3000</v>
      </c>
    </row>
    <row r="1141" spans="1:9" s="26" customFormat="1">
      <c r="A1141" s="947">
        <v>4</v>
      </c>
      <c r="B1141" s="948">
        <v>350.06</v>
      </c>
      <c r="C1141" s="948" t="s">
        <v>264</v>
      </c>
      <c r="D1141" s="947" t="s">
        <v>2</v>
      </c>
      <c r="E1141" s="950">
        <v>129</v>
      </c>
      <c r="F1141" s="950">
        <v>6</v>
      </c>
      <c r="G1141" s="951">
        <v>3550</v>
      </c>
      <c r="H1141" s="951">
        <v>3894.65</v>
      </c>
      <c r="I1141" s="18"/>
    </row>
    <row r="1142" spans="1:9">
      <c r="A1142" s="943">
        <v>4</v>
      </c>
      <c r="B1142" s="944">
        <v>350.08</v>
      </c>
      <c r="C1142" s="944" t="s">
        <v>265</v>
      </c>
      <c r="D1142" s="943" t="s">
        <v>2</v>
      </c>
      <c r="E1142" s="945">
        <v>145</v>
      </c>
      <c r="F1142" s="945">
        <v>2</v>
      </c>
      <c r="G1142" s="946">
        <v>4200</v>
      </c>
      <c r="H1142" s="946">
        <v>4148.3</v>
      </c>
    </row>
    <row r="1143" spans="1:9" s="26" customFormat="1">
      <c r="A1143" s="947">
        <v>4</v>
      </c>
      <c r="B1143" s="948">
        <v>350.1</v>
      </c>
      <c r="C1143" s="948" t="s">
        <v>266</v>
      </c>
      <c r="D1143" s="947" t="s">
        <v>2</v>
      </c>
      <c r="E1143" s="950">
        <v>6</v>
      </c>
      <c r="F1143" s="950">
        <v>1</v>
      </c>
      <c r="G1143" s="951">
        <v>6600</v>
      </c>
      <c r="H1143" s="951">
        <v>6383.33</v>
      </c>
      <c r="I1143" s="18"/>
    </row>
    <row r="1144" spans="1:9">
      <c r="A1144" s="943">
        <v>4</v>
      </c>
      <c r="B1144" s="944">
        <v>350.12</v>
      </c>
      <c r="C1144" s="944" t="s">
        <v>267</v>
      </c>
      <c r="D1144" s="943" t="s">
        <v>2</v>
      </c>
      <c r="E1144" s="945">
        <v>277</v>
      </c>
      <c r="F1144" s="945">
        <v>3</v>
      </c>
      <c r="G1144" s="946">
        <v>6525</v>
      </c>
      <c r="H1144" s="946">
        <v>6828.92</v>
      </c>
    </row>
    <row r="1145" spans="1:9" s="26" customFormat="1">
      <c r="A1145" s="947">
        <v>4</v>
      </c>
      <c r="B1145" s="948">
        <v>357.06</v>
      </c>
      <c r="C1145" s="948" t="s">
        <v>268</v>
      </c>
      <c r="D1145" s="947" t="s">
        <v>2</v>
      </c>
      <c r="E1145" s="950">
        <v>54</v>
      </c>
      <c r="F1145" s="950">
        <v>2</v>
      </c>
      <c r="G1145" s="951">
        <v>750</v>
      </c>
      <c r="H1145" s="951">
        <v>681.33</v>
      </c>
      <c r="I1145" s="18"/>
    </row>
    <row r="1146" spans="1:9">
      <c r="A1146" s="943">
        <v>4</v>
      </c>
      <c r="B1146" s="944">
        <v>357.08</v>
      </c>
      <c r="C1146" s="944" t="s">
        <v>269</v>
      </c>
      <c r="D1146" s="943" t="s">
        <v>2</v>
      </c>
      <c r="E1146" s="945">
        <v>38</v>
      </c>
      <c r="F1146" s="945">
        <v>3</v>
      </c>
      <c r="G1146" s="946">
        <v>850</v>
      </c>
      <c r="H1146" s="946">
        <v>829.07</v>
      </c>
    </row>
    <row r="1147" spans="1:9" s="26" customFormat="1">
      <c r="A1147" s="947">
        <v>4</v>
      </c>
      <c r="B1147" s="948">
        <v>357.12</v>
      </c>
      <c r="C1147" s="948" t="s">
        <v>271</v>
      </c>
      <c r="D1147" s="947" t="s">
        <v>2</v>
      </c>
      <c r="E1147" s="950">
        <v>60</v>
      </c>
      <c r="F1147" s="950">
        <v>1</v>
      </c>
      <c r="G1147" s="951">
        <v>655</v>
      </c>
      <c r="H1147" s="951">
        <v>651.25</v>
      </c>
      <c r="I1147" s="18"/>
    </row>
    <row r="1148" spans="1:9">
      <c r="A1148" s="943">
        <v>4</v>
      </c>
      <c r="B1148" s="944">
        <v>358</v>
      </c>
      <c r="C1148" s="944" t="s">
        <v>274</v>
      </c>
      <c r="D1148" s="943" t="s">
        <v>2</v>
      </c>
      <c r="E1148" s="952">
        <v>3070</v>
      </c>
      <c r="F1148" s="945">
        <v>12</v>
      </c>
      <c r="G1148" s="946">
        <v>300</v>
      </c>
      <c r="H1148" s="946">
        <v>282.79000000000002</v>
      </c>
    </row>
    <row r="1149" spans="1:9" s="26" customFormat="1">
      <c r="A1149" s="947">
        <v>4</v>
      </c>
      <c r="B1149" s="948">
        <v>358.1</v>
      </c>
      <c r="C1149" s="948" t="s">
        <v>275</v>
      </c>
      <c r="D1149" s="947" t="s">
        <v>2</v>
      </c>
      <c r="E1149" s="950">
        <v>31</v>
      </c>
      <c r="F1149" s="950">
        <v>2</v>
      </c>
      <c r="G1149" s="951">
        <v>150</v>
      </c>
      <c r="H1149" s="951">
        <v>153.29</v>
      </c>
      <c r="I1149" s="18"/>
    </row>
    <row r="1150" spans="1:9">
      <c r="A1150" s="943">
        <v>4</v>
      </c>
      <c r="B1150" s="944">
        <v>363.1</v>
      </c>
      <c r="C1150" s="944" t="s">
        <v>276</v>
      </c>
      <c r="D1150" s="943" t="s">
        <v>2</v>
      </c>
      <c r="E1150" s="945">
        <v>165</v>
      </c>
      <c r="F1150" s="945">
        <v>3</v>
      </c>
      <c r="G1150" s="946">
        <v>1750</v>
      </c>
      <c r="H1150" s="946">
        <v>1894.44</v>
      </c>
    </row>
    <row r="1151" spans="1:9" s="26" customFormat="1">
      <c r="A1151" s="947">
        <v>4</v>
      </c>
      <c r="B1151" s="948">
        <v>363.15</v>
      </c>
      <c r="C1151" s="948" t="s">
        <v>1339</v>
      </c>
      <c r="D1151" s="947" t="s">
        <v>2</v>
      </c>
      <c r="E1151" s="950">
        <v>15</v>
      </c>
      <c r="F1151" s="950">
        <v>1</v>
      </c>
      <c r="G1151" s="951">
        <v>1750</v>
      </c>
      <c r="H1151" s="951">
        <v>1383.33</v>
      </c>
      <c r="I1151" s="18"/>
    </row>
    <row r="1152" spans="1:9">
      <c r="A1152" s="943">
        <v>4</v>
      </c>
      <c r="B1152" s="944">
        <v>363.2</v>
      </c>
      <c r="C1152" s="944" t="s">
        <v>277</v>
      </c>
      <c r="D1152" s="943" t="s">
        <v>2</v>
      </c>
      <c r="E1152" s="945">
        <v>32</v>
      </c>
      <c r="F1152" s="945">
        <v>2</v>
      </c>
      <c r="G1152" s="946">
        <v>1937.5</v>
      </c>
      <c r="H1152" s="946">
        <v>1495.4</v>
      </c>
    </row>
    <row r="1153" spans="1:9" s="26" customFormat="1">
      <c r="A1153" s="947">
        <v>4</v>
      </c>
      <c r="B1153" s="948">
        <v>370.4</v>
      </c>
      <c r="C1153" s="948" t="s">
        <v>283</v>
      </c>
      <c r="D1153" s="947" t="s">
        <v>2</v>
      </c>
      <c r="E1153" s="950">
        <v>6</v>
      </c>
      <c r="F1153" s="950">
        <v>1</v>
      </c>
      <c r="G1153" s="951">
        <v>16750</v>
      </c>
      <c r="H1153" s="951">
        <v>15250</v>
      </c>
      <c r="I1153" s="18"/>
    </row>
    <row r="1154" spans="1:9">
      <c r="A1154" s="943">
        <v>4</v>
      </c>
      <c r="B1154" s="944">
        <v>371.06</v>
      </c>
      <c r="C1154" s="944" t="s">
        <v>285</v>
      </c>
      <c r="D1154" s="943" t="s">
        <v>2</v>
      </c>
      <c r="E1154" s="945">
        <v>51</v>
      </c>
      <c r="F1154" s="945">
        <v>2</v>
      </c>
      <c r="G1154" s="946">
        <v>400</v>
      </c>
      <c r="H1154" s="946">
        <v>487.5</v>
      </c>
    </row>
    <row r="1155" spans="1:9" s="26" customFormat="1">
      <c r="A1155" s="947">
        <v>4</v>
      </c>
      <c r="B1155" s="948">
        <v>371.08</v>
      </c>
      <c r="C1155" s="948" t="s">
        <v>286</v>
      </c>
      <c r="D1155" s="947" t="s">
        <v>2</v>
      </c>
      <c r="E1155" s="950">
        <v>92</v>
      </c>
      <c r="F1155" s="950">
        <v>3</v>
      </c>
      <c r="G1155" s="951">
        <v>600</v>
      </c>
      <c r="H1155" s="951">
        <v>591.25</v>
      </c>
      <c r="I1155" s="18"/>
    </row>
    <row r="1156" spans="1:9">
      <c r="A1156" s="943">
        <v>4</v>
      </c>
      <c r="B1156" s="944">
        <v>371.1</v>
      </c>
      <c r="C1156" s="944" t="s">
        <v>2335</v>
      </c>
      <c r="D1156" s="943" t="s">
        <v>2</v>
      </c>
      <c r="E1156" s="945">
        <v>17</v>
      </c>
      <c r="F1156" s="945">
        <v>2</v>
      </c>
      <c r="G1156" s="946">
        <v>1445</v>
      </c>
      <c r="H1156" s="946">
        <v>1906.25</v>
      </c>
    </row>
    <row r="1157" spans="1:9" s="26" customFormat="1">
      <c r="A1157" s="947">
        <v>4</v>
      </c>
      <c r="B1157" s="948">
        <v>371.12</v>
      </c>
      <c r="C1157" s="948" t="s">
        <v>287</v>
      </c>
      <c r="D1157" s="947" t="s">
        <v>2</v>
      </c>
      <c r="E1157" s="950">
        <v>147</v>
      </c>
      <c r="F1157" s="950">
        <v>3</v>
      </c>
      <c r="G1157" s="951">
        <v>1680</v>
      </c>
      <c r="H1157" s="951">
        <v>1585.71</v>
      </c>
      <c r="I1157" s="18"/>
    </row>
    <row r="1158" spans="1:9">
      <c r="A1158" s="943">
        <v>4</v>
      </c>
      <c r="B1158" s="944">
        <v>371.16</v>
      </c>
      <c r="C1158" s="944" t="s">
        <v>1345</v>
      </c>
      <c r="D1158" s="943" t="s">
        <v>2</v>
      </c>
      <c r="E1158" s="945">
        <v>4</v>
      </c>
      <c r="F1158" s="945">
        <v>1</v>
      </c>
      <c r="G1158" s="946">
        <v>1350</v>
      </c>
      <c r="H1158" s="946">
        <v>1650</v>
      </c>
    </row>
    <row r="1159" spans="1:9" s="26" customFormat="1">
      <c r="A1159" s="947">
        <v>4</v>
      </c>
      <c r="B1159" s="948">
        <v>373.12</v>
      </c>
      <c r="C1159" s="948" t="s">
        <v>289</v>
      </c>
      <c r="D1159" s="947" t="s">
        <v>17</v>
      </c>
      <c r="E1159" s="950">
        <v>840</v>
      </c>
      <c r="F1159" s="950">
        <v>2</v>
      </c>
      <c r="G1159" s="951">
        <v>150</v>
      </c>
      <c r="H1159" s="951">
        <v>154.16999999999999</v>
      </c>
      <c r="I1159" s="18"/>
    </row>
    <row r="1160" spans="1:9">
      <c r="A1160" s="943">
        <v>4</v>
      </c>
      <c r="B1160" s="944">
        <v>375.1</v>
      </c>
      <c r="C1160" s="944" t="s">
        <v>2341</v>
      </c>
      <c r="D1160" s="943" t="s">
        <v>2</v>
      </c>
      <c r="E1160" s="945">
        <v>6</v>
      </c>
      <c r="F1160" s="945">
        <v>1</v>
      </c>
      <c r="G1160" s="946">
        <v>25000</v>
      </c>
      <c r="H1160" s="946">
        <v>27466.67</v>
      </c>
    </row>
    <row r="1161" spans="1:9" s="26" customFormat="1">
      <c r="A1161" s="947">
        <v>4</v>
      </c>
      <c r="B1161" s="948">
        <v>375.12</v>
      </c>
      <c r="C1161" s="948" t="s">
        <v>1354</v>
      </c>
      <c r="D1161" s="947" t="s">
        <v>2</v>
      </c>
      <c r="E1161" s="950">
        <v>3</v>
      </c>
      <c r="F1161" s="950">
        <v>1</v>
      </c>
      <c r="G1161" s="951">
        <v>27750</v>
      </c>
      <c r="H1161" s="951">
        <v>26833.33</v>
      </c>
      <c r="I1161" s="18"/>
    </row>
    <row r="1162" spans="1:9">
      <c r="A1162" s="943">
        <v>4</v>
      </c>
      <c r="B1162" s="944">
        <v>376</v>
      </c>
      <c r="C1162" s="944" t="s">
        <v>290</v>
      </c>
      <c r="D1162" s="943" t="s">
        <v>2</v>
      </c>
      <c r="E1162" s="945">
        <v>104</v>
      </c>
      <c r="F1162" s="945">
        <v>7</v>
      </c>
      <c r="G1162" s="946">
        <v>9500</v>
      </c>
      <c r="H1162" s="946">
        <v>9464.11</v>
      </c>
    </row>
    <row r="1163" spans="1:9" s="26" customFormat="1">
      <c r="A1163" s="947">
        <v>4</v>
      </c>
      <c r="B1163" s="948">
        <v>376.2</v>
      </c>
      <c r="C1163" s="948" t="s">
        <v>292</v>
      </c>
      <c r="D1163" s="947" t="s">
        <v>2</v>
      </c>
      <c r="E1163" s="950">
        <v>46</v>
      </c>
      <c r="F1163" s="950">
        <v>4</v>
      </c>
      <c r="G1163" s="951">
        <v>5000</v>
      </c>
      <c r="H1163" s="951">
        <v>4848.82</v>
      </c>
      <c r="I1163" s="18"/>
    </row>
    <row r="1164" spans="1:9">
      <c r="A1164" s="943">
        <v>4</v>
      </c>
      <c r="B1164" s="944">
        <v>376.3</v>
      </c>
      <c r="C1164" s="944" t="s">
        <v>293</v>
      </c>
      <c r="D1164" s="943" t="s">
        <v>2</v>
      </c>
      <c r="E1164" s="945">
        <v>28</v>
      </c>
      <c r="F1164" s="945">
        <v>4</v>
      </c>
      <c r="G1164" s="946">
        <v>1450</v>
      </c>
      <c r="H1164" s="946">
        <v>1415</v>
      </c>
    </row>
    <row r="1165" spans="1:9" s="26" customFormat="1">
      <c r="A1165" s="947">
        <v>4</v>
      </c>
      <c r="B1165" s="948">
        <v>376.5</v>
      </c>
      <c r="C1165" s="948" t="s">
        <v>294</v>
      </c>
      <c r="D1165" s="947" t="s">
        <v>2</v>
      </c>
      <c r="E1165" s="950">
        <v>57</v>
      </c>
      <c r="F1165" s="950">
        <v>4</v>
      </c>
      <c r="G1165" s="951">
        <v>2500</v>
      </c>
      <c r="H1165" s="951">
        <v>2507.14</v>
      </c>
      <c r="I1165" s="18"/>
    </row>
    <row r="1166" spans="1:9">
      <c r="A1166" s="943">
        <v>4</v>
      </c>
      <c r="B1166" s="944">
        <v>379.1</v>
      </c>
      <c r="C1166" s="944" t="s">
        <v>1355</v>
      </c>
      <c r="D1166" s="943" t="s">
        <v>2</v>
      </c>
      <c r="E1166" s="945">
        <v>3</v>
      </c>
      <c r="F1166" s="945">
        <v>1</v>
      </c>
      <c r="G1166" s="946">
        <v>1435</v>
      </c>
      <c r="H1166" s="946">
        <v>1223.33</v>
      </c>
    </row>
    <row r="1167" spans="1:9" s="26" customFormat="1">
      <c r="A1167" s="947">
        <v>4</v>
      </c>
      <c r="B1167" s="948">
        <v>379.15</v>
      </c>
      <c r="C1167" s="948" t="s">
        <v>2342</v>
      </c>
      <c r="D1167" s="947" t="s">
        <v>2</v>
      </c>
      <c r="E1167" s="950">
        <v>3</v>
      </c>
      <c r="F1167" s="950">
        <v>1</v>
      </c>
      <c r="G1167" s="951">
        <v>1800</v>
      </c>
      <c r="H1167" s="951">
        <v>1733.33</v>
      </c>
      <c r="I1167" s="18"/>
    </row>
    <row r="1168" spans="1:9">
      <c r="A1168" s="943">
        <v>4</v>
      </c>
      <c r="B1168" s="944">
        <v>381</v>
      </c>
      <c r="C1168" s="944" t="s">
        <v>295</v>
      </c>
      <c r="D1168" s="943" t="s">
        <v>2</v>
      </c>
      <c r="E1168" s="945">
        <v>132</v>
      </c>
      <c r="F1168" s="945">
        <v>7</v>
      </c>
      <c r="G1168" s="946">
        <v>550</v>
      </c>
      <c r="H1168" s="946">
        <v>512</v>
      </c>
    </row>
    <row r="1169" spans="1:9" s="26" customFormat="1">
      <c r="A1169" s="947">
        <v>4</v>
      </c>
      <c r="B1169" s="948">
        <v>381.01</v>
      </c>
      <c r="C1169" s="948" t="s">
        <v>296</v>
      </c>
      <c r="D1169" s="947" t="s">
        <v>2</v>
      </c>
      <c r="E1169" s="950">
        <v>295</v>
      </c>
      <c r="F1169" s="950">
        <v>2</v>
      </c>
      <c r="G1169" s="951">
        <v>460</v>
      </c>
      <c r="H1169" s="951">
        <v>465.13</v>
      </c>
      <c r="I1169" s="18"/>
    </row>
    <row r="1170" spans="1:9">
      <c r="A1170" s="943">
        <v>4</v>
      </c>
      <c r="B1170" s="944">
        <v>381.2</v>
      </c>
      <c r="C1170" s="944" t="s">
        <v>297</v>
      </c>
      <c r="D1170" s="943" t="s">
        <v>2</v>
      </c>
      <c r="E1170" s="945">
        <v>1</v>
      </c>
      <c r="F1170" s="945">
        <v>1</v>
      </c>
      <c r="G1170" s="946">
        <v>100</v>
      </c>
      <c r="H1170" s="946">
        <v>100</v>
      </c>
    </row>
    <row r="1171" spans="1:9" s="26" customFormat="1">
      <c r="A1171" s="947">
        <v>4</v>
      </c>
      <c r="B1171" s="948">
        <v>381.3</v>
      </c>
      <c r="C1171" s="948" t="s">
        <v>298</v>
      </c>
      <c r="D1171" s="947" t="s">
        <v>2</v>
      </c>
      <c r="E1171" s="949">
        <v>1401</v>
      </c>
      <c r="F1171" s="950">
        <v>9</v>
      </c>
      <c r="G1171" s="951">
        <v>297.5</v>
      </c>
      <c r="H1171" s="951">
        <v>269.27</v>
      </c>
      <c r="I1171" s="18"/>
    </row>
    <row r="1172" spans="1:9">
      <c r="A1172" s="943">
        <v>4</v>
      </c>
      <c r="B1172" s="944">
        <v>384</v>
      </c>
      <c r="C1172" s="944" t="s">
        <v>299</v>
      </c>
      <c r="D1172" s="943" t="s">
        <v>2</v>
      </c>
      <c r="E1172" s="945">
        <v>369</v>
      </c>
      <c r="F1172" s="945">
        <v>5</v>
      </c>
      <c r="G1172" s="946">
        <v>995</v>
      </c>
      <c r="H1172" s="946">
        <v>888.24</v>
      </c>
    </row>
    <row r="1173" spans="1:9" s="26" customFormat="1">
      <c r="A1173" s="947">
        <v>4</v>
      </c>
      <c r="B1173" s="948">
        <v>388</v>
      </c>
      <c r="C1173" s="948" t="s">
        <v>1358</v>
      </c>
      <c r="D1173" s="947" t="s">
        <v>2</v>
      </c>
      <c r="E1173" s="950">
        <v>3</v>
      </c>
      <c r="F1173" s="950">
        <v>1</v>
      </c>
      <c r="G1173" s="951">
        <v>11900</v>
      </c>
      <c r="H1173" s="951">
        <v>11046.67</v>
      </c>
      <c r="I1173" s="18"/>
    </row>
    <row r="1174" spans="1:9">
      <c r="A1174" s="943">
        <v>4</v>
      </c>
      <c r="B1174" s="944">
        <v>402</v>
      </c>
      <c r="C1174" s="944" t="s">
        <v>301</v>
      </c>
      <c r="D1174" s="943" t="s">
        <v>4</v>
      </c>
      <c r="E1174" s="952">
        <v>80620</v>
      </c>
      <c r="F1174" s="945">
        <v>9</v>
      </c>
      <c r="G1174" s="946">
        <v>85</v>
      </c>
      <c r="H1174" s="946">
        <v>83.17</v>
      </c>
    </row>
    <row r="1175" spans="1:9" s="26" customFormat="1">
      <c r="A1175" s="947">
        <v>4</v>
      </c>
      <c r="B1175" s="948">
        <v>402.1</v>
      </c>
      <c r="C1175" s="948" t="s">
        <v>301</v>
      </c>
      <c r="D1175" s="947" t="s">
        <v>7</v>
      </c>
      <c r="E1175" s="950">
        <v>330</v>
      </c>
      <c r="F1175" s="950">
        <v>1</v>
      </c>
      <c r="G1175" s="951">
        <v>17.5</v>
      </c>
      <c r="H1175" s="951">
        <v>18.329999999999998</v>
      </c>
      <c r="I1175" s="18"/>
    </row>
    <row r="1176" spans="1:9">
      <c r="A1176" s="943">
        <v>4</v>
      </c>
      <c r="B1176" s="944">
        <v>402.11</v>
      </c>
      <c r="C1176" s="944" t="s">
        <v>302</v>
      </c>
      <c r="D1176" s="943" t="s">
        <v>7</v>
      </c>
      <c r="E1176" s="952">
        <v>1200</v>
      </c>
      <c r="F1176" s="945">
        <v>1</v>
      </c>
      <c r="G1176" s="946">
        <v>78</v>
      </c>
      <c r="H1176" s="946">
        <v>78</v>
      </c>
    </row>
    <row r="1177" spans="1:9" s="26" customFormat="1">
      <c r="A1177" s="947">
        <v>4</v>
      </c>
      <c r="B1177" s="948">
        <v>402.13</v>
      </c>
      <c r="C1177" s="948" t="s">
        <v>1359</v>
      </c>
      <c r="D1177" s="947" t="s">
        <v>17</v>
      </c>
      <c r="E1177" s="949">
        <v>9960</v>
      </c>
      <c r="F1177" s="950">
        <v>1</v>
      </c>
      <c r="G1177" s="951">
        <v>7.5</v>
      </c>
      <c r="H1177" s="951">
        <v>6.83</v>
      </c>
      <c r="I1177" s="18"/>
    </row>
    <row r="1178" spans="1:9">
      <c r="A1178" s="943">
        <v>4</v>
      </c>
      <c r="B1178" s="944">
        <v>415.1</v>
      </c>
      <c r="C1178" s="944" t="s">
        <v>1360</v>
      </c>
      <c r="D1178" s="943" t="s">
        <v>1</v>
      </c>
      <c r="E1178" s="945">
        <v>870</v>
      </c>
      <c r="F1178" s="945">
        <v>1</v>
      </c>
      <c r="G1178" s="946">
        <v>52.5</v>
      </c>
      <c r="H1178" s="946">
        <v>59</v>
      </c>
    </row>
    <row r="1179" spans="1:9" s="26" customFormat="1">
      <c r="A1179" s="947">
        <v>4</v>
      </c>
      <c r="B1179" s="948">
        <v>415.2</v>
      </c>
      <c r="C1179" s="948" t="s">
        <v>1361</v>
      </c>
      <c r="D1179" s="947" t="s">
        <v>1</v>
      </c>
      <c r="E1179" s="949">
        <v>1721420</v>
      </c>
      <c r="F1179" s="950">
        <v>8</v>
      </c>
      <c r="G1179" s="951">
        <v>10</v>
      </c>
      <c r="H1179" s="951">
        <v>9.1199999999999992</v>
      </c>
      <c r="I1179" s="18"/>
    </row>
    <row r="1180" spans="1:9">
      <c r="A1180" s="943">
        <v>4</v>
      </c>
      <c r="B1180" s="944">
        <v>415.3</v>
      </c>
      <c r="C1180" s="944" t="s">
        <v>1230</v>
      </c>
      <c r="D1180" s="943" t="s">
        <v>1</v>
      </c>
      <c r="E1180" s="952">
        <v>16947</v>
      </c>
      <c r="F1180" s="945">
        <v>1</v>
      </c>
      <c r="G1180" s="946">
        <v>14.88</v>
      </c>
      <c r="H1180" s="946">
        <v>13.25</v>
      </c>
    </row>
    <row r="1181" spans="1:9" s="26" customFormat="1">
      <c r="A1181" s="947">
        <v>4</v>
      </c>
      <c r="B1181" s="948">
        <v>415.4</v>
      </c>
      <c r="C1181" s="948" t="s">
        <v>1362</v>
      </c>
      <c r="D1181" s="947" t="s">
        <v>1</v>
      </c>
      <c r="E1181" s="949">
        <v>26660</v>
      </c>
      <c r="F1181" s="950">
        <v>2</v>
      </c>
      <c r="G1181" s="951">
        <v>30</v>
      </c>
      <c r="H1181" s="951">
        <v>31.21</v>
      </c>
      <c r="I1181" s="18"/>
    </row>
    <row r="1182" spans="1:9">
      <c r="A1182" s="943">
        <v>4</v>
      </c>
      <c r="B1182" s="944">
        <v>431</v>
      </c>
      <c r="C1182" s="944" t="s">
        <v>27</v>
      </c>
      <c r="D1182" s="943" t="s">
        <v>1</v>
      </c>
      <c r="E1182" s="952">
        <v>2975</v>
      </c>
      <c r="F1182" s="945">
        <v>8</v>
      </c>
      <c r="G1182" s="946">
        <v>110</v>
      </c>
      <c r="H1182" s="946">
        <v>102.08</v>
      </c>
    </row>
    <row r="1183" spans="1:9" s="26" customFormat="1">
      <c r="A1183" s="947">
        <v>4</v>
      </c>
      <c r="B1183" s="948">
        <v>431.1</v>
      </c>
      <c r="C1183" s="948" t="s">
        <v>27</v>
      </c>
      <c r="D1183" s="947" t="s">
        <v>4</v>
      </c>
      <c r="E1183" s="950">
        <v>30</v>
      </c>
      <c r="F1183" s="950">
        <v>1</v>
      </c>
      <c r="G1183" s="951">
        <v>350</v>
      </c>
      <c r="H1183" s="951">
        <v>350</v>
      </c>
      <c r="I1183" s="18"/>
    </row>
    <row r="1184" spans="1:9">
      <c r="A1184" s="943">
        <v>4</v>
      </c>
      <c r="B1184" s="944">
        <v>440</v>
      </c>
      <c r="C1184" s="944" t="s">
        <v>305</v>
      </c>
      <c r="D1184" s="943" t="s">
        <v>100</v>
      </c>
      <c r="E1184" s="952">
        <v>1280490</v>
      </c>
      <c r="F1184" s="945">
        <v>11</v>
      </c>
      <c r="G1184" s="946">
        <v>0.4</v>
      </c>
      <c r="H1184" s="946">
        <v>0.38</v>
      </c>
    </row>
    <row r="1185" spans="1:9" s="26" customFormat="1">
      <c r="A1185" s="947">
        <v>4</v>
      </c>
      <c r="B1185" s="948">
        <v>443</v>
      </c>
      <c r="C1185" s="948" t="s">
        <v>306</v>
      </c>
      <c r="D1185" s="947" t="s">
        <v>307</v>
      </c>
      <c r="E1185" s="949">
        <v>1196</v>
      </c>
      <c r="F1185" s="950">
        <v>11</v>
      </c>
      <c r="G1185" s="951">
        <v>100</v>
      </c>
      <c r="H1185" s="951">
        <v>91.83</v>
      </c>
      <c r="I1185" s="18"/>
    </row>
    <row r="1186" spans="1:9">
      <c r="A1186" s="943">
        <v>4</v>
      </c>
      <c r="B1186" s="944">
        <v>450.22</v>
      </c>
      <c r="C1186" s="944" t="s">
        <v>4033</v>
      </c>
      <c r="D1186" s="943" t="s">
        <v>7</v>
      </c>
      <c r="E1186" s="952">
        <v>7040</v>
      </c>
      <c r="F1186" s="945">
        <v>2</v>
      </c>
      <c r="G1186" s="946">
        <v>127.5</v>
      </c>
      <c r="H1186" s="946">
        <v>114.83</v>
      </c>
    </row>
    <row r="1187" spans="1:9" s="26" customFormat="1">
      <c r="A1187" s="947">
        <v>4</v>
      </c>
      <c r="B1187" s="948">
        <v>450.221</v>
      </c>
      <c r="C1187" s="948" t="s">
        <v>4034</v>
      </c>
      <c r="D1187" s="947" t="s">
        <v>7</v>
      </c>
      <c r="E1187" s="949">
        <v>1240</v>
      </c>
      <c r="F1187" s="950">
        <v>1</v>
      </c>
      <c r="G1187" s="951">
        <v>152.5</v>
      </c>
      <c r="H1187" s="951">
        <v>160</v>
      </c>
      <c r="I1187" s="18"/>
    </row>
    <row r="1188" spans="1:9">
      <c r="A1188" s="943">
        <v>4</v>
      </c>
      <c r="B1188" s="944">
        <v>450.23099999999999</v>
      </c>
      <c r="C1188" s="944" t="s">
        <v>1367</v>
      </c>
      <c r="D1188" s="943" t="s">
        <v>7</v>
      </c>
      <c r="E1188" s="952">
        <v>244260</v>
      </c>
      <c r="F1188" s="945">
        <v>9</v>
      </c>
      <c r="G1188" s="946">
        <v>156</v>
      </c>
      <c r="H1188" s="946">
        <v>160.32</v>
      </c>
    </row>
    <row r="1189" spans="1:9" s="26" customFormat="1">
      <c r="A1189" s="947">
        <v>4</v>
      </c>
      <c r="B1189" s="948">
        <v>450.24099999999999</v>
      </c>
      <c r="C1189" s="948" t="s">
        <v>4076</v>
      </c>
      <c r="D1189" s="947" t="s">
        <v>7</v>
      </c>
      <c r="E1189" s="949">
        <v>1200</v>
      </c>
      <c r="F1189" s="950">
        <v>1</v>
      </c>
      <c r="G1189" s="951">
        <v>210</v>
      </c>
      <c r="H1189" s="951">
        <v>221.67</v>
      </c>
      <c r="I1189" s="18"/>
    </row>
    <row r="1190" spans="1:9">
      <c r="A1190" s="943">
        <v>4</v>
      </c>
      <c r="B1190" s="944">
        <v>450.31</v>
      </c>
      <c r="C1190" s="944" t="s">
        <v>53</v>
      </c>
      <c r="D1190" s="943" t="s">
        <v>7</v>
      </c>
      <c r="E1190" s="952">
        <v>2580</v>
      </c>
      <c r="F1190" s="945">
        <v>2</v>
      </c>
      <c r="G1190" s="946">
        <v>155</v>
      </c>
      <c r="H1190" s="946">
        <v>142.57</v>
      </c>
    </row>
    <row r="1191" spans="1:9" s="26" customFormat="1">
      <c r="A1191" s="947">
        <v>4</v>
      </c>
      <c r="B1191" s="948">
        <v>450.31099999999998</v>
      </c>
      <c r="C1191" s="948" t="s">
        <v>1369</v>
      </c>
      <c r="D1191" s="947" t="s">
        <v>7</v>
      </c>
      <c r="E1191" s="949">
        <v>1140</v>
      </c>
      <c r="F1191" s="950">
        <v>1</v>
      </c>
      <c r="G1191" s="951">
        <v>170</v>
      </c>
      <c r="H1191" s="951">
        <v>163.33000000000001</v>
      </c>
      <c r="I1191" s="18"/>
    </row>
    <row r="1192" spans="1:9">
      <c r="A1192" s="943">
        <v>4</v>
      </c>
      <c r="B1192" s="944">
        <v>450.32</v>
      </c>
      <c r="C1192" s="944" t="s">
        <v>309</v>
      </c>
      <c r="D1192" s="943" t="s">
        <v>7</v>
      </c>
      <c r="E1192" s="952">
        <v>103000</v>
      </c>
      <c r="F1192" s="945">
        <v>9</v>
      </c>
      <c r="G1192" s="946">
        <v>145</v>
      </c>
      <c r="H1192" s="946">
        <v>171.05</v>
      </c>
    </row>
    <row r="1193" spans="1:9" s="26" customFormat="1">
      <c r="A1193" s="947">
        <v>4</v>
      </c>
      <c r="B1193" s="948">
        <v>450.42</v>
      </c>
      <c r="C1193" s="948" t="s">
        <v>37</v>
      </c>
      <c r="D1193" s="947" t="s">
        <v>7</v>
      </c>
      <c r="E1193" s="949">
        <v>177220</v>
      </c>
      <c r="F1193" s="950">
        <v>8</v>
      </c>
      <c r="G1193" s="951">
        <v>131</v>
      </c>
      <c r="H1193" s="951">
        <v>142.03</v>
      </c>
      <c r="I1193" s="18"/>
    </row>
    <row r="1194" spans="1:9">
      <c r="A1194" s="943">
        <v>4</v>
      </c>
      <c r="B1194" s="944">
        <v>450.52</v>
      </c>
      <c r="C1194" s="944" t="s">
        <v>310</v>
      </c>
      <c r="D1194" s="943" t="s">
        <v>7</v>
      </c>
      <c r="E1194" s="952">
        <v>2586</v>
      </c>
      <c r="F1194" s="945">
        <v>2</v>
      </c>
      <c r="G1194" s="946">
        <v>200</v>
      </c>
      <c r="H1194" s="946">
        <v>206.91</v>
      </c>
    </row>
    <row r="1195" spans="1:9" s="26" customFormat="1">
      <c r="A1195" s="947">
        <v>4</v>
      </c>
      <c r="B1195" s="948">
        <v>450.601</v>
      </c>
      <c r="C1195" s="948" t="s">
        <v>1373</v>
      </c>
      <c r="D1195" s="947" t="s">
        <v>7</v>
      </c>
      <c r="E1195" s="949">
        <v>2340</v>
      </c>
      <c r="F1195" s="950">
        <v>3</v>
      </c>
      <c r="G1195" s="951">
        <v>390</v>
      </c>
      <c r="H1195" s="951">
        <v>370.64</v>
      </c>
      <c r="I1195" s="18"/>
    </row>
    <row r="1196" spans="1:9">
      <c r="A1196" s="943">
        <v>4</v>
      </c>
      <c r="B1196" s="944">
        <v>450.61099999999999</v>
      </c>
      <c r="C1196" s="944" t="s">
        <v>1374</v>
      </c>
      <c r="D1196" s="943" t="s">
        <v>7</v>
      </c>
      <c r="E1196" s="945">
        <v>58</v>
      </c>
      <c r="F1196" s="945">
        <v>1</v>
      </c>
      <c r="G1196" s="946">
        <v>215</v>
      </c>
      <c r="H1196" s="946">
        <v>192.5</v>
      </c>
    </row>
    <row r="1197" spans="1:9" s="26" customFormat="1">
      <c r="A1197" s="947">
        <v>4</v>
      </c>
      <c r="B1197" s="948">
        <v>450.70100000000002</v>
      </c>
      <c r="C1197" s="948" t="s">
        <v>1375</v>
      </c>
      <c r="D1197" s="947" t="s">
        <v>7</v>
      </c>
      <c r="E1197" s="950">
        <v>162</v>
      </c>
      <c r="F1197" s="950">
        <v>2</v>
      </c>
      <c r="G1197" s="951">
        <v>390</v>
      </c>
      <c r="H1197" s="951">
        <v>345</v>
      </c>
      <c r="I1197" s="18"/>
    </row>
    <row r="1198" spans="1:9">
      <c r="A1198" s="943">
        <v>4</v>
      </c>
      <c r="B1198" s="944">
        <v>451</v>
      </c>
      <c r="C1198" s="944" t="s">
        <v>36</v>
      </c>
      <c r="D1198" s="943" t="s">
        <v>7</v>
      </c>
      <c r="E1198" s="952">
        <v>18266</v>
      </c>
      <c r="F1198" s="945">
        <v>19</v>
      </c>
      <c r="G1198" s="946">
        <v>300</v>
      </c>
      <c r="H1198" s="946">
        <v>319.08999999999997</v>
      </c>
    </row>
    <row r="1199" spans="1:9" s="26" customFormat="1">
      <c r="A1199" s="947">
        <v>4</v>
      </c>
      <c r="B1199" s="948">
        <v>452</v>
      </c>
      <c r="C1199" s="948" t="s">
        <v>31</v>
      </c>
      <c r="D1199" s="947" t="s">
        <v>20</v>
      </c>
      <c r="E1199" s="949">
        <v>180620</v>
      </c>
      <c r="F1199" s="950">
        <v>14</v>
      </c>
      <c r="G1199" s="951">
        <v>10</v>
      </c>
      <c r="H1199" s="951">
        <v>9.9700000000000006</v>
      </c>
      <c r="I1199" s="18"/>
    </row>
    <row r="1200" spans="1:9">
      <c r="A1200" s="943">
        <v>4</v>
      </c>
      <c r="B1200" s="944">
        <v>453</v>
      </c>
      <c r="C1200" s="944" t="s">
        <v>3962</v>
      </c>
      <c r="D1200" s="943" t="s">
        <v>17</v>
      </c>
      <c r="E1200" s="952">
        <v>1050589</v>
      </c>
      <c r="F1200" s="945">
        <v>12</v>
      </c>
      <c r="G1200" s="946">
        <v>1</v>
      </c>
      <c r="H1200" s="946">
        <v>0.94</v>
      </c>
    </row>
    <row r="1201" spans="1:9" s="26" customFormat="1">
      <c r="A1201" s="947">
        <v>4</v>
      </c>
      <c r="B1201" s="948">
        <v>457.1</v>
      </c>
      <c r="C1201" s="948" t="s">
        <v>1378</v>
      </c>
      <c r="D1201" s="947" t="s">
        <v>7</v>
      </c>
      <c r="E1201" s="950">
        <v>760</v>
      </c>
      <c r="F1201" s="950">
        <v>2</v>
      </c>
      <c r="G1201" s="951">
        <v>855</v>
      </c>
      <c r="H1201" s="951">
        <v>802.6</v>
      </c>
      <c r="I1201" s="18"/>
    </row>
    <row r="1202" spans="1:9">
      <c r="A1202" s="943">
        <v>4</v>
      </c>
      <c r="B1202" s="944">
        <v>458.2</v>
      </c>
      <c r="C1202" s="944" t="s">
        <v>4037</v>
      </c>
      <c r="D1202" s="943" t="s">
        <v>7</v>
      </c>
      <c r="E1202" s="952">
        <v>62700</v>
      </c>
      <c r="F1202" s="945">
        <v>1</v>
      </c>
      <c r="G1202" s="946">
        <v>168</v>
      </c>
      <c r="H1202" s="946">
        <v>181</v>
      </c>
    </row>
    <row r="1203" spans="1:9" s="26" customFormat="1">
      <c r="A1203" s="947">
        <v>4</v>
      </c>
      <c r="B1203" s="948">
        <v>466.3</v>
      </c>
      <c r="C1203" s="948" t="s">
        <v>4077</v>
      </c>
      <c r="D1203" s="947" t="s">
        <v>1</v>
      </c>
      <c r="E1203" s="949">
        <v>7440</v>
      </c>
      <c r="F1203" s="950">
        <v>1</v>
      </c>
      <c r="G1203" s="951">
        <v>50</v>
      </c>
      <c r="H1203" s="951">
        <v>48.67</v>
      </c>
      <c r="I1203" s="18"/>
    </row>
    <row r="1204" spans="1:9">
      <c r="A1204" s="943">
        <v>4</v>
      </c>
      <c r="B1204" s="944">
        <v>470</v>
      </c>
      <c r="C1204" s="944" t="s">
        <v>1382</v>
      </c>
      <c r="D1204" s="943" t="s">
        <v>7</v>
      </c>
      <c r="E1204" s="952">
        <v>1440</v>
      </c>
      <c r="F1204" s="945">
        <v>3</v>
      </c>
      <c r="G1204" s="946">
        <v>331</v>
      </c>
      <c r="H1204" s="946">
        <v>334.64</v>
      </c>
    </row>
    <row r="1205" spans="1:9" s="26" customFormat="1">
      <c r="A1205" s="947">
        <v>4</v>
      </c>
      <c r="B1205" s="948">
        <v>472</v>
      </c>
      <c r="C1205" s="948" t="s">
        <v>1383</v>
      </c>
      <c r="D1205" s="947" t="s">
        <v>7</v>
      </c>
      <c r="E1205" s="949">
        <v>34833</v>
      </c>
      <c r="F1205" s="950">
        <v>19</v>
      </c>
      <c r="G1205" s="951">
        <v>291</v>
      </c>
      <c r="H1205" s="951">
        <v>280.49</v>
      </c>
      <c r="I1205" s="18"/>
    </row>
    <row r="1206" spans="1:9">
      <c r="A1206" s="943">
        <v>4</v>
      </c>
      <c r="B1206" s="944">
        <v>477</v>
      </c>
      <c r="C1206" s="944" t="s">
        <v>1384</v>
      </c>
      <c r="D1206" s="943" t="s">
        <v>17</v>
      </c>
      <c r="E1206" s="952">
        <v>133050</v>
      </c>
      <c r="F1206" s="945">
        <v>1</v>
      </c>
      <c r="G1206" s="946">
        <v>0.6</v>
      </c>
      <c r="H1206" s="946">
        <v>0.59</v>
      </c>
    </row>
    <row r="1207" spans="1:9" s="26" customFormat="1">
      <c r="A1207" s="947">
        <v>4</v>
      </c>
      <c r="B1207" s="948">
        <v>477.1</v>
      </c>
      <c r="C1207" s="948" t="s">
        <v>1385</v>
      </c>
      <c r="D1207" s="947" t="s">
        <v>17</v>
      </c>
      <c r="E1207" s="949">
        <v>31200</v>
      </c>
      <c r="F1207" s="950">
        <v>1</v>
      </c>
      <c r="G1207" s="951">
        <v>2.5</v>
      </c>
      <c r="H1207" s="951">
        <v>2.48</v>
      </c>
      <c r="I1207" s="18"/>
    </row>
    <row r="1208" spans="1:9">
      <c r="A1208" s="943">
        <v>4</v>
      </c>
      <c r="B1208" s="944">
        <v>480.2</v>
      </c>
      <c r="C1208" s="944" t="s">
        <v>4002</v>
      </c>
      <c r="D1208" s="943" t="s">
        <v>20</v>
      </c>
      <c r="E1208" s="952">
        <v>2200</v>
      </c>
      <c r="F1208" s="945">
        <v>2</v>
      </c>
      <c r="G1208" s="946">
        <v>20</v>
      </c>
      <c r="H1208" s="946">
        <v>19.03</v>
      </c>
    </row>
    <row r="1209" spans="1:9" s="26" customFormat="1">
      <c r="A1209" s="947">
        <v>4</v>
      </c>
      <c r="B1209" s="948">
        <v>482.3</v>
      </c>
      <c r="C1209" s="948" t="s">
        <v>319</v>
      </c>
      <c r="D1209" s="947" t="s">
        <v>17</v>
      </c>
      <c r="E1209" s="949">
        <v>2470</v>
      </c>
      <c r="F1209" s="950">
        <v>3</v>
      </c>
      <c r="G1209" s="951">
        <v>5.5</v>
      </c>
      <c r="H1209" s="951">
        <v>5.23</v>
      </c>
      <c r="I1209" s="18"/>
    </row>
    <row r="1210" spans="1:9">
      <c r="A1210" s="943">
        <v>4</v>
      </c>
      <c r="B1210" s="944">
        <v>482.31</v>
      </c>
      <c r="C1210" s="944" t="s">
        <v>4038</v>
      </c>
      <c r="D1210" s="943" t="s">
        <v>17</v>
      </c>
      <c r="E1210" s="952">
        <v>5290</v>
      </c>
      <c r="F1210" s="945">
        <v>4</v>
      </c>
      <c r="G1210" s="946">
        <v>50</v>
      </c>
      <c r="H1210" s="946">
        <v>56.5</v>
      </c>
    </row>
    <row r="1211" spans="1:9" s="26" customFormat="1">
      <c r="A1211" s="947">
        <v>4</v>
      </c>
      <c r="B1211" s="948">
        <v>482.4</v>
      </c>
      <c r="C1211" s="948" t="s">
        <v>321</v>
      </c>
      <c r="D1211" s="947" t="s">
        <v>17</v>
      </c>
      <c r="E1211" s="949">
        <v>4990</v>
      </c>
      <c r="F1211" s="950">
        <v>4</v>
      </c>
      <c r="G1211" s="951">
        <v>8</v>
      </c>
      <c r="H1211" s="951">
        <v>7.7</v>
      </c>
      <c r="I1211" s="18"/>
    </row>
    <row r="1212" spans="1:9">
      <c r="A1212" s="943">
        <v>4</v>
      </c>
      <c r="B1212" s="944">
        <v>482.5</v>
      </c>
      <c r="C1212" s="944" t="s">
        <v>43</v>
      </c>
      <c r="D1212" s="943" t="s">
        <v>17</v>
      </c>
      <c r="E1212" s="952">
        <v>5315</v>
      </c>
      <c r="F1212" s="945">
        <v>5</v>
      </c>
      <c r="G1212" s="946">
        <v>5</v>
      </c>
      <c r="H1212" s="946">
        <v>4.5599999999999996</v>
      </c>
    </row>
    <row r="1213" spans="1:9" s="26" customFormat="1">
      <c r="A1213" s="947">
        <v>4</v>
      </c>
      <c r="B1213" s="948">
        <v>485</v>
      </c>
      <c r="C1213" s="948" t="s">
        <v>1389</v>
      </c>
      <c r="D1213" s="947" t="s">
        <v>1</v>
      </c>
      <c r="E1213" s="950">
        <v>428</v>
      </c>
      <c r="F1213" s="950">
        <v>1</v>
      </c>
      <c r="G1213" s="951">
        <v>700</v>
      </c>
      <c r="H1213" s="951">
        <v>690.25</v>
      </c>
      <c r="I1213" s="18"/>
    </row>
    <row r="1214" spans="1:9">
      <c r="A1214" s="943">
        <v>4</v>
      </c>
      <c r="B1214" s="944">
        <v>485.1</v>
      </c>
      <c r="C1214" s="944" t="s">
        <v>2384</v>
      </c>
      <c r="D1214" s="943" t="s">
        <v>1</v>
      </c>
      <c r="E1214" s="945">
        <v>35</v>
      </c>
      <c r="F1214" s="945">
        <v>1</v>
      </c>
      <c r="G1214" s="946">
        <v>750</v>
      </c>
      <c r="H1214" s="946">
        <v>761.14</v>
      </c>
    </row>
    <row r="1215" spans="1:9" s="26" customFormat="1">
      <c r="A1215" s="947">
        <v>4</v>
      </c>
      <c r="B1215" s="948">
        <v>485.2</v>
      </c>
      <c r="C1215" s="948" t="s">
        <v>1390</v>
      </c>
      <c r="D1215" s="947" t="s">
        <v>1</v>
      </c>
      <c r="E1215" s="950">
        <v>200</v>
      </c>
      <c r="F1215" s="950">
        <v>1</v>
      </c>
      <c r="G1215" s="951">
        <v>625</v>
      </c>
      <c r="H1215" s="951">
        <v>605</v>
      </c>
      <c r="I1215" s="18"/>
    </row>
    <row r="1216" spans="1:9">
      <c r="A1216" s="943">
        <v>4</v>
      </c>
      <c r="B1216" s="944">
        <v>504</v>
      </c>
      <c r="C1216" s="944" t="s">
        <v>325</v>
      </c>
      <c r="D1216" s="943" t="s">
        <v>17</v>
      </c>
      <c r="E1216" s="952">
        <v>201145</v>
      </c>
      <c r="F1216" s="945">
        <v>10</v>
      </c>
      <c r="G1216" s="946">
        <v>78</v>
      </c>
      <c r="H1216" s="946">
        <v>78.849999999999994</v>
      </c>
    </row>
    <row r="1217" spans="1:9" s="26" customFormat="1">
      <c r="A1217" s="947">
        <v>4</v>
      </c>
      <c r="B1217" s="948">
        <v>504.1</v>
      </c>
      <c r="C1217" s="948" t="s">
        <v>326</v>
      </c>
      <c r="D1217" s="947" t="s">
        <v>17</v>
      </c>
      <c r="E1217" s="949">
        <v>26255</v>
      </c>
      <c r="F1217" s="950">
        <v>10</v>
      </c>
      <c r="G1217" s="951">
        <v>105</v>
      </c>
      <c r="H1217" s="951">
        <v>103.64</v>
      </c>
      <c r="I1217" s="18"/>
    </row>
    <row r="1218" spans="1:9">
      <c r="A1218" s="943">
        <v>4</v>
      </c>
      <c r="B1218" s="944">
        <v>504.2</v>
      </c>
      <c r="C1218" s="944" t="s">
        <v>327</v>
      </c>
      <c r="D1218" s="943" t="s">
        <v>2</v>
      </c>
      <c r="E1218" s="945">
        <v>132</v>
      </c>
      <c r="F1218" s="945">
        <v>3</v>
      </c>
      <c r="G1218" s="946">
        <v>675</v>
      </c>
      <c r="H1218" s="946">
        <v>705</v>
      </c>
    </row>
    <row r="1219" spans="1:9" s="26" customFormat="1">
      <c r="A1219" s="947">
        <v>4</v>
      </c>
      <c r="B1219" s="948">
        <v>506</v>
      </c>
      <c r="C1219" s="948" t="s">
        <v>40</v>
      </c>
      <c r="D1219" s="947" t="s">
        <v>17</v>
      </c>
      <c r="E1219" s="949">
        <v>72240</v>
      </c>
      <c r="F1219" s="950">
        <v>5</v>
      </c>
      <c r="G1219" s="951">
        <v>62</v>
      </c>
      <c r="H1219" s="951">
        <v>66.099999999999994</v>
      </c>
      <c r="I1219" s="18"/>
    </row>
    <row r="1220" spans="1:9">
      <c r="A1220" s="943">
        <v>4</v>
      </c>
      <c r="B1220" s="944">
        <v>506.1</v>
      </c>
      <c r="C1220" s="944" t="s">
        <v>41</v>
      </c>
      <c r="D1220" s="943" t="s">
        <v>17</v>
      </c>
      <c r="E1220" s="952">
        <v>11900</v>
      </c>
      <c r="F1220" s="945">
        <v>4</v>
      </c>
      <c r="G1220" s="946">
        <v>95</v>
      </c>
      <c r="H1220" s="946">
        <v>91.67</v>
      </c>
    </row>
    <row r="1221" spans="1:9" s="26" customFormat="1">
      <c r="A1221" s="947">
        <v>4</v>
      </c>
      <c r="B1221" s="948">
        <v>509</v>
      </c>
      <c r="C1221" s="948" t="s">
        <v>1394</v>
      </c>
      <c r="D1221" s="947" t="s">
        <v>17</v>
      </c>
      <c r="E1221" s="949">
        <v>37914</v>
      </c>
      <c r="F1221" s="950">
        <v>14</v>
      </c>
      <c r="G1221" s="951">
        <v>85</v>
      </c>
      <c r="H1221" s="951">
        <v>83.3</v>
      </c>
      <c r="I1221" s="18"/>
    </row>
    <row r="1222" spans="1:9">
      <c r="A1222" s="943">
        <v>4</v>
      </c>
      <c r="B1222" s="944">
        <v>509.1</v>
      </c>
      <c r="C1222" s="944" t="s">
        <v>1395</v>
      </c>
      <c r="D1222" s="943" t="s">
        <v>17</v>
      </c>
      <c r="E1222" s="952">
        <v>19598</v>
      </c>
      <c r="F1222" s="945">
        <v>14</v>
      </c>
      <c r="G1222" s="946">
        <v>110</v>
      </c>
      <c r="H1222" s="946">
        <v>107.12</v>
      </c>
    </row>
    <row r="1223" spans="1:9" s="26" customFormat="1">
      <c r="A1223" s="947">
        <v>4</v>
      </c>
      <c r="B1223" s="948">
        <v>510</v>
      </c>
      <c r="C1223" s="948" t="s">
        <v>330</v>
      </c>
      <c r="D1223" s="947" t="s">
        <v>17</v>
      </c>
      <c r="E1223" s="949">
        <v>4830</v>
      </c>
      <c r="F1223" s="950">
        <v>2</v>
      </c>
      <c r="G1223" s="951">
        <v>60</v>
      </c>
      <c r="H1223" s="951">
        <v>58.33</v>
      </c>
      <c r="I1223" s="18"/>
    </row>
    <row r="1224" spans="1:9">
      <c r="A1224" s="943">
        <v>4</v>
      </c>
      <c r="B1224" s="944">
        <v>510.1</v>
      </c>
      <c r="C1224" s="944" t="s">
        <v>331</v>
      </c>
      <c r="D1224" s="943" t="s">
        <v>17</v>
      </c>
      <c r="E1224" s="945">
        <v>60</v>
      </c>
      <c r="F1224" s="945">
        <v>2</v>
      </c>
      <c r="G1224" s="946">
        <v>72.5</v>
      </c>
      <c r="H1224" s="946">
        <v>66.599999999999994</v>
      </c>
    </row>
    <row r="1225" spans="1:9" s="26" customFormat="1">
      <c r="A1225" s="947">
        <v>4</v>
      </c>
      <c r="B1225" s="948">
        <v>514</v>
      </c>
      <c r="C1225" s="948" t="s">
        <v>38</v>
      </c>
      <c r="D1225" s="947" t="s">
        <v>2</v>
      </c>
      <c r="E1225" s="949">
        <v>1123</v>
      </c>
      <c r="F1225" s="950">
        <v>10</v>
      </c>
      <c r="G1225" s="951">
        <v>750</v>
      </c>
      <c r="H1225" s="951">
        <v>774.33</v>
      </c>
      <c r="I1225" s="18"/>
    </row>
    <row r="1226" spans="1:9">
      <c r="A1226" s="943">
        <v>4</v>
      </c>
      <c r="B1226" s="944">
        <v>515</v>
      </c>
      <c r="C1226" s="944" t="s">
        <v>45</v>
      </c>
      <c r="D1226" s="943" t="s">
        <v>2</v>
      </c>
      <c r="E1226" s="945">
        <v>15</v>
      </c>
      <c r="F1226" s="945">
        <v>4</v>
      </c>
      <c r="G1226" s="946">
        <v>950</v>
      </c>
      <c r="H1226" s="946">
        <v>963.33</v>
      </c>
    </row>
    <row r="1227" spans="1:9" s="26" customFormat="1">
      <c r="A1227" s="947">
        <v>4</v>
      </c>
      <c r="B1227" s="948">
        <v>516</v>
      </c>
      <c r="C1227" s="948" t="s">
        <v>47</v>
      </c>
      <c r="D1227" s="947" t="s">
        <v>2</v>
      </c>
      <c r="E1227" s="950">
        <v>366</v>
      </c>
      <c r="F1227" s="950">
        <v>6</v>
      </c>
      <c r="G1227" s="951">
        <v>600</v>
      </c>
      <c r="H1227" s="951">
        <v>601.24</v>
      </c>
      <c r="I1227" s="18"/>
    </row>
    <row r="1228" spans="1:9">
      <c r="A1228" s="943">
        <v>4</v>
      </c>
      <c r="B1228" s="944">
        <v>517</v>
      </c>
      <c r="C1228" s="944" t="s">
        <v>334</v>
      </c>
      <c r="D1228" s="943" t="s">
        <v>2</v>
      </c>
      <c r="E1228" s="952">
        <v>1106</v>
      </c>
      <c r="F1228" s="945">
        <v>2</v>
      </c>
      <c r="G1228" s="946">
        <v>850</v>
      </c>
      <c r="H1228" s="946">
        <v>849.31</v>
      </c>
    </row>
    <row r="1229" spans="1:9" s="26" customFormat="1">
      <c r="A1229" s="947">
        <v>4</v>
      </c>
      <c r="B1229" s="948">
        <v>522</v>
      </c>
      <c r="C1229" s="948" t="s">
        <v>2401</v>
      </c>
      <c r="D1229" s="947" t="s">
        <v>17</v>
      </c>
      <c r="E1229" s="949">
        <v>1040</v>
      </c>
      <c r="F1229" s="950">
        <v>1</v>
      </c>
      <c r="G1229" s="951">
        <v>72.5</v>
      </c>
      <c r="H1229" s="951">
        <v>74.75</v>
      </c>
      <c r="I1229" s="18"/>
    </row>
    <row r="1230" spans="1:9">
      <c r="A1230" s="943">
        <v>4</v>
      </c>
      <c r="B1230" s="944">
        <v>570</v>
      </c>
      <c r="C1230" s="944" t="s">
        <v>337</v>
      </c>
      <c r="D1230" s="943" t="s">
        <v>17</v>
      </c>
      <c r="E1230" s="952">
        <v>12000</v>
      </c>
      <c r="F1230" s="945">
        <v>1</v>
      </c>
      <c r="G1230" s="946">
        <v>17.75</v>
      </c>
      <c r="H1230" s="946">
        <v>17.75</v>
      </c>
    </row>
    <row r="1231" spans="1:9" s="26" customFormat="1">
      <c r="A1231" s="947">
        <v>4</v>
      </c>
      <c r="B1231" s="948">
        <v>570.20000000000005</v>
      </c>
      <c r="C1231" s="948" t="s">
        <v>338</v>
      </c>
      <c r="D1231" s="947" t="s">
        <v>17</v>
      </c>
      <c r="E1231" s="950">
        <v>520</v>
      </c>
      <c r="F1231" s="950">
        <v>1</v>
      </c>
      <c r="G1231" s="951">
        <v>25</v>
      </c>
      <c r="H1231" s="951">
        <v>24.13</v>
      </c>
      <c r="I1231" s="18"/>
    </row>
    <row r="1232" spans="1:9">
      <c r="A1232" s="943">
        <v>4</v>
      </c>
      <c r="B1232" s="944">
        <v>570.29999999999995</v>
      </c>
      <c r="C1232" s="944" t="s">
        <v>339</v>
      </c>
      <c r="D1232" s="943" t="s">
        <v>17</v>
      </c>
      <c r="E1232" s="952">
        <v>12000</v>
      </c>
      <c r="F1232" s="945">
        <v>1</v>
      </c>
      <c r="G1232" s="946">
        <v>9</v>
      </c>
      <c r="H1232" s="946">
        <v>8.75</v>
      </c>
    </row>
    <row r="1233" spans="1:9" s="26" customFormat="1">
      <c r="A1233" s="947">
        <v>4</v>
      </c>
      <c r="B1233" s="948">
        <v>580</v>
      </c>
      <c r="C1233" s="948" t="s">
        <v>56</v>
      </c>
      <c r="D1233" s="947" t="s">
        <v>17</v>
      </c>
      <c r="E1233" s="949">
        <v>64725</v>
      </c>
      <c r="F1233" s="950">
        <v>12</v>
      </c>
      <c r="G1233" s="951">
        <v>45</v>
      </c>
      <c r="H1233" s="951">
        <v>43.27</v>
      </c>
      <c r="I1233" s="18"/>
    </row>
    <row r="1234" spans="1:9">
      <c r="A1234" s="943">
        <v>4</v>
      </c>
      <c r="B1234" s="944">
        <v>581</v>
      </c>
      <c r="C1234" s="944" t="s">
        <v>340</v>
      </c>
      <c r="D1234" s="943" t="s">
        <v>2</v>
      </c>
      <c r="E1234" s="945">
        <v>73</v>
      </c>
      <c r="F1234" s="945">
        <v>5</v>
      </c>
      <c r="G1234" s="946">
        <v>250</v>
      </c>
      <c r="H1234" s="946">
        <v>231.67</v>
      </c>
    </row>
    <row r="1235" spans="1:9" s="26" customFormat="1">
      <c r="A1235" s="947">
        <v>4</v>
      </c>
      <c r="B1235" s="948">
        <v>582</v>
      </c>
      <c r="C1235" s="948" t="s">
        <v>341</v>
      </c>
      <c r="D1235" s="947" t="s">
        <v>2</v>
      </c>
      <c r="E1235" s="950">
        <v>2</v>
      </c>
      <c r="F1235" s="950">
        <v>1</v>
      </c>
      <c r="G1235" s="951">
        <v>320</v>
      </c>
      <c r="H1235" s="951">
        <v>360</v>
      </c>
      <c r="I1235" s="18"/>
    </row>
    <row r="1236" spans="1:9">
      <c r="A1236" s="943">
        <v>4</v>
      </c>
      <c r="B1236" s="944">
        <v>583</v>
      </c>
      <c r="C1236" s="944" t="s">
        <v>342</v>
      </c>
      <c r="D1236" s="943" t="s">
        <v>17</v>
      </c>
      <c r="E1236" s="952">
        <v>4510</v>
      </c>
      <c r="F1236" s="945">
        <v>4</v>
      </c>
      <c r="G1236" s="946">
        <v>36.5</v>
      </c>
      <c r="H1236" s="946">
        <v>33.729999999999997</v>
      </c>
    </row>
    <row r="1237" spans="1:9" s="26" customFormat="1">
      <c r="A1237" s="947">
        <v>4</v>
      </c>
      <c r="B1237" s="948">
        <v>594</v>
      </c>
      <c r="C1237" s="948" t="s">
        <v>346</v>
      </c>
      <c r="D1237" s="947" t="s">
        <v>17</v>
      </c>
      <c r="E1237" s="949">
        <v>82745</v>
      </c>
      <c r="F1237" s="950">
        <v>11</v>
      </c>
      <c r="G1237" s="951">
        <v>10</v>
      </c>
      <c r="H1237" s="951">
        <v>8.5</v>
      </c>
      <c r="I1237" s="18"/>
    </row>
    <row r="1238" spans="1:9">
      <c r="A1238" s="943">
        <v>4</v>
      </c>
      <c r="B1238" s="944">
        <v>595</v>
      </c>
      <c r="C1238" s="944" t="s">
        <v>347</v>
      </c>
      <c r="D1238" s="943" t="s">
        <v>2</v>
      </c>
      <c r="E1238" s="945">
        <v>91</v>
      </c>
      <c r="F1238" s="945">
        <v>4</v>
      </c>
      <c r="G1238" s="946">
        <v>64</v>
      </c>
      <c r="H1238" s="946">
        <v>77.17</v>
      </c>
    </row>
    <row r="1239" spans="1:9" s="26" customFormat="1">
      <c r="A1239" s="947">
        <v>4</v>
      </c>
      <c r="B1239" s="948">
        <v>596</v>
      </c>
      <c r="C1239" s="948" t="s">
        <v>348</v>
      </c>
      <c r="D1239" s="947" t="s">
        <v>2</v>
      </c>
      <c r="E1239" s="950">
        <v>160</v>
      </c>
      <c r="F1239" s="950">
        <v>3</v>
      </c>
      <c r="G1239" s="951">
        <v>60</v>
      </c>
      <c r="H1239" s="951">
        <v>66.88</v>
      </c>
      <c r="I1239" s="18"/>
    </row>
    <row r="1240" spans="1:9">
      <c r="A1240" s="943">
        <v>4</v>
      </c>
      <c r="B1240" s="944">
        <v>597</v>
      </c>
      <c r="C1240" s="944" t="s">
        <v>349</v>
      </c>
      <c r="D1240" s="943" t="s">
        <v>17</v>
      </c>
      <c r="E1240" s="945">
        <v>314</v>
      </c>
      <c r="F1240" s="945">
        <v>3</v>
      </c>
      <c r="G1240" s="946">
        <v>5.15</v>
      </c>
      <c r="H1240" s="946">
        <v>4.87</v>
      </c>
    </row>
    <row r="1241" spans="1:9" s="26" customFormat="1">
      <c r="A1241" s="947">
        <v>4</v>
      </c>
      <c r="B1241" s="948">
        <v>620.12</v>
      </c>
      <c r="C1241" s="948" t="s">
        <v>1252</v>
      </c>
      <c r="D1241" s="947" t="s">
        <v>17</v>
      </c>
      <c r="E1241" s="949">
        <v>4305</v>
      </c>
      <c r="F1241" s="950">
        <v>5</v>
      </c>
      <c r="G1241" s="951">
        <v>36</v>
      </c>
      <c r="H1241" s="951">
        <v>36.39</v>
      </c>
      <c r="I1241" s="18"/>
    </row>
    <row r="1242" spans="1:9">
      <c r="A1242" s="943">
        <v>4</v>
      </c>
      <c r="B1242" s="944">
        <v>620.13</v>
      </c>
      <c r="C1242" s="944" t="s">
        <v>1398</v>
      </c>
      <c r="D1242" s="943" t="s">
        <v>17</v>
      </c>
      <c r="E1242" s="952">
        <v>15430</v>
      </c>
      <c r="F1242" s="945">
        <v>6</v>
      </c>
      <c r="G1242" s="946">
        <v>44.5</v>
      </c>
      <c r="H1242" s="946">
        <v>45.93</v>
      </c>
    </row>
    <row r="1243" spans="1:9" s="26" customFormat="1">
      <c r="A1243" s="947">
        <v>4</v>
      </c>
      <c r="B1243" s="948">
        <v>620.13099999999997</v>
      </c>
      <c r="C1243" s="948" t="s">
        <v>1399</v>
      </c>
      <c r="D1243" s="947" t="s">
        <v>17</v>
      </c>
      <c r="E1243" s="949">
        <v>4074</v>
      </c>
      <c r="F1243" s="950">
        <v>3</v>
      </c>
      <c r="G1243" s="951">
        <v>55</v>
      </c>
      <c r="H1243" s="951">
        <v>51.7</v>
      </c>
      <c r="I1243" s="18"/>
    </row>
    <row r="1244" spans="1:9">
      <c r="A1244" s="943">
        <v>4</v>
      </c>
      <c r="B1244" s="944">
        <v>620.32000000000005</v>
      </c>
      <c r="C1244" s="944" t="s">
        <v>1253</v>
      </c>
      <c r="D1244" s="943" t="s">
        <v>17</v>
      </c>
      <c r="E1244" s="945">
        <v>824</v>
      </c>
      <c r="F1244" s="945">
        <v>2</v>
      </c>
      <c r="G1244" s="946">
        <v>52</v>
      </c>
      <c r="H1244" s="946">
        <v>53.73</v>
      </c>
    </row>
    <row r="1245" spans="1:9" s="26" customFormat="1">
      <c r="A1245" s="947">
        <v>4</v>
      </c>
      <c r="B1245" s="948">
        <v>620.33000000000004</v>
      </c>
      <c r="C1245" s="948" t="s">
        <v>1400</v>
      </c>
      <c r="D1245" s="947" t="s">
        <v>17</v>
      </c>
      <c r="E1245" s="950">
        <v>600</v>
      </c>
      <c r="F1245" s="950">
        <v>1</v>
      </c>
      <c r="G1245" s="951">
        <v>45.01</v>
      </c>
      <c r="H1245" s="951">
        <v>42.67</v>
      </c>
      <c r="I1245" s="18"/>
    </row>
    <row r="1246" spans="1:9">
      <c r="A1246" s="943">
        <v>4</v>
      </c>
      <c r="B1246" s="944">
        <v>621.13</v>
      </c>
      <c r="C1246" s="944" t="s">
        <v>1402</v>
      </c>
      <c r="D1246" s="943" t="s">
        <v>17</v>
      </c>
      <c r="E1246" s="945">
        <v>750</v>
      </c>
      <c r="F1246" s="945">
        <v>1</v>
      </c>
      <c r="G1246" s="946">
        <v>58.57</v>
      </c>
      <c r="H1246" s="946">
        <v>58.36</v>
      </c>
    </row>
    <row r="1247" spans="1:9" s="26" customFormat="1">
      <c r="A1247" s="947">
        <v>4</v>
      </c>
      <c r="B1247" s="948">
        <v>627.1</v>
      </c>
      <c r="C1247" s="948" t="s">
        <v>1403</v>
      </c>
      <c r="D1247" s="947" t="s">
        <v>2</v>
      </c>
      <c r="E1247" s="950">
        <v>116</v>
      </c>
      <c r="F1247" s="950">
        <v>8</v>
      </c>
      <c r="G1247" s="951">
        <v>2500</v>
      </c>
      <c r="H1247" s="951">
        <v>2560.92</v>
      </c>
      <c r="I1247" s="18"/>
    </row>
    <row r="1248" spans="1:9">
      <c r="A1248" s="943">
        <v>4</v>
      </c>
      <c r="B1248" s="944">
        <v>627.82000000000005</v>
      </c>
      <c r="C1248" s="944" t="s">
        <v>1406</v>
      </c>
      <c r="D1248" s="943" t="s">
        <v>2</v>
      </c>
      <c r="E1248" s="945">
        <v>31</v>
      </c>
      <c r="F1248" s="945">
        <v>4</v>
      </c>
      <c r="G1248" s="946">
        <v>5698.22</v>
      </c>
      <c r="H1248" s="946">
        <v>5795.18</v>
      </c>
    </row>
    <row r="1249" spans="1:9" s="26" customFormat="1">
      <c r="A1249" s="947">
        <v>4</v>
      </c>
      <c r="B1249" s="948">
        <v>627.83000000000004</v>
      </c>
      <c r="C1249" s="948" t="s">
        <v>1407</v>
      </c>
      <c r="D1249" s="947" t="s">
        <v>2</v>
      </c>
      <c r="E1249" s="950">
        <v>411</v>
      </c>
      <c r="F1249" s="950">
        <v>6</v>
      </c>
      <c r="G1249" s="951">
        <v>6131.65</v>
      </c>
      <c r="H1249" s="951">
        <v>6220.14</v>
      </c>
      <c r="I1249" s="18"/>
    </row>
    <row r="1250" spans="1:9">
      <c r="A1250" s="943">
        <v>4</v>
      </c>
      <c r="B1250" s="944">
        <v>627.91999999999996</v>
      </c>
      <c r="C1250" s="944" t="s">
        <v>1408</v>
      </c>
      <c r="D1250" s="943" t="s">
        <v>2</v>
      </c>
      <c r="E1250" s="945">
        <v>12</v>
      </c>
      <c r="F1250" s="945">
        <v>1</v>
      </c>
      <c r="G1250" s="946">
        <v>6658.9</v>
      </c>
      <c r="H1250" s="946">
        <v>6479.63</v>
      </c>
    </row>
    <row r="1251" spans="1:9" s="26" customFormat="1">
      <c r="A1251" s="947">
        <v>4</v>
      </c>
      <c r="B1251" s="948">
        <v>627.92999999999995</v>
      </c>
      <c r="C1251" s="948" t="s">
        <v>1409</v>
      </c>
      <c r="D1251" s="947" t="s">
        <v>2</v>
      </c>
      <c r="E1251" s="950">
        <v>15</v>
      </c>
      <c r="F1251" s="950">
        <v>1</v>
      </c>
      <c r="G1251" s="951">
        <v>5474.47</v>
      </c>
      <c r="H1251" s="951">
        <v>5463.49</v>
      </c>
      <c r="I1251" s="18"/>
    </row>
    <row r="1252" spans="1:9">
      <c r="A1252" s="943">
        <v>4</v>
      </c>
      <c r="B1252" s="944">
        <v>628.21</v>
      </c>
      <c r="C1252" s="944" t="s">
        <v>1410</v>
      </c>
      <c r="D1252" s="943" t="s">
        <v>2</v>
      </c>
      <c r="E1252" s="945">
        <v>105</v>
      </c>
      <c r="F1252" s="945">
        <v>3</v>
      </c>
      <c r="G1252" s="946">
        <v>2284.37</v>
      </c>
      <c r="H1252" s="946">
        <v>2118.5300000000002</v>
      </c>
    </row>
    <row r="1253" spans="1:9" s="26" customFormat="1">
      <c r="A1253" s="947">
        <v>4</v>
      </c>
      <c r="B1253" s="948">
        <v>628.22</v>
      </c>
      <c r="C1253" s="948" t="s">
        <v>1411</v>
      </c>
      <c r="D1253" s="947" t="s">
        <v>2</v>
      </c>
      <c r="E1253" s="950">
        <v>18</v>
      </c>
      <c r="F1253" s="950">
        <v>2</v>
      </c>
      <c r="G1253" s="951">
        <v>6000</v>
      </c>
      <c r="H1253" s="951">
        <v>5685.5</v>
      </c>
      <c r="I1253" s="18"/>
    </row>
    <row r="1254" spans="1:9">
      <c r="A1254" s="943">
        <v>4</v>
      </c>
      <c r="B1254" s="944">
        <v>628.24</v>
      </c>
      <c r="C1254" s="944" t="s">
        <v>1413</v>
      </c>
      <c r="D1254" s="943" t="s">
        <v>2</v>
      </c>
      <c r="E1254" s="945">
        <v>37</v>
      </c>
      <c r="F1254" s="945">
        <v>4</v>
      </c>
      <c r="G1254" s="946">
        <v>6000</v>
      </c>
      <c r="H1254" s="946">
        <v>5910.82</v>
      </c>
    </row>
    <row r="1255" spans="1:9" s="26" customFormat="1">
      <c r="A1255" s="947">
        <v>4</v>
      </c>
      <c r="B1255" s="948">
        <v>628.25</v>
      </c>
      <c r="C1255" s="948" t="s">
        <v>1414</v>
      </c>
      <c r="D1255" s="947" t="s">
        <v>2</v>
      </c>
      <c r="E1255" s="950">
        <v>20</v>
      </c>
      <c r="F1255" s="950">
        <v>1</v>
      </c>
      <c r="G1255" s="951">
        <v>900</v>
      </c>
      <c r="H1255" s="951">
        <v>942.5</v>
      </c>
      <c r="I1255" s="18"/>
    </row>
    <row r="1256" spans="1:9">
      <c r="A1256" s="943">
        <v>4</v>
      </c>
      <c r="B1256" s="944">
        <v>628.30399999999997</v>
      </c>
      <c r="C1256" s="944" t="s">
        <v>2412</v>
      </c>
      <c r="D1256" s="943" t="s">
        <v>2</v>
      </c>
      <c r="E1256" s="945">
        <v>46</v>
      </c>
      <c r="F1256" s="945">
        <v>3</v>
      </c>
      <c r="G1256" s="946">
        <v>8000</v>
      </c>
      <c r="H1256" s="946">
        <v>8454</v>
      </c>
    </row>
    <row r="1257" spans="1:9" s="26" customFormat="1">
      <c r="A1257" s="947">
        <v>4</v>
      </c>
      <c r="B1257" s="948">
        <v>628.30499999999995</v>
      </c>
      <c r="C1257" s="948" t="s">
        <v>2413</v>
      </c>
      <c r="D1257" s="947" t="s">
        <v>2</v>
      </c>
      <c r="E1257" s="950">
        <v>26</v>
      </c>
      <c r="F1257" s="950">
        <v>2</v>
      </c>
      <c r="G1257" s="951">
        <v>8500</v>
      </c>
      <c r="H1257" s="951">
        <v>8339.3799999999992</v>
      </c>
      <c r="I1257" s="18"/>
    </row>
    <row r="1258" spans="1:9">
      <c r="A1258" s="943">
        <v>4</v>
      </c>
      <c r="B1258" s="944">
        <v>628.31200000000001</v>
      </c>
      <c r="C1258" s="944" t="s">
        <v>2414</v>
      </c>
      <c r="D1258" s="943" t="s">
        <v>2</v>
      </c>
      <c r="E1258" s="945">
        <v>3</v>
      </c>
      <c r="F1258" s="945">
        <v>1</v>
      </c>
      <c r="G1258" s="946">
        <v>35800</v>
      </c>
      <c r="H1258" s="946">
        <v>40166.67</v>
      </c>
    </row>
    <row r="1259" spans="1:9" s="26" customFormat="1">
      <c r="A1259" s="947">
        <v>4</v>
      </c>
      <c r="B1259" s="948">
        <v>628.31500000000005</v>
      </c>
      <c r="C1259" s="948" t="s">
        <v>2417</v>
      </c>
      <c r="D1259" s="947" t="s">
        <v>2</v>
      </c>
      <c r="E1259" s="950">
        <v>20</v>
      </c>
      <c r="F1259" s="950">
        <v>2</v>
      </c>
      <c r="G1259" s="951">
        <v>7700</v>
      </c>
      <c r="H1259" s="951">
        <v>6921.43</v>
      </c>
      <c r="I1259" s="18"/>
    </row>
    <row r="1260" spans="1:9">
      <c r="A1260" s="943">
        <v>4</v>
      </c>
      <c r="B1260" s="944">
        <v>628.32000000000005</v>
      </c>
      <c r="C1260" s="944" t="s">
        <v>4003</v>
      </c>
      <c r="D1260" s="943" t="s">
        <v>2</v>
      </c>
      <c r="E1260" s="945">
        <v>10</v>
      </c>
      <c r="F1260" s="945">
        <v>1</v>
      </c>
      <c r="G1260" s="946">
        <v>39170</v>
      </c>
      <c r="H1260" s="946">
        <v>45960</v>
      </c>
    </row>
    <row r="1261" spans="1:9" s="26" customFormat="1">
      <c r="A1261" s="947">
        <v>4</v>
      </c>
      <c r="B1261" s="948">
        <v>628.4</v>
      </c>
      <c r="C1261" s="948" t="s">
        <v>3901</v>
      </c>
      <c r="D1261" s="947" t="s">
        <v>2</v>
      </c>
      <c r="E1261" s="950">
        <v>168</v>
      </c>
      <c r="F1261" s="950">
        <v>9</v>
      </c>
      <c r="G1261" s="951">
        <v>1975</v>
      </c>
      <c r="H1261" s="951">
        <v>2013.21</v>
      </c>
      <c r="I1261" s="18"/>
    </row>
    <row r="1262" spans="1:9">
      <c r="A1262" s="943">
        <v>4</v>
      </c>
      <c r="B1262" s="944">
        <v>630</v>
      </c>
      <c r="C1262" s="944" t="s">
        <v>356</v>
      </c>
      <c r="D1262" s="943" t="s">
        <v>17</v>
      </c>
      <c r="E1262" s="952">
        <v>1600</v>
      </c>
      <c r="F1262" s="945">
        <v>2</v>
      </c>
      <c r="G1262" s="946">
        <v>25</v>
      </c>
      <c r="H1262" s="946">
        <v>53.8</v>
      </c>
    </row>
    <row r="1263" spans="1:9" s="26" customFormat="1">
      <c r="A1263" s="947">
        <v>4</v>
      </c>
      <c r="B1263" s="948">
        <v>630.20000000000005</v>
      </c>
      <c r="C1263" s="948" t="s">
        <v>358</v>
      </c>
      <c r="D1263" s="947" t="s">
        <v>17</v>
      </c>
      <c r="E1263" s="949">
        <v>17310</v>
      </c>
      <c r="F1263" s="950">
        <v>8</v>
      </c>
      <c r="G1263" s="951">
        <v>10</v>
      </c>
      <c r="H1263" s="951">
        <v>9.18</v>
      </c>
      <c r="I1263" s="18"/>
    </row>
    <row r="1264" spans="1:9">
      <c r="A1264" s="943">
        <v>4</v>
      </c>
      <c r="B1264" s="944">
        <v>631</v>
      </c>
      <c r="C1264" s="944" t="s">
        <v>1417</v>
      </c>
      <c r="D1264" s="943" t="s">
        <v>2</v>
      </c>
      <c r="E1264" s="945">
        <v>48</v>
      </c>
      <c r="F1264" s="945">
        <v>1</v>
      </c>
      <c r="G1264" s="946">
        <v>737.52</v>
      </c>
      <c r="H1264" s="946">
        <v>601.26</v>
      </c>
    </row>
    <row r="1265" spans="1:9" s="26" customFormat="1">
      <c r="A1265" s="947">
        <v>4</v>
      </c>
      <c r="B1265" s="948">
        <v>632</v>
      </c>
      <c r="C1265" s="948" t="s">
        <v>359</v>
      </c>
      <c r="D1265" s="947" t="s">
        <v>2</v>
      </c>
      <c r="E1265" s="950">
        <v>456</v>
      </c>
      <c r="F1265" s="950">
        <v>2</v>
      </c>
      <c r="G1265" s="951">
        <v>142.5</v>
      </c>
      <c r="H1265" s="951">
        <v>133.05000000000001</v>
      </c>
      <c r="I1265" s="18"/>
    </row>
    <row r="1266" spans="1:9">
      <c r="A1266" s="943">
        <v>4</v>
      </c>
      <c r="B1266" s="944">
        <v>632.20000000000005</v>
      </c>
      <c r="C1266" s="944" t="s">
        <v>1418</v>
      </c>
      <c r="D1266" s="943" t="s">
        <v>2</v>
      </c>
      <c r="E1266" s="945">
        <v>40</v>
      </c>
      <c r="F1266" s="945">
        <v>1</v>
      </c>
      <c r="G1266" s="946">
        <v>360</v>
      </c>
      <c r="H1266" s="946">
        <v>360</v>
      </c>
    </row>
    <row r="1267" spans="1:9" s="26" customFormat="1">
      <c r="A1267" s="947">
        <v>4</v>
      </c>
      <c r="B1267" s="948">
        <v>633</v>
      </c>
      <c r="C1267" s="948" t="s">
        <v>362</v>
      </c>
      <c r="D1267" s="947" t="s">
        <v>2</v>
      </c>
      <c r="E1267" s="950">
        <v>220</v>
      </c>
      <c r="F1267" s="950">
        <v>1</v>
      </c>
      <c r="G1267" s="951">
        <v>14.89</v>
      </c>
      <c r="H1267" s="951">
        <v>13.95</v>
      </c>
      <c r="I1267" s="18"/>
    </row>
    <row r="1268" spans="1:9">
      <c r="A1268" s="943">
        <v>4</v>
      </c>
      <c r="B1268" s="944">
        <v>633.1</v>
      </c>
      <c r="C1268" s="944" t="s">
        <v>363</v>
      </c>
      <c r="D1268" s="943" t="s">
        <v>2</v>
      </c>
      <c r="E1268" s="945">
        <v>126</v>
      </c>
      <c r="F1268" s="945">
        <v>2</v>
      </c>
      <c r="G1268" s="946">
        <v>30</v>
      </c>
      <c r="H1268" s="946">
        <v>27.57</v>
      </c>
    </row>
    <row r="1269" spans="1:9" s="26" customFormat="1">
      <c r="A1269" s="947">
        <v>4</v>
      </c>
      <c r="B1269" s="948">
        <v>634</v>
      </c>
      <c r="C1269" s="948" t="s">
        <v>364</v>
      </c>
      <c r="D1269" s="947" t="s">
        <v>2</v>
      </c>
      <c r="E1269" s="950">
        <v>570</v>
      </c>
      <c r="F1269" s="950">
        <v>1</v>
      </c>
      <c r="G1269" s="951">
        <v>244</v>
      </c>
      <c r="H1269" s="951">
        <v>269.06</v>
      </c>
      <c r="I1269" s="18"/>
    </row>
    <row r="1270" spans="1:9">
      <c r="A1270" s="943">
        <v>4</v>
      </c>
      <c r="B1270" s="944">
        <v>634.1</v>
      </c>
      <c r="C1270" s="944" t="s">
        <v>365</v>
      </c>
      <c r="D1270" s="943" t="s">
        <v>2</v>
      </c>
      <c r="E1270" s="945">
        <v>330</v>
      </c>
      <c r="F1270" s="945">
        <v>2</v>
      </c>
      <c r="G1270" s="946">
        <v>497.5</v>
      </c>
      <c r="H1270" s="946">
        <v>463.83</v>
      </c>
    </row>
    <row r="1271" spans="1:9" s="26" customFormat="1">
      <c r="A1271" s="947">
        <v>4</v>
      </c>
      <c r="B1271" s="948">
        <v>644.072</v>
      </c>
      <c r="C1271" s="948" t="s">
        <v>368</v>
      </c>
      <c r="D1271" s="947" t="s">
        <v>17</v>
      </c>
      <c r="E1271" s="949">
        <v>15000</v>
      </c>
      <c r="F1271" s="950">
        <v>1</v>
      </c>
      <c r="G1271" s="951">
        <v>51</v>
      </c>
      <c r="H1271" s="951">
        <v>50.77</v>
      </c>
      <c r="I1271" s="18"/>
    </row>
    <row r="1272" spans="1:9">
      <c r="A1272" s="943">
        <v>4</v>
      </c>
      <c r="B1272" s="944">
        <v>644.17200000000003</v>
      </c>
      <c r="C1272" s="944" t="s">
        <v>371</v>
      </c>
      <c r="D1272" s="943" t="s">
        <v>17</v>
      </c>
      <c r="E1272" s="952">
        <v>1500</v>
      </c>
      <c r="F1272" s="945">
        <v>1</v>
      </c>
      <c r="G1272" s="946">
        <v>54.88</v>
      </c>
      <c r="H1272" s="946">
        <v>53.92</v>
      </c>
    </row>
    <row r="1273" spans="1:9" s="26" customFormat="1">
      <c r="A1273" s="947">
        <v>4</v>
      </c>
      <c r="B1273" s="948">
        <v>645.048</v>
      </c>
      <c r="C1273" s="948" t="s">
        <v>373</v>
      </c>
      <c r="D1273" s="947" t="s">
        <v>17</v>
      </c>
      <c r="E1273" s="949">
        <v>1650</v>
      </c>
      <c r="F1273" s="950">
        <v>2</v>
      </c>
      <c r="G1273" s="951">
        <v>95.5</v>
      </c>
      <c r="H1273" s="951">
        <v>84.02</v>
      </c>
      <c r="I1273" s="18"/>
    </row>
    <row r="1274" spans="1:9">
      <c r="A1274" s="943">
        <v>4</v>
      </c>
      <c r="B1274" s="944">
        <v>645.072</v>
      </c>
      <c r="C1274" s="944" t="s">
        <v>374</v>
      </c>
      <c r="D1274" s="943" t="s">
        <v>17</v>
      </c>
      <c r="E1274" s="952">
        <v>1200</v>
      </c>
      <c r="F1274" s="945">
        <v>1</v>
      </c>
      <c r="G1274" s="946">
        <v>53.8</v>
      </c>
      <c r="H1274" s="946">
        <v>52.87</v>
      </c>
    </row>
    <row r="1275" spans="1:9" s="26" customFormat="1">
      <c r="A1275" s="947">
        <v>4</v>
      </c>
      <c r="B1275" s="948">
        <v>647.072</v>
      </c>
      <c r="C1275" s="948" t="s">
        <v>2451</v>
      </c>
      <c r="D1275" s="947" t="s">
        <v>17</v>
      </c>
      <c r="E1275" s="949">
        <v>1600</v>
      </c>
      <c r="F1275" s="950">
        <v>1</v>
      </c>
      <c r="G1275" s="951">
        <v>65.63</v>
      </c>
      <c r="H1275" s="951">
        <v>72.56</v>
      </c>
      <c r="I1275" s="18"/>
    </row>
    <row r="1276" spans="1:9">
      <c r="A1276" s="943">
        <v>4</v>
      </c>
      <c r="B1276" s="944">
        <v>650.048</v>
      </c>
      <c r="C1276" s="944" t="s">
        <v>377</v>
      </c>
      <c r="D1276" s="943" t="s">
        <v>17</v>
      </c>
      <c r="E1276" s="945">
        <v>70</v>
      </c>
      <c r="F1276" s="945">
        <v>1</v>
      </c>
      <c r="G1276" s="946">
        <v>550</v>
      </c>
      <c r="H1276" s="946">
        <v>568</v>
      </c>
    </row>
    <row r="1277" spans="1:9" s="26" customFormat="1">
      <c r="A1277" s="947">
        <v>4</v>
      </c>
      <c r="B1277" s="948">
        <v>650.072</v>
      </c>
      <c r="C1277" s="948" t="s">
        <v>378</v>
      </c>
      <c r="D1277" s="947" t="s">
        <v>17</v>
      </c>
      <c r="E1277" s="950">
        <v>300</v>
      </c>
      <c r="F1277" s="950">
        <v>1</v>
      </c>
      <c r="G1277" s="951">
        <v>265.5</v>
      </c>
      <c r="H1277" s="951">
        <v>241.33</v>
      </c>
      <c r="I1277" s="18"/>
    </row>
    <row r="1278" spans="1:9">
      <c r="A1278" s="943">
        <v>4</v>
      </c>
      <c r="B1278" s="944">
        <v>652.072</v>
      </c>
      <c r="C1278" s="944" t="s">
        <v>381</v>
      </c>
      <c r="D1278" s="943" t="s">
        <v>2</v>
      </c>
      <c r="E1278" s="945">
        <v>75</v>
      </c>
      <c r="F1278" s="945">
        <v>1</v>
      </c>
      <c r="G1278" s="946">
        <v>448.75</v>
      </c>
      <c r="H1278" s="946">
        <v>428.5</v>
      </c>
    </row>
    <row r="1279" spans="1:9" s="26" customFormat="1">
      <c r="A1279" s="947">
        <v>4</v>
      </c>
      <c r="B1279" s="948">
        <v>653.072</v>
      </c>
      <c r="C1279" s="948" t="s">
        <v>383</v>
      </c>
      <c r="D1279" s="947" t="s">
        <v>2</v>
      </c>
      <c r="E1279" s="950">
        <v>90</v>
      </c>
      <c r="F1279" s="950">
        <v>1</v>
      </c>
      <c r="G1279" s="951">
        <v>521.5</v>
      </c>
      <c r="H1279" s="951">
        <v>502.83</v>
      </c>
      <c r="I1279" s="18"/>
    </row>
    <row r="1280" spans="1:9">
      <c r="A1280" s="943">
        <v>4</v>
      </c>
      <c r="B1280" s="944">
        <v>654.072</v>
      </c>
      <c r="C1280" s="944" t="s">
        <v>385</v>
      </c>
      <c r="D1280" s="943" t="s">
        <v>17</v>
      </c>
      <c r="E1280" s="952">
        <v>3000</v>
      </c>
      <c r="F1280" s="945">
        <v>1</v>
      </c>
      <c r="G1280" s="946">
        <v>20</v>
      </c>
      <c r="H1280" s="946">
        <v>20.63</v>
      </c>
    </row>
    <row r="1281" spans="1:9" s="26" customFormat="1">
      <c r="A1281" s="947">
        <v>4</v>
      </c>
      <c r="B1281" s="948">
        <v>655</v>
      </c>
      <c r="C1281" s="948" t="s">
        <v>386</v>
      </c>
      <c r="D1281" s="947" t="s">
        <v>17</v>
      </c>
      <c r="E1281" s="949">
        <v>9384</v>
      </c>
      <c r="F1281" s="950">
        <v>3</v>
      </c>
      <c r="G1281" s="951">
        <v>150</v>
      </c>
      <c r="H1281" s="951">
        <v>142.72</v>
      </c>
      <c r="I1281" s="18"/>
    </row>
    <row r="1282" spans="1:9">
      <c r="A1282" s="943">
        <v>4</v>
      </c>
      <c r="B1282" s="944">
        <v>657</v>
      </c>
      <c r="C1282" s="944" t="s">
        <v>387</v>
      </c>
      <c r="D1282" s="943" t="s">
        <v>17</v>
      </c>
      <c r="E1282" s="952">
        <v>6390</v>
      </c>
      <c r="F1282" s="945">
        <v>3</v>
      </c>
      <c r="G1282" s="946">
        <v>26</v>
      </c>
      <c r="H1282" s="946">
        <v>26.96</v>
      </c>
    </row>
    <row r="1283" spans="1:9" s="26" customFormat="1">
      <c r="A1283" s="947">
        <v>4</v>
      </c>
      <c r="B1283" s="948">
        <v>657.5</v>
      </c>
      <c r="C1283" s="948" t="s">
        <v>388</v>
      </c>
      <c r="D1283" s="947" t="s">
        <v>17</v>
      </c>
      <c r="E1283" s="949">
        <v>5780</v>
      </c>
      <c r="F1283" s="950">
        <v>3</v>
      </c>
      <c r="G1283" s="951">
        <v>22</v>
      </c>
      <c r="H1283" s="951">
        <v>21.38</v>
      </c>
      <c r="I1283" s="18"/>
    </row>
    <row r="1284" spans="1:9">
      <c r="A1284" s="943">
        <v>4</v>
      </c>
      <c r="B1284" s="944">
        <v>658</v>
      </c>
      <c r="C1284" s="944" t="s">
        <v>2493</v>
      </c>
      <c r="D1284" s="943" t="s">
        <v>2</v>
      </c>
      <c r="E1284" s="945">
        <v>225</v>
      </c>
      <c r="F1284" s="945">
        <v>1</v>
      </c>
      <c r="G1284" s="946">
        <v>337.5</v>
      </c>
      <c r="H1284" s="946">
        <v>345</v>
      </c>
    </row>
    <row r="1285" spans="1:9" s="26" customFormat="1">
      <c r="A1285" s="947">
        <v>4</v>
      </c>
      <c r="B1285" s="948">
        <v>660</v>
      </c>
      <c r="C1285" s="948" t="s">
        <v>389</v>
      </c>
      <c r="D1285" s="947" t="s">
        <v>17</v>
      </c>
      <c r="E1285" s="950">
        <v>40</v>
      </c>
      <c r="F1285" s="950">
        <v>1</v>
      </c>
      <c r="G1285" s="951">
        <v>410</v>
      </c>
      <c r="H1285" s="951">
        <v>455</v>
      </c>
      <c r="I1285" s="18"/>
    </row>
    <row r="1286" spans="1:9">
      <c r="A1286" s="943">
        <v>4</v>
      </c>
      <c r="B1286" s="944">
        <v>665</v>
      </c>
      <c r="C1286" s="944" t="s">
        <v>390</v>
      </c>
      <c r="D1286" s="943" t="s">
        <v>17</v>
      </c>
      <c r="E1286" s="952">
        <v>2780</v>
      </c>
      <c r="F1286" s="945">
        <v>2</v>
      </c>
      <c r="G1286" s="946">
        <v>30</v>
      </c>
      <c r="H1286" s="946">
        <v>33.549999999999997</v>
      </c>
    </row>
    <row r="1287" spans="1:9" s="26" customFormat="1">
      <c r="A1287" s="947">
        <v>4</v>
      </c>
      <c r="B1287" s="948">
        <v>666</v>
      </c>
      <c r="C1287" s="948" t="s">
        <v>391</v>
      </c>
      <c r="D1287" s="947" t="s">
        <v>17</v>
      </c>
      <c r="E1287" s="949">
        <v>5480</v>
      </c>
      <c r="F1287" s="950">
        <v>4</v>
      </c>
      <c r="G1287" s="951">
        <v>81</v>
      </c>
      <c r="H1287" s="951">
        <v>89.6</v>
      </c>
      <c r="I1287" s="18"/>
    </row>
    <row r="1288" spans="1:9">
      <c r="A1288" s="943">
        <v>4</v>
      </c>
      <c r="B1288" s="944">
        <v>667</v>
      </c>
      <c r="C1288" s="944" t="s">
        <v>4039</v>
      </c>
      <c r="D1288" s="943" t="s">
        <v>2</v>
      </c>
      <c r="E1288" s="945">
        <v>3</v>
      </c>
      <c r="F1288" s="945">
        <v>1</v>
      </c>
      <c r="G1288" s="946">
        <v>1400</v>
      </c>
      <c r="H1288" s="946">
        <v>1533.33</v>
      </c>
    </row>
    <row r="1289" spans="1:9" s="26" customFormat="1">
      <c r="A1289" s="947">
        <v>4</v>
      </c>
      <c r="B1289" s="948">
        <v>668</v>
      </c>
      <c r="C1289" s="948" t="s">
        <v>4040</v>
      </c>
      <c r="D1289" s="947" t="s">
        <v>2</v>
      </c>
      <c r="E1289" s="950">
        <v>6</v>
      </c>
      <c r="F1289" s="950">
        <v>1</v>
      </c>
      <c r="G1289" s="951">
        <v>4206.1000000000004</v>
      </c>
      <c r="H1289" s="951">
        <v>4337.5</v>
      </c>
      <c r="I1289" s="18"/>
    </row>
    <row r="1290" spans="1:9">
      <c r="A1290" s="943">
        <v>4</v>
      </c>
      <c r="B1290" s="944">
        <v>669</v>
      </c>
      <c r="C1290" s="944" t="s">
        <v>393</v>
      </c>
      <c r="D1290" s="943" t="s">
        <v>17</v>
      </c>
      <c r="E1290" s="952">
        <v>2600</v>
      </c>
      <c r="F1290" s="945">
        <v>5</v>
      </c>
      <c r="G1290" s="946">
        <v>20</v>
      </c>
      <c r="H1290" s="946">
        <v>20.170000000000002</v>
      </c>
    </row>
    <row r="1291" spans="1:9" s="26" customFormat="1">
      <c r="A1291" s="947">
        <v>4</v>
      </c>
      <c r="B1291" s="948">
        <v>670</v>
      </c>
      <c r="C1291" s="948" t="s">
        <v>394</v>
      </c>
      <c r="D1291" s="947" t="s">
        <v>17</v>
      </c>
      <c r="E1291" s="949">
        <v>1212</v>
      </c>
      <c r="F1291" s="950">
        <v>4</v>
      </c>
      <c r="G1291" s="951">
        <v>130</v>
      </c>
      <c r="H1291" s="951">
        <v>123.86</v>
      </c>
      <c r="I1291" s="18"/>
    </row>
    <row r="1292" spans="1:9">
      <c r="A1292" s="943">
        <v>4</v>
      </c>
      <c r="B1292" s="944">
        <v>672</v>
      </c>
      <c r="C1292" s="944" t="s">
        <v>395</v>
      </c>
      <c r="D1292" s="943" t="s">
        <v>2</v>
      </c>
      <c r="E1292" s="945">
        <v>16</v>
      </c>
      <c r="F1292" s="945">
        <v>2</v>
      </c>
      <c r="G1292" s="946">
        <v>2250</v>
      </c>
      <c r="H1292" s="946">
        <v>1897.14</v>
      </c>
    </row>
    <row r="1293" spans="1:9" s="26" customFormat="1">
      <c r="A1293" s="947">
        <v>4</v>
      </c>
      <c r="B1293" s="948">
        <v>685</v>
      </c>
      <c r="C1293" s="948" t="s">
        <v>396</v>
      </c>
      <c r="D1293" s="947" t="s">
        <v>4</v>
      </c>
      <c r="E1293" s="950">
        <v>870</v>
      </c>
      <c r="F1293" s="950">
        <v>2</v>
      </c>
      <c r="G1293" s="951">
        <v>1760</v>
      </c>
      <c r="H1293" s="951">
        <v>1830.07</v>
      </c>
      <c r="I1293" s="18"/>
    </row>
    <row r="1294" spans="1:9">
      <c r="A1294" s="943">
        <v>4</v>
      </c>
      <c r="B1294" s="944">
        <v>697</v>
      </c>
      <c r="C1294" s="944" t="s">
        <v>400</v>
      </c>
      <c r="D1294" s="943" t="s">
        <v>17</v>
      </c>
      <c r="E1294" s="945">
        <v>75</v>
      </c>
      <c r="F1294" s="945">
        <v>1</v>
      </c>
      <c r="G1294" s="946">
        <v>9</v>
      </c>
      <c r="H1294" s="946">
        <v>8.67</v>
      </c>
    </row>
    <row r="1295" spans="1:9" s="26" customFormat="1">
      <c r="A1295" s="947">
        <v>4</v>
      </c>
      <c r="B1295" s="948">
        <v>697.1</v>
      </c>
      <c r="C1295" s="948" t="s">
        <v>401</v>
      </c>
      <c r="D1295" s="947" t="s">
        <v>2</v>
      </c>
      <c r="E1295" s="949">
        <v>3538</v>
      </c>
      <c r="F1295" s="950">
        <v>14</v>
      </c>
      <c r="G1295" s="951">
        <v>200</v>
      </c>
      <c r="H1295" s="951">
        <v>213.59</v>
      </c>
      <c r="I1295" s="18"/>
    </row>
    <row r="1296" spans="1:9">
      <c r="A1296" s="943">
        <v>4</v>
      </c>
      <c r="B1296" s="944">
        <v>697.2</v>
      </c>
      <c r="C1296" s="944" t="s">
        <v>402</v>
      </c>
      <c r="D1296" s="943" t="s">
        <v>17</v>
      </c>
      <c r="E1296" s="945">
        <v>260</v>
      </c>
      <c r="F1296" s="945">
        <v>1</v>
      </c>
      <c r="G1296" s="946">
        <v>155</v>
      </c>
      <c r="H1296" s="946">
        <v>155</v>
      </c>
    </row>
    <row r="1297" spans="1:9" s="26" customFormat="1">
      <c r="A1297" s="947">
        <v>4</v>
      </c>
      <c r="B1297" s="948">
        <v>698.1</v>
      </c>
      <c r="C1297" s="948" t="s">
        <v>403</v>
      </c>
      <c r="D1297" s="947" t="s">
        <v>1</v>
      </c>
      <c r="E1297" s="949">
        <v>4000</v>
      </c>
      <c r="F1297" s="950">
        <v>1</v>
      </c>
      <c r="G1297" s="951">
        <v>6.5</v>
      </c>
      <c r="H1297" s="951">
        <v>6.5</v>
      </c>
      <c r="I1297" s="18"/>
    </row>
    <row r="1298" spans="1:9">
      <c r="A1298" s="943">
        <v>4</v>
      </c>
      <c r="B1298" s="944">
        <v>698.3</v>
      </c>
      <c r="C1298" s="944" t="s">
        <v>404</v>
      </c>
      <c r="D1298" s="943" t="s">
        <v>1</v>
      </c>
      <c r="E1298" s="945">
        <v>869</v>
      </c>
      <c r="F1298" s="945">
        <v>7</v>
      </c>
      <c r="G1298" s="946">
        <v>15</v>
      </c>
      <c r="H1298" s="946">
        <v>14.2</v>
      </c>
    </row>
    <row r="1299" spans="1:9" s="26" customFormat="1">
      <c r="A1299" s="947">
        <v>4</v>
      </c>
      <c r="B1299" s="948">
        <v>698.4</v>
      </c>
      <c r="C1299" s="948" t="s">
        <v>405</v>
      </c>
      <c r="D1299" s="947" t="s">
        <v>1</v>
      </c>
      <c r="E1299" s="949">
        <v>1880</v>
      </c>
      <c r="F1299" s="950">
        <v>2</v>
      </c>
      <c r="G1299" s="951">
        <v>8</v>
      </c>
      <c r="H1299" s="951">
        <v>7</v>
      </c>
      <c r="I1299" s="18"/>
    </row>
    <row r="1300" spans="1:9">
      <c r="A1300" s="943">
        <v>4</v>
      </c>
      <c r="B1300" s="944">
        <v>701</v>
      </c>
      <c r="C1300" s="944" t="s">
        <v>406</v>
      </c>
      <c r="D1300" s="943" t="s">
        <v>1</v>
      </c>
      <c r="E1300" s="952">
        <v>123860</v>
      </c>
      <c r="F1300" s="945">
        <v>16</v>
      </c>
      <c r="G1300" s="946">
        <v>100</v>
      </c>
      <c r="H1300" s="946">
        <v>94.37</v>
      </c>
    </row>
    <row r="1301" spans="1:9" s="26" customFormat="1">
      <c r="A1301" s="947">
        <v>4</v>
      </c>
      <c r="B1301" s="948">
        <v>701.1</v>
      </c>
      <c r="C1301" s="948" t="s">
        <v>407</v>
      </c>
      <c r="D1301" s="947" t="s">
        <v>1</v>
      </c>
      <c r="E1301" s="949">
        <v>65487</v>
      </c>
      <c r="F1301" s="950">
        <v>10</v>
      </c>
      <c r="G1301" s="951">
        <v>110</v>
      </c>
      <c r="H1301" s="951">
        <v>107.07</v>
      </c>
      <c r="I1301" s="18"/>
    </row>
    <row r="1302" spans="1:9">
      <c r="A1302" s="943">
        <v>4</v>
      </c>
      <c r="B1302" s="944">
        <v>701.2</v>
      </c>
      <c r="C1302" s="944" t="s">
        <v>1422</v>
      </c>
      <c r="D1302" s="943" t="s">
        <v>1</v>
      </c>
      <c r="E1302" s="952">
        <v>39006</v>
      </c>
      <c r="F1302" s="945">
        <v>14</v>
      </c>
      <c r="G1302" s="946">
        <v>138</v>
      </c>
      <c r="H1302" s="946">
        <v>129.72</v>
      </c>
    </row>
    <row r="1303" spans="1:9" s="26" customFormat="1">
      <c r="A1303" s="947">
        <v>4</v>
      </c>
      <c r="B1303" s="948">
        <v>702</v>
      </c>
      <c r="C1303" s="948" t="s">
        <v>1423</v>
      </c>
      <c r="D1303" s="947" t="s">
        <v>7</v>
      </c>
      <c r="E1303" s="949">
        <v>20574</v>
      </c>
      <c r="F1303" s="950">
        <v>15</v>
      </c>
      <c r="G1303" s="951">
        <v>300</v>
      </c>
      <c r="H1303" s="951">
        <v>292.87</v>
      </c>
      <c r="I1303" s="18"/>
    </row>
    <row r="1304" spans="1:9">
      <c r="A1304" s="943">
        <v>4</v>
      </c>
      <c r="B1304" s="944">
        <v>703.1</v>
      </c>
      <c r="C1304" s="944" t="s">
        <v>408</v>
      </c>
      <c r="D1304" s="943" t="s">
        <v>2</v>
      </c>
      <c r="E1304" s="945">
        <v>14</v>
      </c>
      <c r="F1304" s="945">
        <v>1</v>
      </c>
      <c r="G1304" s="946">
        <v>550</v>
      </c>
      <c r="H1304" s="946">
        <v>512.86</v>
      </c>
    </row>
    <row r="1305" spans="1:9" s="26" customFormat="1">
      <c r="A1305" s="947">
        <v>4</v>
      </c>
      <c r="B1305" s="948">
        <v>704.1</v>
      </c>
      <c r="C1305" s="948" t="s">
        <v>2509</v>
      </c>
      <c r="D1305" s="947" t="s">
        <v>7</v>
      </c>
      <c r="E1305" s="950">
        <v>59</v>
      </c>
      <c r="F1305" s="950">
        <v>3</v>
      </c>
      <c r="G1305" s="951">
        <v>137.5</v>
      </c>
      <c r="H1305" s="951">
        <v>156.66999999999999</v>
      </c>
      <c r="I1305" s="18"/>
    </row>
    <row r="1306" spans="1:9">
      <c r="A1306" s="943">
        <v>4</v>
      </c>
      <c r="B1306" s="944">
        <v>705.1</v>
      </c>
      <c r="C1306" s="944" t="s">
        <v>409</v>
      </c>
      <c r="D1306" s="943" t="s">
        <v>1</v>
      </c>
      <c r="E1306" s="945">
        <v>90</v>
      </c>
      <c r="F1306" s="945">
        <v>2</v>
      </c>
      <c r="G1306" s="946">
        <v>650</v>
      </c>
      <c r="H1306" s="946">
        <v>646.91</v>
      </c>
    </row>
    <row r="1307" spans="1:9" s="26" customFormat="1">
      <c r="A1307" s="947">
        <v>4</v>
      </c>
      <c r="B1307" s="948">
        <v>706.1</v>
      </c>
      <c r="C1307" s="948" t="s">
        <v>411</v>
      </c>
      <c r="D1307" s="947" t="s">
        <v>1</v>
      </c>
      <c r="E1307" s="950">
        <v>310</v>
      </c>
      <c r="F1307" s="950">
        <v>3</v>
      </c>
      <c r="G1307" s="951">
        <v>480</v>
      </c>
      <c r="H1307" s="951">
        <v>517.88</v>
      </c>
      <c r="I1307" s="18"/>
    </row>
    <row r="1308" spans="1:9">
      <c r="A1308" s="943">
        <v>4</v>
      </c>
      <c r="B1308" s="944">
        <v>707.1</v>
      </c>
      <c r="C1308" s="944" t="s">
        <v>60</v>
      </c>
      <c r="D1308" s="943" t="s">
        <v>2</v>
      </c>
      <c r="E1308" s="945">
        <v>12</v>
      </c>
      <c r="F1308" s="945">
        <v>1</v>
      </c>
      <c r="G1308" s="946">
        <v>4575</v>
      </c>
      <c r="H1308" s="946">
        <v>4300</v>
      </c>
    </row>
    <row r="1309" spans="1:9" s="26" customFormat="1">
      <c r="A1309" s="947">
        <v>4</v>
      </c>
      <c r="B1309" s="948">
        <v>707.2</v>
      </c>
      <c r="C1309" s="948" t="s">
        <v>415</v>
      </c>
      <c r="D1309" s="947" t="s">
        <v>2</v>
      </c>
      <c r="E1309" s="950">
        <v>15</v>
      </c>
      <c r="F1309" s="950">
        <v>1</v>
      </c>
      <c r="G1309" s="951">
        <v>4200</v>
      </c>
      <c r="H1309" s="951">
        <v>4040</v>
      </c>
      <c r="I1309" s="18"/>
    </row>
    <row r="1310" spans="1:9">
      <c r="A1310" s="943">
        <v>4</v>
      </c>
      <c r="B1310" s="944">
        <v>707.8</v>
      </c>
      <c r="C1310" s="944" t="s">
        <v>416</v>
      </c>
      <c r="D1310" s="943" t="s">
        <v>2</v>
      </c>
      <c r="E1310" s="945">
        <v>32</v>
      </c>
      <c r="F1310" s="945">
        <v>1</v>
      </c>
      <c r="G1310" s="946">
        <v>1985</v>
      </c>
      <c r="H1310" s="946">
        <v>1778.75</v>
      </c>
    </row>
    <row r="1311" spans="1:9" s="26" customFormat="1">
      <c r="A1311" s="947">
        <v>4</v>
      </c>
      <c r="B1311" s="948">
        <v>707.9</v>
      </c>
      <c r="C1311" s="948" t="s">
        <v>61</v>
      </c>
      <c r="D1311" s="947" t="s">
        <v>2</v>
      </c>
      <c r="E1311" s="950">
        <v>15</v>
      </c>
      <c r="F1311" s="950">
        <v>1</v>
      </c>
      <c r="G1311" s="951">
        <v>1625</v>
      </c>
      <c r="H1311" s="951">
        <v>1450</v>
      </c>
      <c r="I1311" s="18"/>
    </row>
    <row r="1312" spans="1:9">
      <c r="A1312" s="943">
        <v>4</v>
      </c>
      <c r="B1312" s="944">
        <v>710.3</v>
      </c>
      <c r="C1312" s="944" t="s">
        <v>48</v>
      </c>
      <c r="D1312" s="943" t="s">
        <v>2</v>
      </c>
      <c r="E1312" s="945">
        <v>582</v>
      </c>
      <c r="F1312" s="945">
        <v>3</v>
      </c>
      <c r="G1312" s="946">
        <v>775</v>
      </c>
      <c r="H1312" s="946">
        <v>748.33</v>
      </c>
    </row>
    <row r="1313" spans="1:9" s="26" customFormat="1">
      <c r="A1313" s="947">
        <v>4</v>
      </c>
      <c r="B1313" s="948">
        <v>710.4</v>
      </c>
      <c r="C1313" s="948" t="s">
        <v>417</v>
      </c>
      <c r="D1313" s="947" t="s">
        <v>2</v>
      </c>
      <c r="E1313" s="950">
        <v>154</v>
      </c>
      <c r="F1313" s="950">
        <v>2</v>
      </c>
      <c r="G1313" s="951">
        <v>800</v>
      </c>
      <c r="H1313" s="951">
        <v>753.57</v>
      </c>
      <c r="I1313" s="18"/>
    </row>
    <row r="1314" spans="1:9">
      <c r="A1314" s="943">
        <v>4</v>
      </c>
      <c r="B1314" s="944">
        <v>711</v>
      </c>
      <c r="C1314" s="944" t="s">
        <v>418</v>
      </c>
      <c r="D1314" s="943" t="s">
        <v>2</v>
      </c>
      <c r="E1314" s="945">
        <v>74</v>
      </c>
      <c r="F1314" s="945">
        <v>6</v>
      </c>
      <c r="G1314" s="946">
        <v>700</v>
      </c>
      <c r="H1314" s="946">
        <v>729.48</v>
      </c>
    </row>
    <row r="1315" spans="1:9" s="26" customFormat="1">
      <c r="A1315" s="947">
        <v>4</v>
      </c>
      <c r="B1315" s="948">
        <v>715</v>
      </c>
      <c r="C1315" s="948" t="s">
        <v>422</v>
      </c>
      <c r="D1315" s="947" t="s">
        <v>2</v>
      </c>
      <c r="E1315" s="950">
        <v>458</v>
      </c>
      <c r="F1315" s="950">
        <v>3</v>
      </c>
      <c r="G1315" s="951">
        <v>290</v>
      </c>
      <c r="H1315" s="951">
        <v>280.91000000000003</v>
      </c>
      <c r="I1315" s="18"/>
    </row>
    <row r="1316" spans="1:9">
      <c r="A1316" s="943">
        <v>4</v>
      </c>
      <c r="B1316" s="944">
        <v>715.1</v>
      </c>
      <c r="C1316" s="944" t="s">
        <v>423</v>
      </c>
      <c r="D1316" s="943" t="s">
        <v>2</v>
      </c>
      <c r="E1316" s="945">
        <v>8</v>
      </c>
      <c r="F1316" s="945">
        <v>3</v>
      </c>
      <c r="G1316" s="946">
        <v>500</v>
      </c>
      <c r="H1316" s="946">
        <v>443.75</v>
      </c>
    </row>
    <row r="1317" spans="1:9" s="26" customFormat="1">
      <c r="A1317" s="947">
        <v>4</v>
      </c>
      <c r="B1317" s="948">
        <v>740</v>
      </c>
      <c r="C1317" s="948" t="s">
        <v>4023</v>
      </c>
      <c r="D1317" s="947" t="s">
        <v>428</v>
      </c>
      <c r="E1317" s="949">
        <v>2399</v>
      </c>
      <c r="F1317" s="950">
        <v>20</v>
      </c>
      <c r="G1317" s="951">
        <v>4000</v>
      </c>
      <c r="H1317" s="951">
        <v>3978.43</v>
      </c>
      <c r="I1317" s="18"/>
    </row>
    <row r="1318" spans="1:9">
      <c r="A1318" s="943">
        <v>4</v>
      </c>
      <c r="B1318" s="944">
        <v>745</v>
      </c>
      <c r="C1318" s="944" t="s">
        <v>1426</v>
      </c>
      <c r="D1318" s="943" t="s">
        <v>2</v>
      </c>
      <c r="E1318" s="945">
        <v>8</v>
      </c>
      <c r="F1318" s="945">
        <v>1</v>
      </c>
      <c r="G1318" s="946">
        <v>60000</v>
      </c>
      <c r="H1318" s="946">
        <v>58750</v>
      </c>
    </row>
    <row r="1319" spans="1:9" s="26" customFormat="1">
      <c r="A1319" s="947">
        <v>4</v>
      </c>
      <c r="B1319" s="948">
        <v>747</v>
      </c>
      <c r="C1319" s="948" t="s">
        <v>429</v>
      </c>
      <c r="D1319" s="947" t="s">
        <v>22</v>
      </c>
      <c r="E1319" s="950">
        <v>13</v>
      </c>
      <c r="F1319" s="950">
        <v>5</v>
      </c>
      <c r="G1319" s="951">
        <v>8178</v>
      </c>
      <c r="H1319" s="951">
        <v>7359.85</v>
      </c>
      <c r="I1319" s="18"/>
    </row>
    <row r="1320" spans="1:9">
      <c r="A1320" s="943">
        <v>4</v>
      </c>
      <c r="B1320" s="944">
        <v>748</v>
      </c>
      <c r="C1320" s="944" t="s">
        <v>430</v>
      </c>
      <c r="D1320" s="943" t="s">
        <v>22</v>
      </c>
      <c r="E1320" s="945">
        <v>31</v>
      </c>
      <c r="F1320" s="945">
        <v>13</v>
      </c>
      <c r="G1320" s="946">
        <v>185000</v>
      </c>
      <c r="H1320" s="946">
        <v>167967.08</v>
      </c>
    </row>
    <row r="1321" spans="1:9" s="26" customFormat="1">
      <c r="A1321" s="947">
        <v>4</v>
      </c>
      <c r="B1321" s="948">
        <v>748.1</v>
      </c>
      <c r="C1321" s="948" t="s">
        <v>431</v>
      </c>
      <c r="D1321" s="947" t="s">
        <v>2</v>
      </c>
      <c r="E1321" s="950">
        <v>221</v>
      </c>
      <c r="F1321" s="950">
        <v>12</v>
      </c>
      <c r="G1321" s="951">
        <v>600</v>
      </c>
      <c r="H1321" s="951">
        <v>783</v>
      </c>
      <c r="I1321" s="18"/>
    </row>
    <row r="1322" spans="1:9">
      <c r="A1322" s="943">
        <v>4</v>
      </c>
      <c r="B1322" s="944">
        <v>751</v>
      </c>
      <c r="C1322" s="944" t="s">
        <v>3902</v>
      </c>
      <c r="D1322" s="943" t="s">
        <v>4</v>
      </c>
      <c r="E1322" s="952">
        <v>22160</v>
      </c>
      <c r="F1322" s="945">
        <v>11</v>
      </c>
      <c r="G1322" s="946">
        <v>85</v>
      </c>
      <c r="H1322" s="946">
        <v>87.45</v>
      </c>
    </row>
    <row r="1323" spans="1:9" s="26" customFormat="1">
      <c r="A1323" s="947">
        <v>4</v>
      </c>
      <c r="B1323" s="948">
        <v>751.1</v>
      </c>
      <c r="C1323" s="948" t="s">
        <v>4004</v>
      </c>
      <c r="D1323" s="947" t="s">
        <v>4</v>
      </c>
      <c r="E1323" s="949">
        <v>19100</v>
      </c>
      <c r="F1323" s="950">
        <v>6</v>
      </c>
      <c r="G1323" s="951">
        <v>85</v>
      </c>
      <c r="H1323" s="951">
        <v>83.95</v>
      </c>
      <c r="I1323" s="18"/>
    </row>
    <row r="1324" spans="1:9">
      <c r="A1324" s="943">
        <v>4</v>
      </c>
      <c r="B1324" s="944">
        <v>751.7</v>
      </c>
      <c r="C1324" s="944" t="s">
        <v>4005</v>
      </c>
      <c r="D1324" s="943" t="s">
        <v>4</v>
      </c>
      <c r="E1324" s="945">
        <v>672</v>
      </c>
      <c r="F1324" s="945">
        <v>2</v>
      </c>
      <c r="G1324" s="946">
        <v>100</v>
      </c>
      <c r="H1324" s="946">
        <v>106.43</v>
      </c>
    </row>
    <row r="1325" spans="1:9" s="26" customFormat="1">
      <c r="A1325" s="947">
        <v>4</v>
      </c>
      <c r="B1325" s="948">
        <v>755.35</v>
      </c>
      <c r="C1325" s="948" t="s">
        <v>1428</v>
      </c>
      <c r="D1325" s="947" t="s">
        <v>22</v>
      </c>
      <c r="E1325" s="950">
        <v>6</v>
      </c>
      <c r="F1325" s="950">
        <v>2</v>
      </c>
      <c r="G1325" s="951">
        <v>11650</v>
      </c>
      <c r="H1325" s="951">
        <v>8466.67</v>
      </c>
      <c r="I1325" s="18"/>
    </row>
    <row r="1326" spans="1:9">
      <c r="A1326" s="943">
        <v>4</v>
      </c>
      <c r="B1326" s="944">
        <v>755.75</v>
      </c>
      <c r="C1326" s="944" t="s">
        <v>1430</v>
      </c>
      <c r="D1326" s="943" t="s">
        <v>24</v>
      </c>
      <c r="E1326" s="945">
        <v>120</v>
      </c>
      <c r="F1326" s="945">
        <v>1</v>
      </c>
      <c r="G1326" s="946">
        <v>180</v>
      </c>
      <c r="H1326" s="946">
        <v>182.5</v>
      </c>
    </row>
    <row r="1327" spans="1:9" s="26" customFormat="1">
      <c r="A1327" s="947">
        <v>4</v>
      </c>
      <c r="B1327" s="948">
        <v>755.76</v>
      </c>
      <c r="C1327" s="948" t="s">
        <v>1431</v>
      </c>
      <c r="D1327" s="947" t="s">
        <v>22</v>
      </c>
      <c r="E1327" s="950">
        <v>4</v>
      </c>
      <c r="F1327" s="950">
        <v>1</v>
      </c>
      <c r="G1327" s="951">
        <v>7250</v>
      </c>
      <c r="H1327" s="951">
        <v>7250</v>
      </c>
      <c r="I1327" s="18"/>
    </row>
    <row r="1328" spans="1:9">
      <c r="A1328" s="943">
        <v>4</v>
      </c>
      <c r="B1328" s="944">
        <v>756</v>
      </c>
      <c r="C1328" s="944" t="s">
        <v>432</v>
      </c>
      <c r="D1328" s="943" t="s">
        <v>22</v>
      </c>
      <c r="E1328" s="945">
        <v>30</v>
      </c>
      <c r="F1328" s="945">
        <v>8</v>
      </c>
      <c r="G1328" s="946">
        <v>9900</v>
      </c>
      <c r="H1328" s="946">
        <v>8528.33</v>
      </c>
    </row>
    <row r="1329" spans="1:9" s="26" customFormat="1">
      <c r="A1329" s="947">
        <v>4</v>
      </c>
      <c r="B1329" s="948">
        <v>765</v>
      </c>
      <c r="C1329" s="948" t="s">
        <v>34</v>
      </c>
      <c r="D1329" s="947" t="s">
        <v>1</v>
      </c>
      <c r="E1329" s="949">
        <v>251140</v>
      </c>
      <c r="F1329" s="950">
        <v>13</v>
      </c>
      <c r="G1329" s="951">
        <v>3.55</v>
      </c>
      <c r="H1329" s="951">
        <v>3.66</v>
      </c>
      <c r="I1329" s="18"/>
    </row>
    <row r="1330" spans="1:9">
      <c r="A1330" s="943">
        <v>4</v>
      </c>
      <c r="B1330" s="944">
        <v>765.2</v>
      </c>
      <c r="C1330" s="944" t="s">
        <v>2531</v>
      </c>
      <c r="D1330" s="943" t="s">
        <v>1</v>
      </c>
      <c r="E1330" s="952">
        <v>12180</v>
      </c>
      <c r="F1330" s="945">
        <v>1</v>
      </c>
      <c r="G1330" s="946">
        <v>3</v>
      </c>
      <c r="H1330" s="946">
        <v>2.95</v>
      </c>
    </row>
    <row r="1331" spans="1:9" s="26" customFormat="1">
      <c r="A1331" s="947">
        <v>4</v>
      </c>
      <c r="B1331" s="948">
        <v>767.12099999999998</v>
      </c>
      <c r="C1331" s="948" t="s">
        <v>1436</v>
      </c>
      <c r="D1331" s="947" t="s">
        <v>17</v>
      </c>
      <c r="E1331" s="949">
        <v>135740</v>
      </c>
      <c r="F1331" s="950">
        <v>14</v>
      </c>
      <c r="G1331" s="951">
        <v>10</v>
      </c>
      <c r="H1331" s="951">
        <v>8.9</v>
      </c>
      <c r="I1331" s="18"/>
    </row>
    <row r="1332" spans="1:9">
      <c r="A1332" s="943">
        <v>4</v>
      </c>
      <c r="B1332" s="944">
        <v>767.31</v>
      </c>
      <c r="C1332" s="944" t="s">
        <v>439</v>
      </c>
      <c r="D1332" s="943" t="s">
        <v>1</v>
      </c>
      <c r="E1332" s="952">
        <v>11910</v>
      </c>
      <c r="F1332" s="945">
        <v>1</v>
      </c>
      <c r="G1332" s="946">
        <v>3</v>
      </c>
      <c r="H1332" s="946">
        <v>2.83</v>
      </c>
    </row>
    <row r="1333" spans="1:9" s="26" customFormat="1">
      <c r="A1333" s="947">
        <v>4</v>
      </c>
      <c r="B1333" s="948">
        <v>767.6</v>
      </c>
      <c r="C1333" s="948" t="s">
        <v>441</v>
      </c>
      <c r="D1333" s="947" t="s">
        <v>4</v>
      </c>
      <c r="E1333" s="949">
        <v>1016</v>
      </c>
      <c r="F1333" s="950">
        <v>9</v>
      </c>
      <c r="G1333" s="951">
        <v>105</v>
      </c>
      <c r="H1333" s="951">
        <v>106.65</v>
      </c>
      <c r="I1333" s="18"/>
    </row>
    <row r="1334" spans="1:9">
      <c r="A1334" s="943">
        <v>4</v>
      </c>
      <c r="B1334" s="944">
        <v>767.9</v>
      </c>
      <c r="C1334" s="944" t="s">
        <v>1437</v>
      </c>
      <c r="D1334" s="943" t="s">
        <v>1</v>
      </c>
      <c r="E1334" s="952">
        <v>4644</v>
      </c>
      <c r="F1334" s="945">
        <v>3</v>
      </c>
      <c r="G1334" s="946">
        <v>8</v>
      </c>
      <c r="H1334" s="946">
        <v>12.53</v>
      </c>
    </row>
    <row r="1335" spans="1:9" s="26" customFormat="1">
      <c r="A1335" s="947">
        <v>4</v>
      </c>
      <c r="B1335" s="948">
        <v>769</v>
      </c>
      <c r="C1335" s="948" t="s">
        <v>443</v>
      </c>
      <c r="D1335" s="947" t="s">
        <v>17</v>
      </c>
      <c r="E1335" s="949">
        <v>97685</v>
      </c>
      <c r="F1335" s="950">
        <v>7</v>
      </c>
      <c r="G1335" s="951">
        <v>10</v>
      </c>
      <c r="H1335" s="951">
        <v>9.83</v>
      </c>
      <c r="I1335" s="18"/>
    </row>
    <row r="1336" spans="1:9">
      <c r="A1336" s="943">
        <v>4</v>
      </c>
      <c r="B1336" s="944">
        <v>773.43600000000004</v>
      </c>
      <c r="C1336" s="944" t="s">
        <v>445</v>
      </c>
      <c r="D1336" s="943" t="s">
        <v>2</v>
      </c>
      <c r="E1336" s="945">
        <v>10</v>
      </c>
      <c r="F1336" s="945">
        <v>1</v>
      </c>
      <c r="G1336" s="946">
        <v>655</v>
      </c>
      <c r="H1336" s="946">
        <v>653.63</v>
      </c>
    </row>
    <row r="1337" spans="1:9" s="26" customFormat="1">
      <c r="A1337" s="947">
        <v>4</v>
      </c>
      <c r="B1337" s="948">
        <v>775.14</v>
      </c>
      <c r="C1337" s="948" t="s">
        <v>2592</v>
      </c>
      <c r="D1337" s="947" t="s">
        <v>2</v>
      </c>
      <c r="E1337" s="950">
        <v>50</v>
      </c>
      <c r="F1337" s="950">
        <v>1</v>
      </c>
      <c r="G1337" s="951">
        <v>900</v>
      </c>
      <c r="H1337" s="951">
        <v>1040</v>
      </c>
      <c r="I1337" s="18"/>
    </row>
    <row r="1338" spans="1:9">
      <c r="A1338" s="943">
        <v>4</v>
      </c>
      <c r="B1338" s="944">
        <v>775.43100000000004</v>
      </c>
      <c r="C1338" s="944" t="s">
        <v>4041</v>
      </c>
      <c r="D1338" s="943" t="s">
        <v>2</v>
      </c>
      <c r="E1338" s="945">
        <v>8</v>
      </c>
      <c r="F1338" s="945">
        <v>1</v>
      </c>
      <c r="G1338" s="946">
        <v>785</v>
      </c>
      <c r="H1338" s="946">
        <v>785.5</v>
      </c>
    </row>
    <row r="1339" spans="1:9" s="26" customFormat="1">
      <c r="A1339" s="947">
        <v>4</v>
      </c>
      <c r="B1339" s="948">
        <v>776.53800000000001</v>
      </c>
      <c r="C1339" s="948" t="s">
        <v>4042</v>
      </c>
      <c r="D1339" s="947" t="s">
        <v>2</v>
      </c>
      <c r="E1339" s="950">
        <v>1</v>
      </c>
      <c r="F1339" s="950">
        <v>1</v>
      </c>
      <c r="G1339" s="951">
        <v>1300</v>
      </c>
      <c r="H1339" s="951">
        <v>1300</v>
      </c>
      <c r="I1339" s="18"/>
    </row>
    <row r="1340" spans="1:9">
      <c r="A1340" s="943">
        <v>4</v>
      </c>
      <c r="B1340" s="944">
        <v>776.84100000000001</v>
      </c>
      <c r="C1340" s="944" t="s">
        <v>4044</v>
      </c>
      <c r="D1340" s="943" t="s">
        <v>2</v>
      </c>
      <c r="E1340" s="945">
        <v>15</v>
      </c>
      <c r="F1340" s="945">
        <v>1</v>
      </c>
      <c r="G1340" s="946">
        <v>971.57</v>
      </c>
      <c r="H1340" s="946">
        <v>964.63</v>
      </c>
    </row>
    <row r="1341" spans="1:9" s="26" customFormat="1">
      <c r="A1341" s="947">
        <v>4</v>
      </c>
      <c r="B1341" s="948">
        <v>777.26099999999997</v>
      </c>
      <c r="C1341" s="948" t="s">
        <v>454</v>
      </c>
      <c r="D1341" s="947" t="s">
        <v>2</v>
      </c>
      <c r="E1341" s="950">
        <v>20</v>
      </c>
      <c r="F1341" s="950">
        <v>1</v>
      </c>
      <c r="G1341" s="951">
        <v>691.25</v>
      </c>
      <c r="H1341" s="951">
        <v>690.5</v>
      </c>
      <c r="I1341" s="18"/>
    </row>
    <row r="1342" spans="1:9">
      <c r="A1342" s="943">
        <v>4</v>
      </c>
      <c r="B1342" s="944">
        <v>781.57799999999997</v>
      </c>
      <c r="C1342" s="944" t="s">
        <v>4050</v>
      </c>
      <c r="D1342" s="943" t="s">
        <v>2</v>
      </c>
      <c r="E1342" s="945">
        <v>20</v>
      </c>
      <c r="F1342" s="945">
        <v>1</v>
      </c>
      <c r="G1342" s="946">
        <v>890</v>
      </c>
      <c r="H1342" s="946">
        <v>866</v>
      </c>
    </row>
    <row r="1343" spans="1:9" s="26" customFormat="1">
      <c r="A1343" s="947">
        <v>4</v>
      </c>
      <c r="B1343" s="948">
        <v>783.03599999999994</v>
      </c>
      <c r="C1343" s="948" t="s">
        <v>4054</v>
      </c>
      <c r="D1343" s="947" t="s">
        <v>2</v>
      </c>
      <c r="E1343" s="950">
        <v>27</v>
      </c>
      <c r="F1343" s="950">
        <v>1</v>
      </c>
      <c r="G1343" s="951">
        <v>380</v>
      </c>
      <c r="H1343" s="951">
        <v>363.33</v>
      </c>
      <c r="I1343" s="18"/>
    </row>
    <row r="1344" spans="1:9">
      <c r="A1344" s="943">
        <v>4</v>
      </c>
      <c r="B1344" s="944">
        <v>783.46500000000003</v>
      </c>
      <c r="C1344" s="944" t="s">
        <v>1491</v>
      </c>
      <c r="D1344" s="943" t="s">
        <v>2</v>
      </c>
      <c r="E1344" s="945">
        <v>30</v>
      </c>
      <c r="F1344" s="945">
        <v>1</v>
      </c>
      <c r="G1344" s="946">
        <v>875.63</v>
      </c>
      <c r="H1344" s="946">
        <v>941.88</v>
      </c>
    </row>
    <row r="1345" spans="1:9" s="26" customFormat="1">
      <c r="A1345" s="947">
        <v>4</v>
      </c>
      <c r="B1345" s="948">
        <v>786.46199999999999</v>
      </c>
      <c r="C1345" s="948" t="s">
        <v>4078</v>
      </c>
      <c r="D1345" s="947" t="s">
        <v>2</v>
      </c>
      <c r="E1345" s="950">
        <v>216</v>
      </c>
      <c r="F1345" s="950">
        <v>1</v>
      </c>
      <c r="G1345" s="951">
        <v>127.5</v>
      </c>
      <c r="H1345" s="951">
        <v>132</v>
      </c>
      <c r="I1345" s="18"/>
    </row>
    <row r="1346" spans="1:9">
      <c r="A1346" s="943">
        <v>4</v>
      </c>
      <c r="B1346" s="944">
        <v>787.25099999999998</v>
      </c>
      <c r="C1346" s="944" t="s">
        <v>4079</v>
      </c>
      <c r="D1346" s="943" t="s">
        <v>2</v>
      </c>
      <c r="E1346" s="945">
        <v>138</v>
      </c>
      <c r="F1346" s="945">
        <v>1</v>
      </c>
      <c r="G1346" s="946">
        <v>300</v>
      </c>
      <c r="H1346" s="946">
        <v>283.33</v>
      </c>
    </row>
    <row r="1347" spans="1:9" s="26" customFormat="1">
      <c r="A1347" s="947">
        <v>4</v>
      </c>
      <c r="B1347" s="948">
        <v>789.33299999999997</v>
      </c>
      <c r="C1347" s="948" t="s">
        <v>4015</v>
      </c>
      <c r="D1347" s="947" t="s">
        <v>2</v>
      </c>
      <c r="E1347" s="950">
        <v>72</v>
      </c>
      <c r="F1347" s="950">
        <v>1</v>
      </c>
      <c r="G1347" s="951">
        <v>105</v>
      </c>
      <c r="H1347" s="951">
        <v>106.25</v>
      </c>
      <c r="I1347" s="18"/>
    </row>
    <row r="1348" spans="1:9">
      <c r="A1348" s="943">
        <v>4</v>
      </c>
      <c r="B1348" s="944">
        <v>790.63300000000004</v>
      </c>
      <c r="C1348" s="944" t="s">
        <v>4058</v>
      </c>
      <c r="D1348" s="943" t="s">
        <v>2</v>
      </c>
      <c r="E1348" s="945">
        <v>36</v>
      </c>
      <c r="F1348" s="945">
        <v>1</v>
      </c>
      <c r="G1348" s="946">
        <v>105</v>
      </c>
      <c r="H1348" s="946">
        <v>106.25</v>
      </c>
    </row>
    <row r="1349" spans="1:9" s="26" customFormat="1">
      <c r="A1349" s="947" t="s">
        <v>81</v>
      </c>
      <c r="B1349" s="948">
        <v>180.01</v>
      </c>
      <c r="C1349" s="948" t="s">
        <v>1288</v>
      </c>
      <c r="D1349" s="947" t="s">
        <v>22</v>
      </c>
      <c r="E1349" s="950">
        <v>151</v>
      </c>
      <c r="F1349" s="950">
        <v>55</v>
      </c>
      <c r="G1349" s="951">
        <v>8500</v>
      </c>
      <c r="H1349" s="951">
        <v>7205.26</v>
      </c>
      <c r="I1349" s="18"/>
    </row>
    <row r="1350" spans="1:9">
      <c r="A1350" s="943" t="s">
        <v>81</v>
      </c>
      <c r="B1350" s="944">
        <v>180.02</v>
      </c>
      <c r="C1350" s="944" t="s">
        <v>1289</v>
      </c>
      <c r="D1350" s="943" t="s">
        <v>24</v>
      </c>
      <c r="E1350" s="952">
        <v>5406</v>
      </c>
      <c r="F1350" s="945">
        <v>43</v>
      </c>
      <c r="G1350" s="946">
        <v>15</v>
      </c>
      <c r="H1350" s="946">
        <v>16.05</v>
      </c>
    </row>
    <row r="1351" spans="1:9" s="26" customFormat="1">
      <c r="A1351" s="947" t="s">
        <v>81</v>
      </c>
      <c r="B1351" s="948">
        <v>180.03</v>
      </c>
      <c r="C1351" s="948" t="s">
        <v>1290</v>
      </c>
      <c r="D1351" s="947" t="s">
        <v>24</v>
      </c>
      <c r="E1351" s="949">
        <v>12091</v>
      </c>
      <c r="F1351" s="950">
        <v>64</v>
      </c>
      <c r="G1351" s="951">
        <v>140</v>
      </c>
      <c r="H1351" s="951">
        <v>144.21</v>
      </c>
      <c r="I1351" s="18"/>
    </row>
    <row r="1352" spans="1:9">
      <c r="A1352" s="943" t="s">
        <v>81</v>
      </c>
      <c r="B1352" s="944">
        <v>181.11</v>
      </c>
      <c r="C1352" s="944" t="s">
        <v>58</v>
      </c>
      <c r="D1352" s="943" t="s">
        <v>7</v>
      </c>
      <c r="E1352" s="953">
        <v>256577.5</v>
      </c>
      <c r="F1352" s="945">
        <v>57</v>
      </c>
      <c r="G1352" s="946">
        <v>66</v>
      </c>
      <c r="H1352" s="946">
        <v>63.54</v>
      </c>
    </row>
    <row r="1353" spans="1:9" s="26" customFormat="1">
      <c r="A1353" s="947" t="s">
        <v>81</v>
      </c>
      <c r="B1353" s="948">
        <v>181.12</v>
      </c>
      <c r="C1353" s="948" t="s">
        <v>141</v>
      </c>
      <c r="D1353" s="947" t="s">
        <v>7</v>
      </c>
      <c r="E1353" s="954">
        <v>40382.5</v>
      </c>
      <c r="F1353" s="950">
        <v>64</v>
      </c>
      <c r="G1353" s="951">
        <v>135</v>
      </c>
      <c r="H1353" s="951">
        <v>130.84</v>
      </c>
      <c r="I1353" s="18"/>
    </row>
    <row r="1354" spans="1:9">
      <c r="A1354" s="943" t="s">
        <v>81</v>
      </c>
      <c r="B1354" s="944">
        <v>181.13</v>
      </c>
      <c r="C1354" s="944" t="s">
        <v>142</v>
      </c>
      <c r="D1354" s="943" t="s">
        <v>7</v>
      </c>
      <c r="E1354" s="953">
        <v>17116.5</v>
      </c>
      <c r="F1354" s="945">
        <v>63</v>
      </c>
      <c r="G1354" s="946">
        <v>235</v>
      </c>
      <c r="H1354" s="946">
        <v>229.89</v>
      </c>
    </row>
    <row r="1355" spans="1:9" s="26" customFormat="1">
      <c r="A1355" s="947" t="s">
        <v>81</v>
      </c>
      <c r="B1355" s="948">
        <v>181.14</v>
      </c>
      <c r="C1355" s="948" t="s">
        <v>59</v>
      </c>
      <c r="D1355" s="947" t="s">
        <v>7</v>
      </c>
      <c r="E1355" s="954">
        <v>7039.5</v>
      </c>
      <c r="F1355" s="950">
        <v>61</v>
      </c>
      <c r="G1355" s="951">
        <v>570</v>
      </c>
      <c r="H1355" s="951">
        <v>574.86</v>
      </c>
      <c r="I1355" s="18"/>
    </row>
    <row r="1356" spans="1:9">
      <c r="A1356" s="943" t="s">
        <v>81</v>
      </c>
      <c r="B1356" s="944">
        <v>182.1</v>
      </c>
      <c r="C1356" s="944" t="s">
        <v>143</v>
      </c>
      <c r="D1356" s="943" t="s">
        <v>22</v>
      </c>
      <c r="E1356" s="945">
        <v>65</v>
      </c>
      <c r="F1356" s="945">
        <v>24</v>
      </c>
      <c r="G1356" s="946">
        <v>4000</v>
      </c>
      <c r="H1356" s="946">
        <v>3583.1</v>
      </c>
    </row>
    <row r="1357" spans="1:9" s="26" customFormat="1">
      <c r="A1357" s="947" t="s">
        <v>81</v>
      </c>
      <c r="B1357" s="948">
        <v>182.2</v>
      </c>
      <c r="C1357" s="948" t="s">
        <v>144</v>
      </c>
      <c r="D1357" s="947" t="s">
        <v>17</v>
      </c>
      <c r="E1357" s="949">
        <v>6384</v>
      </c>
      <c r="F1357" s="950">
        <v>21</v>
      </c>
      <c r="G1357" s="951">
        <v>125</v>
      </c>
      <c r="H1357" s="951">
        <v>130.4</v>
      </c>
      <c r="I1357" s="18"/>
    </row>
    <row r="1358" spans="1:9">
      <c r="A1358" s="943" t="s">
        <v>81</v>
      </c>
      <c r="B1358" s="944">
        <v>182.3</v>
      </c>
      <c r="C1358" s="944" t="s">
        <v>145</v>
      </c>
      <c r="D1358" s="943" t="s">
        <v>22</v>
      </c>
      <c r="E1358" s="945">
        <v>4</v>
      </c>
      <c r="F1358" s="945">
        <v>1</v>
      </c>
      <c r="G1358" s="946">
        <v>22500</v>
      </c>
      <c r="H1358" s="946">
        <v>26250</v>
      </c>
    </row>
    <row r="1359" spans="1:9" s="26" customFormat="1">
      <c r="A1359" s="947" t="s">
        <v>81</v>
      </c>
      <c r="B1359" s="948">
        <v>183.1</v>
      </c>
      <c r="C1359" s="948" t="s">
        <v>146</v>
      </c>
      <c r="D1359" s="947" t="s">
        <v>20</v>
      </c>
      <c r="E1359" s="949">
        <v>64675</v>
      </c>
      <c r="F1359" s="950">
        <v>14</v>
      </c>
      <c r="G1359" s="951">
        <v>10</v>
      </c>
      <c r="H1359" s="951">
        <v>13.78</v>
      </c>
      <c r="I1359" s="18"/>
    </row>
    <row r="1360" spans="1:9">
      <c r="A1360" s="943" t="s">
        <v>81</v>
      </c>
      <c r="B1360" s="944">
        <v>183.2</v>
      </c>
      <c r="C1360" s="944" t="s">
        <v>147</v>
      </c>
      <c r="D1360" s="943" t="s">
        <v>100</v>
      </c>
      <c r="E1360" s="952">
        <v>52714</v>
      </c>
      <c r="F1360" s="945">
        <v>14</v>
      </c>
      <c r="G1360" s="946">
        <v>6</v>
      </c>
      <c r="H1360" s="946">
        <v>6.97</v>
      </c>
    </row>
    <row r="1361" spans="1:9" s="26" customFormat="1">
      <c r="A1361" s="947" t="s">
        <v>81</v>
      </c>
      <c r="B1361" s="948">
        <v>184.1</v>
      </c>
      <c r="C1361" s="948" t="s">
        <v>148</v>
      </c>
      <c r="D1361" s="947" t="s">
        <v>7</v>
      </c>
      <c r="E1361" s="954">
        <v>2473.9</v>
      </c>
      <c r="F1361" s="950">
        <v>42</v>
      </c>
      <c r="G1361" s="951">
        <v>500</v>
      </c>
      <c r="H1361" s="951">
        <v>445.77</v>
      </c>
      <c r="I1361" s="18"/>
    </row>
    <row r="1362" spans="1:9">
      <c r="A1362" s="943" t="s">
        <v>81</v>
      </c>
      <c r="B1362" s="944">
        <v>188.3</v>
      </c>
      <c r="C1362" s="944" t="s">
        <v>150</v>
      </c>
      <c r="D1362" s="943" t="s">
        <v>2</v>
      </c>
      <c r="E1362" s="952">
        <v>41180</v>
      </c>
      <c r="F1362" s="945">
        <v>2</v>
      </c>
      <c r="G1362" s="946">
        <v>8</v>
      </c>
      <c r="H1362" s="946">
        <v>8.25</v>
      </c>
    </row>
    <row r="1363" spans="1:9" s="26" customFormat="1">
      <c r="A1363" s="947" t="s">
        <v>81</v>
      </c>
      <c r="B1363" s="948">
        <v>191</v>
      </c>
      <c r="C1363" s="948" t="s">
        <v>151</v>
      </c>
      <c r="D1363" s="947" t="s">
        <v>17</v>
      </c>
      <c r="E1363" s="949">
        <v>3280</v>
      </c>
      <c r="F1363" s="950">
        <v>4</v>
      </c>
      <c r="G1363" s="951">
        <v>91.5</v>
      </c>
      <c r="H1363" s="951">
        <v>100.91</v>
      </c>
      <c r="I1363" s="18"/>
    </row>
    <row r="1364" spans="1:9">
      <c r="A1364" s="943" t="s">
        <v>81</v>
      </c>
      <c r="B1364" s="944">
        <v>191.1</v>
      </c>
      <c r="C1364" s="944" t="s">
        <v>152</v>
      </c>
      <c r="D1364" s="943" t="s">
        <v>17</v>
      </c>
      <c r="E1364" s="952">
        <v>1440</v>
      </c>
      <c r="F1364" s="945">
        <v>4</v>
      </c>
      <c r="G1364" s="946">
        <v>141.75</v>
      </c>
      <c r="H1364" s="946">
        <v>148.75</v>
      </c>
    </row>
    <row r="1365" spans="1:9" s="26" customFormat="1">
      <c r="A1365" s="947" t="s">
        <v>81</v>
      </c>
      <c r="B1365" s="948">
        <v>191.11</v>
      </c>
      <c r="C1365" s="948" t="s">
        <v>153</v>
      </c>
      <c r="D1365" s="947" t="s">
        <v>17</v>
      </c>
      <c r="E1365" s="949">
        <v>1256</v>
      </c>
      <c r="F1365" s="950">
        <v>5</v>
      </c>
      <c r="G1365" s="951">
        <v>1</v>
      </c>
      <c r="H1365" s="951">
        <v>17.440000000000001</v>
      </c>
      <c r="I1365" s="18"/>
    </row>
    <row r="1366" spans="1:9">
      <c r="A1366" s="943" t="s">
        <v>81</v>
      </c>
      <c r="B1366" s="944">
        <v>201</v>
      </c>
      <c r="C1366" s="944" t="s">
        <v>155</v>
      </c>
      <c r="D1366" s="943" t="s">
        <v>2</v>
      </c>
      <c r="E1366" s="953">
        <v>6052.8</v>
      </c>
      <c r="F1366" s="945">
        <v>46</v>
      </c>
      <c r="G1366" s="946">
        <v>5875</v>
      </c>
      <c r="H1366" s="946">
        <v>5564.75</v>
      </c>
    </row>
    <row r="1367" spans="1:9" s="26" customFormat="1">
      <c r="A1367" s="947" t="s">
        <v>81</v>
      </c>
      <c r="B1367" s="948">
        <v>201.3</v>
      </c>
      <c r="C1367" s="948" t="s">
        <v>156</v>
      </c>
      <c r="D1367" s="947" t="s">
        <v>2</v>
      </c>
      <c r="E1367" s="950">
        <v>105</v>
      </c>
      <c r="F1367" s="950">
        <v>5</v>
      </c>
      <c r="G1367" s="951">
        <v>9500</v>
      </c>
      <c r="H1367" s="951">
        <v>8875</v>
      </c>
      <c r="I1367" s="18"/>
    </row>
    <row r="1368" spans="1:9">
      <c r="A1368" s="943" t="s">
        <v>81</v>
      </c>
      <c r="B1368" s="944">
        <v>201.5</v>
      </c>
      <c r="C1368" s="944" t="s">
        <v>2075</v>
      </c>
      <c r="D1368" s="943" t="s">
        <v>2</v>
      </c>
      <c r="E1368" s="945">
        <v>134</v>
      </c>
      <c r="F1368" s="945">
        <v>3</v>
      </c>
      <c r="G1368" s="946">
        <v>7453.85</v>
      </c>
      <c r="H1368" s="946">
        <v>7475.7</v>
      </c>
    </row>
    <row r="1369" spans="1:9" s="26" customFormat="1">
      <c r="A1369" s="947" t="s">
        <v>81</v>
      </c>
      <c r="B1369" s="948">
        <v>202</v>
      </c>
      <c r="C1369" s="948" t="s">
        <v>157</v>
      </c>
      <c r="D1369" s="947" t="s">
        <v>2</v>
      </c>
      <c r="E1369" s="954">
        <v>3702.2</v>
      </c>
      <c r="F1369" s="950">
        <v>48</v>
      </c>
      <c r="G1369" s="951">
        <v>6500</v>
      </c>
      <c r="H1369" s="951">
        <v>6321.56</v>
      </c>
      <c r="I1369" s="18"/>
    </row>
    <row r="1370" spans="1:9">
      <c r="A1370" s="943" t="s">
        <v>81</v>
      </c>
      <c r="B1370" s="944">
        <v>202.01</v>
      </c>
      <c r="C1370" s="944" t="s">
        <v>2076</v>
      </c>
      <c r="D1370" s="943" t="s">
        <v>2</v>
      </c>
      <c r="E1370" s="945">
        <v>33</v>
      </c>
      <c r="F1370" s="945">
        <v>2</v>
      </c>
      <c r="G1370" s="946">
        <v>9300</v>
      </c>
      <c r="H1370" s="946">
        <v>8453.23</v>
      </c>
    </row>
    <row r="1371" spans="1:9" s="26" customFormat="1">
      <c r="A1371" s="947" t="s">
        <v>81</v>
      </c>
      <c r="B1371" s="948">
        <v>202.2</v>
      </c>
      <c r="C1371" s="948" t="s">
        <v>158</v>
      </c>
      <c r="D1371" s="947" t="s">
        <v>2</v>
      </c>
      <c r="E1371" s="950">
        <v>74.5</v>
      </c>
      <c r="F1371" s="950">
        <v>6</v>
      </c>
      <c r="G1371" s="951">
        <v>12000</v>
      </c>
      <c r="H1371" s="951">
        <v>11677.18</v>
      </c>
      <c r="I1371" s="18"/>
    </row>
    <row r="1372" spans="1:9">
      <c r="A1372" s="943" t="s">
        <v>81</v>
      </c>
      <c r="B1372" s="944">
        <v>202.21</v>
      </c>
      <c r="C1372" s="944" t="s">
        <v>2077</v>
      </c>
      <c r="D1372" s="943" t="s">
        <v>2</v>
      </c>
      <c r="E1372" s="945">
        <v>12</v>
      </c>
      <c r="F1372" s="945">
        <v>1</v>
      </c>
      <c r="G1372" s="946">
        <v>14299.79</v>
      </c>
      <c r="H1372" s="946">
        <v>13399.19</v>
      </c>
    </row>
    <row r="1373" spans="1:9" s="26" customFormat="1">
      <c r="A1373" s="947" t="s">
        <v>81</v>
      </c>
      <c r="B1373" s="948">
        <v>203</v>
      </c>
      <c r="C1373" s="948" t="s">
        <v>159</v>
      </c>
      <c r="D1373" s="947" t="s">
        <v>2</v>
      </c>
      <c r="E1373" s="950">
        <v>90</v>
      </c>
      <c r="F1373" s="950">
        <v>9</v>
      </c>
      <c r="G1373" s="951">
        <v>12000</v>
      </c>
      <c r="H1373" s="951">
        <v>10788.75</v>
      </c>
      <c r="I1373" s="18"/>
    </row>
    <row r="1374" spans="1:9">
      <c r="A1374" s="943" t="s">
        <v>81</v>
      </c>
      <c r="B1374" s="944">
        <v>203.11</v>
      </c>
      <c r="C1374" s="944" t="s">
        <v>1293</v>
      </c>
      <c r="D1374" s="943" t="s">
        <v>2</v>
      </c>
      <c r="E1374" s="945">
        <v>10</v>
      </c>
      <c r="F1374" s="945">
        <v>1</v>
      </c>
      <c r="G1374" s="946">
        <v>12000</v>
      </c>
      <c r="H1374" s="946">
        <v>9000</v>
      </c>
    </row>
    <row r="1375" spans="1:9" s="26" customFormat="1">
      <c r="A1375" s="947" t="s">
        <v>81</v>
      </c>
      <c r="B1375" s="948">
        <v>204</v>
      </c>
      <c r="C1375" s="948" t="s">
        <v>160</v>
      </c>
      <c r="D1375" s="947" t="s">
        <v>2</v>
      </c>
      <c r="E1375" s="950">
        <v>455</v>
      </c>
      <c r="F1375" s="950">
        <v>18</v>
      </c>
      <c r="G1375" s="951">
        <v>3300</v>
      </c>
      <c r="H1375" s="951">
        <v>3263.84</v>
      </c>
      <c r="I1375" s="18"/>
    </row>
    <row r="1376" spans="1:9">
      <c r="A1376" s="943" t="s">
        <v>81</v>
      </c>
      <c r="B1376" s="944">
        <v>204.11</v>
      </c>
      <c r="C1376" s="944" t="s">
        <v>1294</v>
      </c>
      <c r="D1376" s="943" t="s">
        <v>2</v>
      </c>
      <c r="E1376" s="945">
        <v>394</v>
      </c>
      <c r="F1376" s="945">
        <v>12</v>
      </c>
      <c r="G1376" s="946">
        <v>4200</v>
      </c>
      <c r="H1376" s="946">
        <v>4255.96</v>
      </c>
    </row>
    <row r="1377" spans="1:9" s="26" customFormat="1">
      <c r="A1377" s="947" t="s">
        <v>81</v>
      </c>
      <c r="B1377" s="948">
        <v>204.3</v>
      </c>
      <c r="C1377" s="948" t="s">
        <v>2081</v>
      </c>
      <c r="D1377" s="947" t="s">
        <v>2</v>
      </c>
      <c r="E1377" s="950">
        <v>4</v>
      </c>
      <c r="F1377" s="950">
        <v>1</v>
      </c>
      <c r="G1377" s="951">
        <v>4250</v>
      </c>
      <c r="H1377" s="951">
        <v>4205.2</v>
      </c>
      <c r="I1377" s="18"/>
    </row>
    <row r="1378" spans="1:9">
      <c r="A1378" s="943" t="s">
        <v>81</v>
      </c>
      <c r="B1378" s="944">
        <v>205</v>
      </c>
      <c r="C1378" s="944" t="s">
        <v>161</v>
      </c>
      <c r="D1378" s="943" t="s">
        <v>2</v>
      </c>
      <c r="E1378" s="945">
        <v>21</v>
      </c>
      <c r="F1378" s="945">
        <v>4</v>
      </c>
      <c r="G1378" s="946">
        <v>8250</v>
      </c>
      <c r="H1378" s="946">
        <v>8575</v>
      </c>
    </row>
    <row r="1379" spans="1:9" s="26" customFormat="1">
      <c r="A1379" s="947" t="s">
        <v>81</v>
      </c>
      <c r="B1379" s="948">
        <v>206.1</v>
      </c>
      <c r="C1379" s="948" t="s">
        <v>163</v>
      </c>
      <c r="D1379" s="947" t="s">
        <v>2</v>
      </c>
      <c r="E1379" s="950">
        <v>94</v>
      </c>
      <c r="F1379" s="950">
        <v>7</v>
      </c>
      <c r="G1379" s="951">
        <v>6800</v>
      </c>
      <c r="H1379" s="951">
        <v>6522.79</v>
      </c>
      <c r="I1379" s="18"/>
    </row>
    <row r="1380" spans="1:9">
      <c r="A1380" s="943" t="s">
        <v>81</v>
      </c>
      <c r="B1380" s="944">
        <v>207</v>
      </c>
      <c r="C1380" s="944" t="s">
        <v>164</v>
      </c>
      <c r="D1380" s="943" t="s">
        <v>2</v>
      </c>
      <c r="E1380" s="945">
        <v>8</v>
      </c>
      <c r="F1380" s="945">
        <v>1</v>
      </c>
      <c r="G1380" s="946">
        <v>6125</v>
      </c>
      <c r="H1380" s="946">
        <v>6312.5</v>
      </c>
    </row>
    <row r="1381" spans="1:9" s="26" customFormat="1">
      <c r="A1381" s="947" t="s">
        <v>81</v>
      </c>
      <c r="B1381" s="948">
        <v>207.1</v>
      </c>
      <c r="C1381" s="948" t="s">
        <v>165</v>
      </c>
      <c r="D1381" s="947" t="s">
        <v>2</v>
      </c>
      <c r="E1381" s="950">
        <v>46</v>
      </c>
      <c r="F1381" s="950">
        <v>4</v>
      </c>
      <c r="G1381" s="951">
        <v>5700</v>
      </c>
      <c r="H1381" s="951">
        <v>6005.98</v>
      </c>
      <c r="I1381" s="18"/>
    </row>
    <row r="1382" spans="1:9">
      <c r="A1382" s="943" t="s">
        <v>81</v>
      </c>
      <c r="B1382" s="944">
        <v>209</v>
      </c>
      <c r="C1382" s="944" t="s">
        <v>1296</v>
      </c>
      <c r="D1382" s="943" t="s">
        <v>2</v>
      </c>
      <c r="E1382" s="945">
        <v>13</v>
      </c>
      <c r="F1382" s="945">
        <v>1</v>
      </c>
      <c r="G1382" s="946">
        <v>5500</v>
      </c>
      <c r="H1382" s="946">
        <v>5423.08</v>
      </c>
    </row>
    <row r="1383" spans="1:9" s="26" customFormat="1">
      <c r="A1383" s="947" t="s">
        <v>81</v>
      </c>
      <c r="B1383" s="948">
        <v>209.1</v>
      </c>
      <c r="C1383" s="948" t="s">
        <v>166</v>
      </c>
      <c r="D1383" s="947" t="s">
        <v>2</v>
      </c>
      <c r="E1383" s="950">
        <v>57</v>
      </c>
      <c r="F1383" s="950">
        <v>6</v>
      </c>
      <c r="G1383" s="951">
        <v>5250</v>
      </c>
      <c r="H1383" s="951">
        <v>5053.8500000000004</v>
      </c>
      <c r="I1383" s="18"/>
    </row>
    <row r="1384" spans="1:9">
      <c r="A1384" s="943" t="s">
        <v>81</v>
      </c>
      <c r="B1384" s="944">
        <v>209.2</v>
      </c>
      <c r="C1384" s="944" t="s">
        <v>167</v>
      </c>
      <c r="D1384" s="943" t="s">
        <v>2</v>
      </c>
      <c r="E1384" s="945">
        <v>3</v>
      </c>
      <c r="F1384" s="945">
        <v>1</v>
      </c>
      <c r="G1384" s="946">
        <v>13000</v>
      </c>
      <c r="H1384" s="946">
        <v>12283.33</v>
      </c>
    </row>
    <row r="1385" spans="1:9" s="26" customFormat="1">
      <c r="A1385" s="947" t="s">
        <v>81</v>
      </c>
      <c r="B1385" s="948">
        <v>209.3</v>
      </c>
      <c r="C1385" s="948" t="s">
        <v>168</v>
      </c>
      <c r="D1385" s="947" t="s">
        <v>2</v>
      </c>
      <c r="E1385" s="950">
        <v>102</v>
      </c>
      <c r="F1385" s="950">
        <v>3</v>
      </c>
      <c r="G1385" s="951">
        <v>1600</v>
      </c>
      <c r="H1385" s="951">
        <v>1834.62</v>
      </c>
      <c r="I1385" s="18"/>
    </row>
    <row r="1386" spans="1:9">
      <c r="A1386" s="943" t="s">
        <v>81</v>
      </c>
      <c r="B1386" s="944">
        <v>210</v>
      </c>
      <c r="C1386" s="944" t="s">
        <v>169</v>
      </c>
      <c r="D1386" s="943" t="s">
        <v>2</v>
      </c>
      <c r="E1386" s="945">
        <v>10</v>
      </c>
      <c r="F1386" s="945">
        <v>1</v>
      </c>
      <c r="G1386" s="946">
        <v>6250</v>
      </c>
      <c r="H1386" s="946">
        <v>6170</v>
      </c>
    </row>
    <row r="1387" spans="1:9" s="26" customFormat="1">
      <c r="A1387" s="947" t="s">
        <v>81</v>
      </c>
      <c r="B1387" s="948">
        <v>210.02</v>
      </c>
      <c r="C1387" s="948" t="s">
        <v>170</v>
      </c>
      <c r="D1387" s="947" t="s">
        <v>2</v>
      </c>
      <c r="E1387" s="950">
        <v>6</v>
      </c>
      <c r="F1387" s="950">
        <v>2</v>
      </c>
      <c r="G1387" s="951">
        <v>2275</v>
      </c>
      <c r="H1387" s="951">
        <v>2408.33</v>
      </c>
      <c r="I1387" s="18"/>
    </row>
    <row r="1388" spans="1:9">
      <c r="A1388" s="943" t="s">
        <v>81</v>
      </c>
      <c r="B1388" s="944">
        <v>210.1</v>
      </c>
      <c r="C1388" s="944" t="s">
        <v>171</v>
      </c>
      <c r="D1388" s="943" t="s">
        <v>2</v>
      </c>
      <c r="E1388" s="945">
        <v>88</v>
      </c>
      <c r="F1388" s="945">
        <v>2</v>
      </c>
      <c r="G1388" s="946">
        <v>11850</v>
      </c>
      <c r="H1388" s="946">
        <v>12512.4</v>
      </c>
    </row>
    <row r="1389" spans="1:9" s="26" customFormat="1">
      <c r="A1389" s="947" t="s">
        <v>81</v>
      </c>
      <c r="B1389" s="948">
        <v>211</v>
      </c>
      <c r="C1389" s="948" t="s">
        <v>1299</v>
      </c>
      <c r="D1389" s="947" t="s">
        <v>2</v>
      </c>
      <c r="E1389" s="950">
        <v>4</v>
      </c>
      <c r="F1389" s="950">
        <v>1</v>
      </c>
      <c r="G1389" s="951">
        <v>11500</v>
      </c>
      <c r="H1389" s="951">
        <v>11500</v>
      </c>
      <c r="I1389" s="18"/>
    </row>
    <row r="1390" spans="1:9">
      <c r="A1390" s="943" t="s">
        <v>81</v>
      </c>
      <c r="B1390" s="944">
        <v>220</v>
      </c>
      <c r="C1390" s="944" t="s">
        <v>172</v>
      </c>
      <c r="D1390" s="943" t="s">
        <v>2</v>
      </c>
      <c r="E1390" s="952">
        <v>24589</v>
      </c>
      <c r="F1390" s="945">
        <v>70</v>
      </c>
      <c r="G1390" s="946">
        <v>550</v>
      </c>
      <c r="H1390" s="946">
        <v>533.52</v>
      </c>
    </row>
    <row r="1391" spans="1:9" s="26" customFormat="1">
      <c r="A1391" s="947" t="s">
        <v>81</v>
      </c>
      <c r="B1391" s="948">
        <v>220.2</v>
      </c>
      <c r="C1391" s="948" t="s">
        <v>173</v>
      </c>
      <c r="D1391" s="947" t="s">
        <v>17</v>
      </c>
      <c r="E1391" s="949">
        <v>11201</v>
      </c>
      <c r="F1391" s="950">
        <v>49</v>
      </c>
      <c r="G1391" s="951">
        <v>540.5</v>
      </c>
      <c r="H1391" s="951">
        <v>526</v>
      </c>
      <c r="I1391" s="18"/>
    </row>
    <row r="1392" spans="1:9">
      <c r="A1392" s="943" t="s">
        <v>81</v>
      </c>
      <c r="B1392" s="944">
        <v>220.3</v>
      </c>
      <c r="C1392" s="944" t="s">
        <v>174</v>
      </c>
      <c r="D1392" s="943" t="s">
        <v>2</v>
      </c>
      <c r="E1392" s="945">
        <v>717</v>
      </c>
      <c r="F1392" s="945">
        <v>33</v>
      </c>
      <c r="G1392" s="946">
        <v>1250</v>
      </c>
      <c r="H1392" s="946">
        <v>1243.5899999999999</v>
      </c>
    </row>
    <row r="1393" spans="1:9" s="26" customFormat="1">
      <c r="A1393" s="947" t="s">
        <v>81</v>
      </c>
      <c r="B1393" s="948">
        <v>220.5</v>
      </c>
      <c r="C1393" s="948" t="s">
        <v>175</v>
      </c>
      <c r="D1393" s="947" t="s">
        <v>2</v>
      </c>
      <c r="E1393" s="949">
        <v>2469</v>
      </c>
      <c r="F1393" s="950">
        <v>34</v>
      </c>
      <c r="G1393" s="951">
        <v>1000</v>
      </c>
      <c r="H1393" s="951">
        <v>929.18</v>
      </c>
      <c r="I1393" s="18"/>
    </row>
    <row r="1394" spans="1:9">
      <c r="A1394" s="943" t="s">
        <v>81</v>
      </c>
      <c r="B1394" s="944">
        <v>220.6</v>
      </c>
      <c r="C1394" s="944" t="s">
        <v>176</v>
      </c>
      <c r="D1394" s="943" t="s">
        <v>17</v>
      </c>
      <c r="E1394" s="945">
        <v>608</v>
      </c>
      <c r="F1394" s="945">
        <v>12</v>
      </c>
      <c r="G1394" s="946">
        <v>555</v>
      </c>
      <c r="H1394" s="946">
        <v>562.91</v>
      </c>
    </row>
    <row r="1395" spans="1:9" s="26" customFormat="1">
      <c r="A1395" s="947" t="s">
        <v>81</v>
      </c>
      <c r="B1395" s="948">
        <v>220.7</v>
      </c>
      <c r="C1395" s="948" t="s">
        <v>177</v>
      </c>
      <c r="D1395" s="947" t="s">
        <v>2</v>
      </c>
      <c r="E1395" s="949">
        <v>4032</v>
      </c>
      <c r="F1395" s="950">
        <v>41</v>
      </c>
      <c r="G1395" s="951">
        <v>500</v>
      </c>
      <c r="H1395" s="951">
        <v>520.37</v>
      </c>
      <c r="I1395" s="18"/>
    </row>
    <row r="1396" spans="1:9">
      <c r="A1396" s="943" t="s">
        <v>81</v>
      </c>
      <c r="B1396" s="944">
        <v>220.8</v>
      </c>
      <c r="C1396" s="944" t="s">
        <v>178</v>
      </c>
      <c r="D1396" s="943" t="s">
        <v>2</v>
      </c>
      <c r="E1396" s="952">
        <v>1032</v>
      </c>
      <c r="F1396" s="945">
        <v>20</v>
      </c>
      <c r="G1396" s="946">
        <v>1000</v>
      </c>
      <c r="H1396" s="946">
        <v>949.35</v>
      </c>
    </row>
    <row r="1397" spans="1:9" s="26" customFormat="1">
      <c r="A1397" s="947" t="s">
        <v>81</v>
      </c>
      <c r="B1397" s="948">
        <v>221</v>
      </c>
      <c r="C1397" s="948" t="s">
        <v>180</v>
      </c>
      <c r="D1397" s="947" t="s">
        <v>2</v>
      </c>
      <c r="E1397" s="949">
        <v>4058</v>
      </c>
      <c r="F1397" s="950">
        <v>47</v>
      </c>
      <c r="G1397" s="951">
        <v>1137.5</v>
      </c>
      <c r="H1397" s="951">
        <v>1115.6300000000001</v>
      </c>
      <c r="I1397" s="18"/>
    </row>
    <row r="1398" spans="1:9">
      <c r="A1398" s="943" t="s">
        <v>81</v>
      </c>
      <c r="B1398" s="944">
        <v>221.1</v>
      </c>
      <c r="C1398" s="944" t="s">
        <v>1300</v>
      </c>
      <c r="D1398" s="943" t="s">
        <v>2</v>
      </c>
      <c r="E1398" s="952">
        <v>2492</v>
      </c>
      <c r="F1398" s="945">
        <v>32</v>
      </c>
      <c r="G1398" s="946">
        <v>1150</v>
      </c>
      <c r="H1398" s="946">
        <v>1071.1099999999999</v>
      </c>
    </row>
    <row r="1399" spans="1:9" s="26" customFormat="1">
      <c r="A1399" s="947" t="s">
        <v>81</v>
      </c>
      <c r="B1399" s="948">
        <v>222</v>
      </c>
      <c r="C1399" s="948" t="s">
        <v>181</v>
      </c>
      <c r="D1399" s="947" t="s">
        <v>2</v>
      </c>
      <c r="E1399" s="949">
        <v>2486</v>
      </c>
      <c r="F1399" s="950">
        <v>20</v>
      </c>
      <c r="G1399" s="951">
        <v>1080</v>
      </c>
      <c r="H1399" s="951">
        <v>1059.92</v>
      </c>
      <c r="I1399" s="18"/>
    </row>
    <row r="1400" spans="1:9">
      <c r="A1400" s="943" t="s">
        <v>81</v>
      </c>
      <c r="B1400" s="944">
        <v>222.1</v>
      </c>
      <c r="C1400" s="944" t="s">
        <v>182</v>
      </c>
      <c r="D1400" s="943" t="s">
        <v>2</v>
      </c>
      <c r="E1400" s="952">
        <v>7522</v>
      </c>
      <c r="F1400" s="945">
        <v>50</v>
      </c>
      <c r="G1400" s="946">
        <v>1250</v>
      </c>
      <c r="H1400" s="946">
        <v>1254.1300000000001</v>
      </c>
    </row>
    <row r="1401" spans="1:9" s="26" customFormat="1">
      <c r="A1401" s="947" t="s">
        <v>81</v>
      </c>
      <c r="B1401" s="948">
        <v>222.2</v>
      </c>
      <c r="C1401" s="948" t="s">
        <v>183</v>
      </c>
      <c r="D1401" s="947" t="s">
        <v>2</v>
      </c>
      <c r="E1401" s="950">
        <v>255</v>
      </c>
      <c r="F1401" s="950">
        <v>16</v>
      </c>
      <c r="G1401" s="951">
        <v>1200</v>
      </c>
      <c r="H1401" s="951">
        <v>1188.26</v>
      </c>
      <c r="I1401" s="18"/>
    </row>
    <row r="1402" spans="1:9">
      <c r="A1402" s="943" t="s">
        <v>81</v>
      </c>
      <c r="B1402" s="944">
        <v>222.3</v>
      </c>
      <c r="C1402" s="944" t="s">
        <v>29</v>
      </c>
      <c r="D1402" s="943" t="s">
        <v>2</v>
      </c>
      <c r="E1402" s="952">
        <v>5996</v>
      </c>
      <c r="F1402" s="945">
        <v>23</v>
      </c>
      <c r="G1402" s="946">
        <v>1200</v>
      </c>
      <c r="H1402" s="946">
        <v>1148.8</v>
      </c>
    </row>
    <row r="1403" spans="1:9" s="26" customFormat="1">
      <c r="A1403" s="947" t="s">
        <v>81</v>
      </c>
      <c r="B1403" s="948">
        <v>222.4</v>
      </c>
      <c r="C1403" s="948" t="s">
        <v>4031</v>
      </c>
      <c r="D1403" s="947" t="s">
        <v>2</v>
      </c>
      <c r="E1403" s="950">
        <v>699</v>
      </c>
      <c r="F1403" s="950">
        <v>5</v>
      </c>
      <c r="G1403" s="951">
        <v>2450</v>
      </c>
      <c r="H1403" s="951">
        <v>2532.87</v>
      </c>
      <c r="I1403" s="18"/>
    </row>
    <row r="1404" spans="1:9">
      <c r="A1404" s="943" t="s">
        <v>81</v>
      </c>
      <c r="B1404" s="944">
        <v>223.1</v>
      </c>
      <c r="C1404" s="944" t="s">
        <v>184</v>
      </c>
      <c r="D1404" s="943" t="s">
        <v>2</v>
      </c>
      <c r="E1404" s="945">
        <v>932</v>
      </c>
      <c r="F1404" s="945">
        <v>15</v>
      </c>
      <c r="G1404" s="946">
        <v>150</v>
      </c>
      <c r="H1404" s="946">
        <v>145.31</v>
      </c>
    </row>
    <row r="1405" spans="1:9" s="26" customFormat="1">
      <c r="A1405" s="947" t="s">
        <v>81</v>
      </c>
      <c r="B1405" s="948">
        <v>223.2</v>
      </c>
      <c r="C1405" s="948" t="s">
        <v>185</v>
      </c>
      <c r="D1405" s="947" t="s">
        <v>2</v>
      </c>
      <c r="E1405" s="949">
        <v>5792</v>
      </c>
      <c r="F1405" s="950">
        <v>42</v>
      </c>
      <c r="G1405" s="951">
        <v>100</v>
      </c>
      <c r="H1405" s="951">
        <v>110.35</v>
      </c>
      <c r="I1405" s="18"/>
    </row>
    <row r="1406" spans="1:9">
      <c r="A1406" s="943" t="s">
        <v>81</v>
      </c>
      <c r="B1406" s="944">
        <v>224.1</v>
      </c>
      <c r="C1406" s="944" t="s">
        <v>186</v>
      </c>
      <c r="D1406" s="943" t="s">
        <v>2</v>
      </c>
      <c r="E1406" s="945">
        <v>66</v>
      </c>
      <c r="F1406" s="945">
        <v>5</v>
      </c>
      <c r="G1406" s="946">
        <v>575</v>
      </c>
      <c r="H1406" s="946">
        <v>585.95000000000005</v>
      </c>
    </row>
    <row r="1407" spans="1:9" s="26" customFormat="1">
      <c r="A1407" s="947" t="s">
        <v>81</v>
      </c>
      <c r="B1407" s="948">
        <v>224.12</v>
      </c>
      <c r="C1407" s="948" t="s">
        <v>187</v>
      </c>
      <c r="D1407" s="947" t="s">
        <v>2</v>
      </c>
      <c r="E1407" s="949">
        <v>2924</v>
      </c>
      <c r="F1407" s="950">
        <v>19</v>
      </c>
      <c r="G1407" s="951">
        <v>600</v>
      </c>
      <c r="H1407" s="951">
        <v>622.82000000000005</v>
      </c>
      <c r="I1407" s="18"/>
    </row>
    <row r="1408" spans="1:9">
      <c r="A1408" s="943" t="s">
        <v>81</v>
      </c>
      <c r="B1408" s="944">
        <v>224.18</v>
      </c>
      <c r="C1408" s="944" t="s">
        <v>188</v>
      </c>
      <c r="D1408" s="943" t="s">
        <v>2</v>
      </c>
      <c r="E1408" s="945">
        <v>4</v>
      </c>
      <c r="F1408" s="945">
        <v>1</v>
      </c>
      <c r="G1408" s="946">
        <v>937.5</v>
      </c>
      <c r="H1408" s="946">
        <v>898.75</v>
      </c>
    </row>
    <row r="1409" spans="1:9" s="26" customFormat="1">
      <c r="A1409" s="947" t="s">
        <v>81</v>
      </c>
      <c r="B1409" s="948">
        <v>227.3</v>
      </c>
      <c r="C1409" s="948" t="s">
        <v>189</v>
      </c>
      <c r="D1409" s="947" t="s">
        <v>4</v>
      </c>
      <c r="E1409" s="949">
        <v>27597</v>
      </c>
      <c r="F1409" s="950">
        <v>65</v>
      </c>
      <c r="G1409" s="951">
        <v>350</v>
      </c>
      <c r="H1409" s="951">
        <v>345.66</v>
      </c>
      <c r="I1409" s="18"/>
    </row>
    <row r="1410" spans="1:9">
      <c r="A1410" s="943" t="s">
        <v>81</v>
      </c>
      <c r="B1410" s="944">
        <v>227.31</v>
      </c>
      <c r="C1410" s="944" t="s">
        <v>190</v>
      </c>
      <c r="D1410" s="943" t="s">
        <v>17</v>
      </c>
      <c r="E1410" s="952">
        <v>388724</v>
      </c>
      <c r="F1410" s="945">
        <v>59</v>
      </c>
      <c r="G1410" s="946">
        <v>14.17</v>
      </c>
      <c r="H1410" s="946">
        <v>12.84</v>
      </c>
    </row>
    <row r="1411" spans="1:9" s="26" customFormat="1">
      <c r="A1411" s="947" t="s">
        <v>81</v>
      </c>
      <c r="B1411" s="948">
        <v>227.4</v>
      </c>
      <c r="C1411" s="948" t="s">
        <v>191</v>
      </c>
      <c r="D1411" s="947" t="s">
        <v>3</v>
      </c>
      <c r="E1411" s="949">
        <v>2516</v>
      </c>
      <c r="F1411" s="950">
        <v>22</v>
      </c>
      <c r="G1411" s="951">
        <v>140</v>
      </c>
      <c r="H1411" s="951">
        <v>131.03</v>
      </c>
      <c r="I1411" s="18"/>
    </row>
    <row r="1412" spans="1:9">
      <c r="A1412" s="943" t="s">
        <v>81</v>
      </c>
      <c r="B1412" s="944">
        <v>230.21199999999999</v>
      </c>
      <c r="C1412" s="944" t="s">
        <v>2092</v>
      </c>
      <c r="D1412" s="943" t="s">
        <v>17</v>
      </c>
      <c r="E1412" s="945">
        <v>70</v>
      </c>
      <c r="F1412" s="945">
        <v>1</v>
      </c>
      <c r="G1412" s="946">
        <v>215</v>
      </c>
      <c r="H1412" s="946">
        <v>220.71</v>
      </c>
    </row>
    <row r="1413" spans="1:9" s="26" customFormat="1">
      <c r="A1413" s="947" t="s">
        <v>81</v>
      </c>
      <c r="B1413" s="948">
        <v>230.21799999999999</v>
      </c>
      <c r="C1413" s="948" t="s">
        <v>2094</v>
      </c>
      <c r="D1413" s="947" t="s">
        <v>17</v>
      </c>
      <c r="E1413" s="950">
        <v>40</v>
      </c>
      <c r="F1413" s="950">
        <v>1</v>
      </c>
      <c r="G1413" s="951">
        <v>300</v>
      </c>
      <c r="H1413" s="951">
        <v>286.2</v>
      </c>
      <c r="I1413" s="18"/>
    </row>
    <row r="1414" spans="1:9">
      <c r="A1414" s="943" t="s">
        <v>81</v>
      </c>
      <c r="B1414" s="944">
        <v>234.12</v>
      </c>
      <c r="C1414" s="944" t="s">
        <v>195</v>
      </c>
      <c r="D1414" s="943" t="s">
        <v>17</v>
      </c>
      <c r="E1414" s="952">
        <v>160990</v>
      </c>
      <c r="F1414" s="945">
        <v>21</v>
      </c>
      <c r="G1414" s="946">
        <v>135</v>
      </c>
      <c r="H1414" s="946">
        <v>133.6</v>
      </c>
    </row>
    <row r="1415" spans="1:9" s="26" customFormat="1">
      <c r="A1415" s="947" t="s">
        <v>81</v>
      </c>
      <c r="B1415" s="948">
        <v>234.15</v>
      </c>
      <c r="C1415" s="948" t="s">
        <v>196</v>
      </c>
      <c r="D1415" s="947" t="s">
        <v>17</v>
      </c>
      <c r="E1415" s="949">
        <v>28770</v>
      </c>
      <c r="F1415" s="950">
        <v>8</v>
      </c>
      <c r="G1415" s="951">
        <v>150</v>
      </c>
      <c r="H1415" s="951">
        <v>149.37</v>
      </c>
      <c r="I1415" s="18"/>
    </row>
    <row r="1416" spans="1:9">
      <c r="A1416" s="943" t="s">
        <v>81</v>
      </c>
      <c r="B1416" s="944">
        <v>234.18</v>
      </c>
      <c r="C1416" s="944" t="s">
        <v>197</v>
      </c>
      <c r="D1416" s="943" t="s">
        <v>17</v>
      </c>
      <c r="E1416" s="952">
        <v>30754</v>
      </c>
      <c r="F1416" s="945">
        <v>11</v>
      </c>
      <c r="G1416" s="946">
        <v>160</v>
      </c>
      <c r="H1416" s="946">
        <v>161.63999999999999</v>
      </c>
    </row>
    <row r="1417" spans="1:9" s="26" customFormat="1">
      <c r="A1417" s="947" t="s">
        <v>81</v>
      </c>
      <c r="B1417" s="948">
        <v>234.24</v>
      </c>
      <c r="C1417" s="948" t="s">
        <v>198</v>
      </c>
      <c r="D1417" s="947" t="s">
        <v>17</v>
      </c>
      <c r="E1417" s="949">
        <v>25554</v>
      </c>
      <c r="F1417" s="950">
        <v>12</v>
      </c>
      <c r="G1417" s="951">
        <v>200</v>
      </c>
      <c r="H1417" s="951">
        <v>203.32</v>
      </c>
      <c r="I1417" s="18"/>
    </row>
    <row r="1418" spans="1:9">
      <c r="A1418" s="943" t="s">
        <v>81</v>
      </c>
      <c r="B1418" s="944">
        <v>234.3</v>
      </c>
      <c r="C1418" s="944" t="s">
        <v>199</v>
      </c>
      <c r="D1418" s="943" t="s">
        <v>17</v>
      </c>
      <c r="E1418" s="952">
        <v>4955</v>
      </c>
      <c r="F1418" s="945">
        <v>3</v>
      </c>
      <c r="G1418" s="946">
        <v>360</v>
      </c>
      <c r="H1418" s="946">
        <v>347.64</v>
      </c>
    </row>
    <row r="1419" spans="1:9" s="26" customFormat="1">
      <c r="A1419" s="947" t="s">
        <v>81</v>
      </c>
      <c r="B1419" s="948">
        <v>234.36</v>
      </c>
      <c r="C1419" s="948" t="s">
        <v>200</v>
      </c>
      <c r="D1419" s="947" t="s">
        <v>17</v>
      </c>
      <c r="E1419" s="949">
        <v>7530</v>
      </c>
      <c r="F1419" s="950">
        <v>4</v>
      </c>
      <c r="G1419" s="951">
        <v>295</v>
      </c>
      <c r="H1419" s="951">
        <v>284.55</v>
      </c>
      <c r="I1419" s="18"/>
    </row>
    <row r="1420" spans="1:9">
      <c r="A1420" s="943" t="s">
        <v>81</v>
      </c>
      <c r="B1420" s="944">
        <v>235.12</v>
      </c>
      <c r="C1420" s="944" t="s">
        <v>201</v>
      </c>
      <c r="D1420" s="943" t="s">
        <v>2</v>
      </c>
      <c r="E1420" s="945">
        <v>120</v>
      </c>
      <c r="F1420" s="945">
        <v>9</v>
      </c>
      <c r="G1420" s="946">
        <v>1325</v>
      </c>
      <c r="H1420" s="946">
        <v>1305.7</v>
      </c>
    </row>
    <row r="1421" spans="1:9" s="26" customFormat="1">
      <c r="A1421" s="947" t="s">
        <v>81</v>
      </c>
      <c r="B1421" s="948">
        <v>235.15</v>
      </c>
      <c r="C1421" s="948" t="s">
        <v>202</v>
      </c>
      <c r="D1421" s="947" t="s">
        <v>2</v>
      </c>
      <c r="E1421" s="950">
        <v>34</v>
      </c>
      <c r="F1421" s="950">
        <v>2</v>
      </c>
      <c r="G1421" s="951">
        <v>1900</v>
      </c>
      <c r="H1421" s="951">
        <v>1920</v>
      </c>
      <c r="I1421" s="18"/>
    </row>
    <row r="1422" spans="1:9">
      <c r="A1422" s="943" t="s">
        <v>81</v>
      </c>
      <c r="B1422" s="944">
        <v>235.18</v>
      </c>
      <c r="C1422" s="944" t="s">
        <v>203</v>
      </c>
      <c r="D1422" s="943" t="s">
        <v>2</v>
      </c>
      <c r="E1422" s="945">
        <v>76</v>
      </c>
      <c r="F1422" s="945">
        <v>6</v>
      </c>
      <c r="G1422" s="946">
        <v>1525</v>
      </c>
      <c r="H1422" s="946">
        <v>1867.39</v>
      </c>
    </row>
    <row r="1423" spans="1:9" s="26" customFormat="1">
      <c r="A1423" s="947" t="s">
        <v>81</v>
      </c>
      <c r="B1423" s="948">
        <v>235.24</v>
      </c>
      <c r="C1423" s="948" t="s">
        <v>204</v>
      </c>
      <c r="D1423" s="947" t="s">
        <v>2</v>
      </c>
      <c r="E1423" s="950">
        <v>40</v>
      </c>
      <c r="F1423" s="950">
        <v>6</v>
      </c>
      <c r="G1423" s="951">
        <v>1725</v>
      </c>
      <c r="H1423" s="951">
        <v>1836.11</v>
      </c>
      <c r="I1423" s="18"/>
    </row>
    <row r="1424" spans="1:9">
      <c r="A1424" s="943" t="s">
        <v>81</v>
      </c>
      <c r="B1424" s="944">
        <v>235.3</v>
      </c>
      <c r="C1424" s="944" t="s">
        <v>205</v>
      </c>
      <c r="D1424" s="943" t="s">
        <v>2</v>
      </c>
      <c r="E1424" s="945">
        <v>3</v>
      </c>
      <c r="F1424" s="945">
        <v>1</v>
      </c>
      <c r="G1424" s="946">
        <v>3800</v>
      </c>
      <c r="H1424" s="946">
        <v>4200</v>
      </c>
    </row>
    <row r="1425" spans="1:9" s="26" customFormat="1">
      <c r="A1425" s="947" t="s">
        <v>81</v>
      </c>
      <c r="B1425" s="948">
        <v>235.36</v>
      </c>
      <c r="C1425" s="948" t="s">
        <v>206</v>
      </c>
      <c r="D1425" s="947" t="s">
        <v>2</v>
      </c>
      <c r="E1425" s="950">
        <v>14</v>
      </c>
      <c r="F1425" s="950">
        <v>2</v>
      </c>
      <c r="G1425" s="951">
        <v>2300</v>
      </c>
      <c r="H1425" s="951">
        <v>2424.83</v>
      </c>
      <c r="I1425" s="18"/>
    </row>
    <row r="1426" spans="1:9">
      <c r="A1426" s="943" t="s">
        <v>81</v>
      </c>
      <c r="B1426" s="944">
        <v>238.1</v>
      </c>
      <c r="C1426" s="944" t="s">
        <v>207</v>
      </c>
      <c r="D1426" s="943" t="s">
        <v>17</v>
      </c>
      <c r="E1426" s="952">
        <v>11757</v>
      </c>
      <c r="F1426" s="945">
        <v>20</v>
      </c>
      <c r="G1426" s="946">
        <v>245</v>
      </c>
      <c r="H1426" s="946">
        <v>231.71</v>
      </c>
    </row>
    <row r="1427" spans="1:9" s="26" customFormat="1">
      <c r="A1427" s="947" t="s">
        <v>81</v>
      </c>
      <c r="B1427" s="948">
        <v>238.12</v>
      </c>
      <c r="C1427" s="948" t="s">
        <v>208</v>
      </c>
      <c r="D1427" s="947" t="s">
        <v>17</v>
      </c>
      <c r="E1427" s="949">
        <v>16052</v>
      </c>
      <c r="F1427" s="950">
        <v>19</v>
      </c>
      <c r="G1427" s="951">
        <v>270</v>
      </c>
      <c r="H1427" s="951">
        <v>256.8</v>
      </c>
      <c r="I1427" s="18"/>
    </row>
    <row r="1428" spans="1:9">
      <c r="A1428" s="943" t="s">
        <v>81</v>
      </c>
      <c r="B1428" s="944">
        <v>238.16</v>
      </c>
      <c r="C1428" s="944" t="s">
        <v>209</v>
      </c>
      <c r="D1428" s="943" t="s">
        <v>17</v>
      </c>
      <c r="E1428" s="945">
        <v>60</v>
      </c>
      <c r="F1428" s="945">
        <v>1</v>
      </c>
      <c r="G1428" s="946">
        <v>275</v>
      </c>
      <c r="H1428" s="946">
        <v>275</v>
      </c>
    </row>
    <row r="1429" spans="1:9" s="26" customFormat="1">
      <c r="A1429" s="947" t="s">
        <v>81</v>
      </c>
      <c r="B1429" s="948">
        <v>238.18</v>
      </c>
      <c r="C1429" s="948" t="s">
        <v>2139</v>
      </c>
      <c r="D1429" s="947" t="s">
        <v>17</v>
      </c>
      <c r="E1429" s="950">
        <v>800</v>
      </c>
      <c r="F1429" s="950">
        <v>1</v>
      </c>
      <c r="G1429" s="951">
        <v>235</v>
      </c>
      <c r="H1429" s="951">
        <v>241.5</v>
      </c>
      <c r="I1429" s="18"/>
    </row>
    <row r="1430" spans="1:9">
      <c r="A1430" s="943" t="s">
        <v>81</v>
      </c>
      <c r="B1430" s="944">
        <v>238.24</v>
      </c>
      <c r="C1430" s="944" t="s">
        <v>210</v>
      </c>
      <c r="D1430" s="943" t="s">
        <v>17</v>
      </c>
      <c r="E1430" s="945">
        <v>12</v>
      </c>
      <c r="F1430" s="945">
        <v>1</v>
      </c>
      <c r="G1430" s="946">
        <v>410</v>
      </c>
      <c r="H1430" s="946">
        <v>410</v>
      </c>
    </row>
    <row r="1431" spans="1:9" s="26" customFormat="1">
      <c r="A1431" s="947" t="s">
        <v>81</v>
      </c>
      <c r="B1431" s="948">
        <v>241.12</v>
      </c>
      <c r="C1431" s="948" t="s">
        <v>3996</v>
      </c>
      <c r="D1431" s="947" t="s">
        <v>17</v>
      </c>
      <c r="E1431" s="949">
        <v>58022</v>
      </c>
      <c r="F1431" s="950">
        <v>27</v>
      </c>
      <c r="G1431" s="951">
        <v>140</v>
      </c>
      <c r="H1431" s="951">
        <v>136.94</v>
      </c>
      <c r="I1431" s="18"/>
    </row>
    <row r="1432" spans="1:9">
      <c r="A1432" s="943" t="s">
        <v>81</v>
      </c>
      <c r="B1432" s="944">
        <v>241.15</v>
      </c>
      <c r="C1432" s="944" t="s">
        <v>3997</v>
      </c>
      <c r="D1432" s="943" t="s">
        <v>17</v>
      </c>
      <c r="E1432" s="952">
        <v>10422</v>
      </c>
      <c r="F1432" s="945">
        <v>13</v>
      </c>
      <c r="G1432" s="946">
        <v>165</v>
      </c>
      <c r="H1432" s="946">
        <v>158.27000000000001</v>
      </c>
    </row>
    <row r="1433" spans="1:9" s="26" customFormat="1">
      <c r="A1433" s="947" t="s">
        <v>81</v>
      </c>
      <c r="B1433" s="948">
        <v>241.18</v>
      </c>
      <c r="C1433" s="948" t="s">
        <v>3998</v>
      </c>
      <c r="D1433" s="947" t="s">
        <v>17</v>
      </c>
      <c r="E1433" s="949">
        <v>5711</v>
      </c>
      <c r="F1433" s="950">
        <v>8</v>
      </c>
      <c r="G1433" s="951">
        <v>190</v>
      </c>
      <c r="H1433" s="951">
        <v>182.64</v>
      </c>
      <c r="I1433" s="18"/>
    </row>
    <row r="1434" spans="1:9">
      <c r="A1434" s="943" t="s">
        <v>81</v>
      </c>
      <c r="B1434" s="944">
        <v>241.24</v>
      </c>
      <c r="C1434" s="944" t="s">
        <v>3999</v>
      </c>
      <c r="D1434" s="943" t="s">
        <v>17</v>
      </c>
      <c r="E1434" s="945">
        <v>620</v>
      </c>
      <c r="F1434" s="945">
        <v>2</v>
      </c>
      <c r="G1434" s="946">
        <v>230</v>
      </c>
      <c r="H1434" s="946">
        <v>233.89</v>
      </c>
    </row>
    <row r="1435" spans="1:9" s="26" customFormat="1">
      <c r="A1435" s="947" t="s">
        <v>81</v>
      </c>
      <c r="B1435" s="948">
        <v>241.36</v>
      </c>
      <c r="C1435" s="948" t="s">
        <v>4000</v>
      </c>
      <c r="D1435" s="947" t="s">
        <v>17</v>
      </c>
      <c r="E1435" s="950">
        <v>400</v>
      </c>
      <c r="F1435" s="950">
        <v>2</v>
      </c>
      <c r="G1435" s="951">
        <v>500</v>
      </c>
      <c r="H1435" s="951">
        <v>536.91999999999996</v>
      </c>
      <c r="I1435" s="18"/>
    </row>
    <row r="1436" spans="1:9">
      <c r="A1436" s="943" t="s">
        <v>81</v>
      </c>
      <c r="B1436" s="944">
        <v>241.42</v>
      </c>
      <c r="C1436" s="944" t="s">
        <v>4032</v>
      </c>
      <c r="D1436" s="943" t="s">
        <v>17</v>
      </c>
      <c r="E1436" s="945">
        <v>720</v>
      </c>
      <c r="F1436" s="945">
        <v>2</v>
      </c>
      <c r="G1436" s="946">
        <v>350</v>
      </c>
      <c r="H1436" s="946">
        <v>416.26</v>
      </c>
    </row>
    <row r="1437" spans="1:9" s="26" customFormat="1">
      <c r="A1437" s="947" t="s">
        <v>81</v>
      </c>
      <c r="B1437" s="948">
        <v>242.12</v>
      </c>
      <c r="C1437" s="948" t="s">
        <v>219</v>
      </c>
      <c r="D1437" s="947" t="s">
        <v>2</v>
      </c>
      <c r="E1437" s="950">
        <v>125</v>
      </c>
      <c r="F1437" s="950">
        <v>10</v>
      </c>
      <c r="G1437" s="951">
        <v>1750</v>
      </c>
      <c r="H1437" s="951">
        <v>1683.6</v>
      </c>
      <c r="I1437" s="18"/>
    </row>
    <row r="1438" spans="1:9">
      <c r="A1438" s="943" t="s">
        <v>81</v>
      </c>
      <c r="B1438" s="944">
        <v>242.15</v>
      </c>
      <c r="C1438" s="944" t="s">
        <v>220</v>
      </c>
      <c r="D1438" s="943" t="s">
        <v>2</v>
      </c>
      <c r="E1438" s="945">
        <v>15</v>
      </c>
      <c r="F1438" s="945">
        <v>2</v>
      </c>
      <c r="G1438" s="946">
        <v>2650</v>
      </c>
      <c r="H1438" s="946">
        <v>2544.44</v>
      </c>
    </row>
    <row r="1439" spans="1:9" s="26" customFormat="1">
      <c r="A1439" s="947" t="s">
        <v>81</v>
      </c>
      <c r="B1439" s="948">
        <v>242.18</v>
      </c>
      <c r="C1439" s="948" t="s">
        <v>221</v>
      </c>
      <c r="D1439" s="947" t="s">
        <v>2</v>
      </c>
      <c r="E1439" s="950">
        <v>12</v>
      </c>
      <c r="F1439" s="950">
        <v>2</v>
      </c>
      <c r="G1439" s="951">
        <v>2000</v>
      </c>
      <c r="H1439" s="951">
        <v>1943.65</v>
      </c>
      <c r="I1439" s="18"/>
    </row>
    <row r="1440" spans="1:9">
      <c r="A1440" s="943" t="s">
        <v>81</v>
      </c>
      <c r="B1440" s="944">
        <v>242.24</v>
      </c>
      <c r="C1440" s="944" t="s">
        <v>222</v>
      </c>
      <c r="D1440" s="943" t="s">
        <v>2</v>
      </c>
      <c r="E1440" s="945">
        <v>36</v>
      </c>
      <c r="F1440" s="945">
        <v>3</v>
      </c>
      <c r="G1440" s="946">
        <v>2000</v>
      </c>
      <c r="H1440" s="946">
        <v>2350</v>
      </c>
    </row>
    <row r="1441" spans="1:9" s="26" customFormat="1">
      <c r="A1441" s="947" t="s">
        <v>81</v>
      </c>
      <c r="B1441" s="948">
        <v>242.42</v>
      </c>
      <c r="C1441" s="948" t="s">
        <v>1310</v>
      </c>
      <c r="D1441" s="947" t="s">
        <v>2</v>
      </c>
      <c r="E1441" s="950">
        <v>6</v>
      </c>
      <c r="F1441" s="950">
        <v>1</v>
      </c>
      <c r="G1441" s="951">
        <v>3750</v>
      </c>
      <c r="H1441" s="951">
        <v>3831.49</v>
      </c>
      <c r="I1441" s="18"/>
    </row>
    <row r="1442" spans="1:9">
      <c r="A1442" s="943" t="s">
        <v>81</v>
      </c>
      <c r="B1442" s="944">
        <v>243.12</v>
      </c>
      <c r="C1442" s="944" t="s">
        <v>226</v>
      </c>
      <c r="D1442" s="943" t="s">
        <v>17</v>
      </c>
      <c r="E1442" s="952">
        <v>8060</v>
      </c>
      <c r="F1442" s="945">
        <v>4</v>
      </c>
      <c r="G1442" s="946">
        <v>190</v>
      </c>
      <c r="H1442" s="946">
        <v>182.3</v>
      </c>
    </row>
    <row r="1443" spans="1:9" s="26" customFormat="1">
      <c r="A1443" s="947" t="s">
        <v>81</v>
      </c>
      <c r="B1443" s="948">
        <v>243.15</v>
      </c>
      <c r="C1443" s="948" t="s">
        <v>1311</v>
      </c>
      <c r="D1443" s="947" t="s">
        <v>17</v>
      </c>
      <c r="E1443" s="949">
        <v>2460</v>
      </c>
      <c r="F1443" s="950">
        <v>1</v>
      </c>
      <c r="G1443" s="951">
        <v>157.5</v>
      </c>
      <c r="H1443" s="951">
        <v>152.87</v>
      </c>
      <c r="I1443" s="18"/>
    </row>
    <row r="1444" spans="1:9">
      <c r="A1444" s="943" t="s">
        <v>81</v>
      </c>
      <c r="B1444" s="944">
        <v>243.24</v>
      </c>
      <c r="C1444" s="944" t="s">
        <v>228</v>
      </c>
      <c r="D1444" s="943" t="s">
        <v>17</v>
      </c>
      <c r="E1444" s="945">
        <v>720</v>
      </c>
      <c r="F1444" s="945">
        <v>2</v>
      </c>
      <c r="G1444" s="946">
        <v>187.5</v>
      </c>
      <c r="H1444" s="946">
        <v>236</v>
      </c>
    </row>
    <row r="1445" spans="1:9" s="26" customFormat="1">
      <c r="A1445" s="947" t="s">
        <v>81</v>
      </c>
      <c r="B1445" s="948">
        <v>244.12</v>
      </c>
      <c r="C1445" s="948" t="s">
        <v>229</v>
      </c>
      <c r="D1445" s="947" t="s">
        <v>17</v>
      </c>
      <c r="E1445" s="949">
        <v>35118</v>
      </c>
      <c r="F1445" s="950">
        <v>14</v>
      </c>
      <c r="G1445" s="951">
        <v>150</v>
      </c>
      <c r="H1445" s="951">
        <v>139.11000000000001</v>
      </c>
      <c r="I1445" s="18"/>
    </row>
    <row r="1446" spans="1:9">
      <c r="A1446" s="943" t="s">
        <v>81</v>
      </c>
      <c r="B1446" s="944">
        <v>244.15</v>
      </c>
      <c r="C1446" s="944" t="s">
        <v>230</v>
      </c>
      <c r="D1446" s="943" t="s">
        <v>17</v>
      </c>
      <c r="E1446" s="952">
        <v>6340</v>
      </c>
      <c r="F1446" s="945">
        <v>4</v>
      </c>
      <c r="G1446" s="946">
        <v>135</v>
      </c>
      <c r="H1446" s="946">
        <v>131.87</v>
      </c>
    </row>
    <row r="1447" spans="1:9" s="26" customFormat="1">
      <c r="A1447" s="947" t="s">
        <v>81</v>
      </c>
      <c r="B1447" s="948">
        <v>244.18</v>
      </c>
      <c r="C1447" s="948" t="s">
        <v>231</v>
      </c>
      <c r="D1447" s="947" t="s">
        <v>17</v>
      </c>
      <c r="E1447" s="949">
        <v>11875</v>
      </c>
      <c r="F1447" s="950">
        <v>3</v>
      </c>
      <c r="G1447" s="951">
        <v>140</v>
      </c>
      <c r="H1447" s="951">
        <v>140.69999999999999</v>
      </c>
      <c r="I1447" s="18"/>
    </row>
    <row r="1448" spans="1:9">
      <c r="A1448" s="943" t="s">
        <v>81</v>
      </c>
      <c r="B1448" s="944">
        <v>244.24</v>
      </c>
      <c r="C1448" s="944" t="s">
        <v>232</v>
      </c>
      <c r="D1448" s="943" t="s">
        <v>17</v>
      </c>
      <c r="E1448" s="952">
        <v>4230</v>
      </c>
      <c r="F1448" s="945">
        <v>3</v>
      </c>
      <c r="G1448" s="946">
        <v>180</v>
      </c>
      <c r="H1448" s="946">
        <v>182.15</v>
      </c>
    </row>
    <row r="1449" spans="1:9" s="26" customFormat="1">
      <c r="A1449" s="947" t="s">
        <v>81</v>
      </c>
      <c r="B1449" s="948">
        <v>250.06</v>
      </c>
      <c r="C1449" s="948" t="s">
        <v>235</v>
      </c>
      <c r="D1449" s="947" t="s">
        <v>17</v>
      </c>
      <c r="E1449" s="949">
        <v>1829</v>
      </c>
      <c r="F1449" s="950">
        <v>3</v>
      </c>
      <c r="G1449" s="951">
        <v>175</v>
      </c>
      <c r="H1449" s="951">
        <v>174.75</v>
      </c>
      <c r="I1449" s="18"/>
    </row>
    <row r="1450" spans="1:9">
      <c r="A1450" s="943" t="s">
        <v>81</v>
      </c>
      <c r="B1450" s="944">
        <v>250.08</v>
      </c>
      <c r="C1450" s="944" t="s">
        <v>236</v>
      </c>
      <c r="D1450" s="943" t="s">
        <v>17</v>
      </c>
      <c r="E1450" s="952">
        <v>2220</v>
      </c>
      <c r="F1450" s="945">
        <v>4</v>
      </c>
      <c r="G1450" s="946">
        <v>175</v>
      </c>
      <c r="H1450" s="946">
        <v>176.01</v>
      </c>
    </row>
    <row r="1451" spans="1:9" s="26" customFormat="1">
      <c r="A1451" s="947" t="s">
        <v>81</v>
      </c>
      <c r="B1451" s="948">
        <v>250.1</v>
      </c>
      <c r="C1451" s="948" t="s">
        <v>1312</v>
      </c>
      <c r="D1451" s="947" t="s">
        <v>17</v>
      </c>
      <c r="E1451" s="950">
        <v>240</v>
      </c>
      <c r="F1451" s="950">
        <v>1</v>
      </c>
      <c r="G1451" s="951">
        <v>200</v>
      </c>
      <c r="H1451" s="951">
        <v>200</v>
      </c>
      <c r="I1451" s="18"/>
    </row>
    <row r="1452" spans="1:9">
      <c r="A1452" s="943" t="s">
        <v>81</v>
      </c>
      <c r="B1452" s="944">
        <v>250.12</v>
      </c>
      <c r="C1452" s="944" t="s">
        <v>2186</v>
      </c>
      <c r="D1452" s="943" t="s">
        <v>17</v>
      </c>
      <c r="E1452" s="952">
        <v>9500</v>
      </c>
      <c r="F1452" s="945">
        <v>2</v>
      </c>
      <c r="G1452" s="946">
        <v>312.72000000000003</v>
      </c>
      <c r="H1452" s="946">
        <v>279.02999999999997</v>
      </c>
    </row>
    <row r="1453" spans="1:9" s="26" customFormat="1">
      <c r="A1453" s="947" t="s">
        <v>81</v>
      </c>
      <c r="B1453" s="948">
        <v>252.11199999999999</v>
      </c>
      <c r="C1453" s="948" t="s">
        <v>237</v>
      </c>
      <c r="D1453" s="947" t="s">
        <v>2</v>
      </c>
      <c r="E1453" s="950">
        <v>14</v>
      </c>
      <c r="F1453" s="950">
        <v>1</v>
      </c>
      <c r="G1453" s="951">
        <v>1100</v>
      </c>
      <c r="H1453" s="951">
        <v>1050</v>
      </c>
      <c r="I1453" s="18"/>
    </row>
    <row r="1454" spans="1:9">
      <c r="A1454" s="943" t="s">
        <v>81</v>
      </c>
      <c r="B1454" s="944">
        <v>252.12</v>
      </c>
      <c r="C1454" s="944" t="s">
        <v>1313</v>
      </c>
      <c r="D1454" s="943" t="s">
        <v>17</v>
      </c>
      <c r="E1454" s="945">
        <v>775</v>
      </c>
      <c r="F1454" s="945">
        <v>2</v>
      </c>
      <c r="G1454" s="946">
        <v>125</v>
      </c>
      <c r="H1454" s="946">
        <v>120</v>
      </c>
    </row>
    <row r="1455" spans="1:9" s="26" customFormat="1">
      <c r="A1455" s="947" t="s">
        <v>81</v>
      </c>
      <c r="B1455" s="948">
        <v>252.24</v>
      </c>
      <c r="C1455" s="948" t="s">
        <v>1316</v>
      </c>
      <c r="D1455" s="947" t="s">
        <v>17</v>
      </c>
      <c r="E1455" s="950">
        <v>420</v>
      </c>
      <c r="F1455" s="950">
        <v>1</v>
      </c>
      <c r="G1455" s="951">
        <v>152.5</v>
      </c>
      <c r="H1455" s="951">
        <v>154.16999999999999</v>
      </c>
      <c r="I1455" s="18"/>
    </row>
    <row r="1456" spans="1:9">
      <c r="A1456" s="943" t="s">
        <v>81</v>
      </c>
      <c r="B1456" s="944">
        <v>252.6</v>
      </c>
      <c r="C1456" s="944" t="s">
        <v>2194</v>
      </c>
      <c r="D1456" s="943" t="s">
        <v>17</v>
      </c>
      <c r="E1456" s="945">
        <v>200</v>
      </c>
      <c r="F1456" s="945">
        <v>1</v>
      </c>
      <c r="G1456" s="946">
        <v>500</v>
      </c>
      <c r="H1456" s="946">
        <v>490</v>
      </c>
    </row>
    <row r="1457" spans="1:9" s="26" customFormat="1">
      <c r="A1457" s="947" t="s">
        <v>81</v>
      </c>
      <c r="B1457" s="948">
        <v>254.08</v>
      </c>
      <c r="C1457" s="948" t="s">
        <v>2203</v>
      </c>
      <c r="D1457" s="947" t="s">
        <v>17</v>
      </c>
      <c r="E1457" s="950">
        <v>300</v>
      </c>
      <c r="F1457" s="950">
        <v>1</v>
      </c>
      <c r="G1457" s="951">
        <v>150</v>
      </c>
      <c r="H1457" s="951">
        <v>143.75</v>
      </c>
      <c r="I1457" s="18"/>
    </row>
    <row r="1458" spans="1:9">
      <c r="A1458" s="943" t="s">
        <v>81</v>
      </c>
      <c r="B1458" s="944">
        <v>258</v>
      </c>
      <c r="C1458" s="944" t="s">
        <v>238</v>
      </c>
      <c r="D1458" s="943" t="s">
        <v>1</v>
      </c>
      <c r="E1458" s="952">
        <v>5606</v>
      </c>
      <c r="F1458" s="945">
        <v>24</v>
      </c>
      <c r="G1458" s="946">
        <v>100</v>
      </c>
      <c r="H1458" s="946">
        <v>98.05</v>
      </c>
    </row>
    <row r="1459" spans="1:9" s="26" customFormat="1">
      <c r="A1459" s="947" t="s">
        <v>81</v>
      </c>
      <c r="B1459" s="948">
        <v>259</v>
      </c>
      <c r="C1459" s="948" t="s">
        <v>1318</v>
      </c>
      <c r="D1459" s="947" t="s">
        <v>7</v>
      </c>
      <c r="E1459" s="950">
        <v>180</v>
      </c>
      <c r="F1459" s="950">
        <v>1</v>
      </c>
      <c r="G1459" s="951">
        <v>87.5</v>
      </c>
      <c r="H1459" s="951">
        <v>74.33</v>
      </c>
      <c r="I1459" s="18"/>
    </row>
    <row r="1460" spans="1:9">
      <c r="A1460" s="943" t="s">
        <v>81</v>
      </c>
      <c r="B1460" s="944">
        <v>265.06</v>
      </c>
      <c r="C1460" s="944" t="s">
        <v>239</v>
      </c>
      <c r="D1460" s="943" t="s">
        <v>17</v>
      </c>
      <c r="E1460" s="945">
        <v>900</v>
      </c>
      <c r="F1460" s="945">
        <v>3</v>
      </c>
      <c r="G1460" s="946">
        <v>85</v>
      </c>
      <c r="H1460" s="946">
        <v>95.91</v>
      </c>
    </row>
    <row r="1461" spans="1:9" s="26" customFormat="1">
      <c r="A1461" s="947" t="s">
        <v>81</v>
      </c>
      <c r="B1461" s="948">
        <v>265.08</v>
      </c>
      <c r="C1461" s="948" t="s">
        <v>2230</v>
      </c>
      <c r="D1461" s="947" t="s">
        <v>17</v>
      </c>
      <c r="E1461" s="950">
        <v>240</v>
      </c>
      <c r="F1461" s="950">
        <v>1</v>
      </c>
      <c r="G1461" s="951">
        <v>87.5</v>
      </c>
      <c r="H1461" s="951">
        <v>83.33</v>
      </c>
      <c r="I1461" s="18"/>
    </row>
    <row r="1462" spans="1:9">
      <c r="A1462" s="943" t="s">
        <v>81</v>
      </c>
      <c r="B1462" s="944">
        <v>269.06</v>
      </c>
      <c r="C1462" s="944" t="s">
        <v>240</v>
      </c>
      <c r="D1462" s="943" t="s">
        <v>17</v>
      </c>
      <c r="E1462" s="945">
        <v>60</v>
      </c>
      <c r="F1462" s="945">
        <v>1</v>
      </c>
      <c r="G1462" s="946">
        <v>112.5</v>
      </c>
      <c r="H1462" s="946">
        <v>89.25</v>
      </c>
    </row>
    <row r="1463" spans="1:9" s="26" customFormat="1">
      <c r="A1463" s="947" t="s">
        <v>81</v>
      </c>
      <c r="B1463" s="948">
        <v>269.08</v>
      </c>
      <c r="C1463" s="948" t="s">
        <v>241</v>
      </c>
      <c r="D1463" s="947" t="s">
        <v>17</v>
      </c>
      <c r="E1463" s="949">
        <v>9600</v>
      </c>
      <c r="F1463" s="950">
        <v>1</v>
      </c>
      <c r="G1463" s="951">
        <v>68.5</v>
      </c>
      <c r="H1463" s="951">
        <v>71</v>
      </c>
      <c r="I1463" s="18"/>
    </row>
    <row r="1464" spans="1:9">
      <c r="A1464" s="943" t="s">
        <v>81</v>
      </c>
      <c r="B1464" s="944">
        <v>269.10000000000002</v>
      </c>
      <c r="C1464" s="944" t="s">
        <v>242</v>
      </c>
      <c r="D1464" s="943" t="s">
        <v>17</v>
      </c>
      <c r="E1464" s="945">
        <v>430</v>
      </c>
      <c r="F1464" s="945">
        <v>1</v>
      </c>
      <c r="G1464" s="946">
        <v>110</v>
      </c>
      <c r="H1464" s="946">
        <v>110</v>
      </c>
    </row>
    <row r="1465" spans="1:9" s="26" customFormat="1">
      <c r="A1465" s="947" t="s">
        <v>81</v>
      </c>
      <c r="B1465" s="948">
        <v>271.12</v>
      </c>
      <c r="C1465" s="948" t="s">
        <v>243</v>
      </c>
      <c r="D1465" s="947" t="s">
        <v>17</v>
      </c>
      <c r="E1465" s="949">
        <v>2595</v>
      </c>
      <c r="F1465" s="950">
        <v>2</v>
      </c>
      <c r="G1465" s="951">
        <v>35</v>
      </c>
      <c r="H1465" s="951">
        <v>35.74</v>
      </c>
      <c r="I1465" s="18"/>
    </row>
    <row r="1466" spans="1:9">
      <c r="A1466" s="943" t="s">
        <v>81</v>
      </c>
      <c r="B1466" s="944">
        <v>271.14999999999998</v>
      </c>
      <c r="C1466" s="944" t="s">
        <v>2242</v>
      </c>
      <c r="D1466" s="943" t="s">
        <v>17</v>
      </c>
      <c r="E1466" s="945">
        <v>285</v>
      </c>
      <c r="F1466" s="945">
        <v>1</v>
      </c>
      <c r="G1466" s="946">
        <v>42.5</v>
      </c>
      <c r="H1466" s="946">
        <v>36.94</v>
      </c>
    </row>
    <row r="1467" spans="1:9" s="26" customFormat="1">
      <c r="A1467" s="947" t="s">
        <v>81</v>
      </c>
      <c r="B1467" s="948">
        <v>271.18</v>
      </c>
      <c r="C1467" s="948" t="s">
        <v>2243</v>
      </c>
      <c r="D1467" s="947" t="s">
        <v>17</v>
      </c>
      <c r="E1467" s="950">
        <v>200</v>
      </c>
      <c r="F1467" s="950">
        <v>1</v>
      </c>
      <c r="G1467" s="951">
        <v>55</v>
      </c>
      <c r="H1467" s="951">
        <v>54.43</v>
      </c>
      <c r="I1467" s="18"/>
    </row>
    <row r="1468" spans="1:9">
      <c r="A1468" s="943" t="s">
        <v>81</v>
      </c>
      <c r="B1468" s="944">
        <v>271.24</v>
      </c>
      <c r="C1468" s="944" t="s">
        <v>2244</v>
      </c>
      <c r="D1468" s="943" t="s">
        <v>17</v>
      </c>
      <c r="E1468" s="945">
        <v>500</v>
      </c>
      <c r="F1468" s="945">
        <v>1</v>
      </c>
      <c r="G1468" s="946">
        <v>50</v>
      </c>
      <c r="H1468" s="946">
        <v>54</v>
      </c>
    </row>
    <row r="1469" spans="1:9" s="26" customFormat="1">
      <c r="A1469" s="947" t="s">
        <v>81</v>
      </c>
      <c r="B1469" s="948">
        <v>280</v>
      </c>
      <c r="C1469" s="948" t="s">
        <v>244</v>
      </c>
      <c r="D1469" s="947" t="s">
        <v>1</v>
      </c>
      <c r="E1469" s="949">
        <v>1486</v>
      </c>
      <c r="F1469" s="950">
        <v>15</v>
      </c>
      <c r="G1469" s="951">
        <v>200</v>
      </c>
      <c r="H1469" s="951">
        <v>179.93</v>
      </c>
      <c r="I1469" s="18"/>
    </row>
    <row r="1470" spans="1:9">
      <c r="A1470" s="943" t="s">
        <v>81</v>
      </c>
      <c r="B1470" s="944">
        <v>280.10000000000002</v>
      </c>
      <c r="C1470" s="944" t="s">
        <v>244</v>
      </c>
      <c r="D1470" s="943" t="s">
        <v>7</v>
      </c>
      <c r="E1470" s="952">
        <v>1104</v>
      </c>
      <c r="F1470" s="945">
        <v>6</v>
      </c>
      <c r="G1470" s="946">
        <v>375</v>
      </c>
      <c r="H1470" s="946">
        <v>366.59</v>
      </c>
    </row>
    <row r="1471" spans="1:9" s="26" customFormat="1">
      <c r="A1471" s="947" t="s">
        <v>81</v>
      </c>
      <c r="B1471" s="948">
        <v>281</v>
      </c>
      <c r="C1471" s="948" t="s">
        <v>245</v>
      </c>
      <c r="D1471" s="947" t="s">
        <v>1</v>
      </c>
      <c r="E1471" s="950">
        <v>120</v>
      </c>
      <c r="F1471" s="950">
        <v>2</v>
      </c>
      <c r="G1471" s="951">
        <v>250</v>
      </c>
      <c r="H1471" s="951">
        <v>305.56</v>
      </c>
      <c r="I1471" s="18"/>
    </row>
    <row r="1472" spans="1:9">
      <c r="A1472" s="943" t="s">
        <v>81</v>
      </c>
      <c r="B1472" s="944">
        <v>302.04000000000002</v>
      </c>
      <c r="C1472" s="944" t="s">
        <v>246</v>
      </c>
      <c r="D1472" s="943" t="s">
        <v>17</v>
      </c>
      <c r="E1472" s="945">
        <v>100</v>
      </c>
      <c r="F1472" s="945">
        <v>1</v>
      </c>
      <c r="G1472" s="946">
        <v>162.5</v>
      </c>
      <c r="H1472" s="946">
        <v>162.5</v>
      </c>
    </row>
    <row r="1473" spans="1:9" s="26" customFormat="1">
      <c r="A1473" s="947" t="s">
        <v>81</v>
      </c>
      <c r="B1473" s="948">
        <v>302.06</v>
      </c>
      <c r="C1473" s="948" t="s">
        <v>247</v>
      </c>
      <c r="D1473" s="947" t="s">
        <v>17</v>
      </c>
      <c r="E1473" s="949">
        <v>4040</v>
      </c>
      <c r="F1473" s="950">
        <v>6</v>
      </c>
      <c r="G1473" s="951">
        <v>242.5</v>
      </c>
      <c r="H1473" s="951">
        <v>231.21</v>
      </c>
      <c r="I1473" s="18"/>
    </row>
    <row r="1474" spans="1:9">
      <c r="A1474" s="943" t="s">
        <v>81</v>
      </c>
      <c r="B1474" s="944">
        <v>302.08</v>
      </c>
      <c r="C1474" s="944" t="s">
        <v>248</v>
      </c>
      <c r="D1474" s="943" t="s">
        <v>17</v>
      </c>
      <c r="E1474" s="952">
        <v>6190</v>
      </c>
      <c r="F1474" s="945">
        <v>4</v>
      </c>
      <c r="G1474" s="946">
        <v>225</v>
      </c>
      <c r="H1474" s="946">
        <v>221.97</v>
      </c>
    </row>
    <row r="1475" spans="1:9" s="26" customFormat="1">
      <c r="A1475" s="947" t="s">
        <v>81</v>
      </c>
      <c r="B1475" s="948">
        <v>302.10000000000002</v>
      </c>
      <c r="C1475" s="948" t="s">
        <v>249</v>
      </c>
      <c r="D1475" s="947" t="s">
        <v>17</v>
      </c>
      <c r="E1475" s="949">
        <v>1455</v>
      </c>
      <c r="F1475" s="950">
        <v>2</v>
      </c>
      <c r="G1475" s="951">
        <v>220</v>
      </c>
      <c r="H1475" s="951">
        <v>207.14</v>
      </c>
      <c r="I1475" s="18"/>
    </row>
    <row r="1476" spans="1:9">
      <c r="A1476" s="943" t="s">
        <v>81</v>
      </c>
      <c r="B1476" s="944">
        <v>302.12</v>
      </c>
      <c r="C1476" s="944" t="s">
        <v>250</v>
      </c>
      <c r="D1476" s="943" t="s">
        <v>17</v>
      </c>
      <c r="E1476" s="952">
        <v>42002</v>
      </c>
      <c r="F1476" s="945">
        <v>3</v>
      </c>
      <c r="G1476" s="946">
        <v>250</v>
      </c>
      <c r="H1476" s="946">
        <v>235.06</v>
      </c>
    </row>
    <row r="1477" spans="1:9" s="26" customFormat="1">
      <c r="A1477" s="947" t="s">
        <v>81</v>
      </c>
      <c r="B1477" s="948">
        <v>303.06</v>
      </c>
      <c r="C1477" s="948" t="s">
        <v>251</v>
      </c>
      <c r="D1477" s="947" t="s">
        <v>17</v>
      </c>
      <c r="E1477" s="949">
        <v>5530</v>
      </c>
      <c r="F1477" s="950">
        <v>19</v>
      </c>
      <c r="G1477" s="951">
        <v>227.5</v>
      </c>
      <c r="H1477" s="951">
        <v>224.95</v>
      </c>
      <c r="I1477" s="18"/>
    </row>
    <row r="1478" spans="1:9">
      <c r="A1478" s="943" t="s">
        <v>81</v>
      </c>
      <c r="B1478" s="944">
        <v>303.08</v>
      </c>
      <c r="C1478" s="944" t="s">
        <v>252</v>
      </c>
      <c r="D1478" s="943" t="s">
        <v>17</v>
      </c>
      <c r="E1478" s="952">
        <v>2933</v>
      </c>
      <c r="F1478" s="945">
        <v>7</v>
      </c>
      <c r="G1478" s="946">
        <v>250</v>
      </c>
      <c r="H1478" s="946">
        <v>258.55</v>
      </c>
    </row>
    <row r="1479" spans="1:9" s="26" customFormat="1">
      <c r="A1479" s="947" t="s">
        <v>81</v>
      </c>
      <c r="B1479" s="948">
        <v>303.10000000000002</v>
      </c>
      <c r="C1479" s="948" t="s">
        <v>253</v>
      </c>
      <c r="D1479" s="947" t="s">
        <v>17</v>
      </c>
      <c r="E1479" s="949">
        <v>1130</v>
      </c>
      <c r="F1479" s="950">
        <v>4</v>
      </c>
      <c r="G1479" s="951">
        <v>276.26</v>
      </c>
      <c r="H1479" s="951">
        <v>284.79000000000002</v>
      </c>
      <c r="I1479" s="18"/>
    </row>
    <row r="1480" spans="1:9">
      <c r="A1480" s="943" t="s">
        <v>81</v>
      </c>
      <c r="B1480" s="944">
        <v>303.12</v>
      </c>
      <c r="C1480" s="944" t="s">
        <v>254</v>
      </c>
      <c r="D1480" s="943" t="s">
        <v>17</v>
      </c>
      <c r="E1480" s="952">
        <v>6683</v>
      </c>
      <c r="F1480" s="945">
        <v>7</v>
      </c>
      <c r="G1480" s="946">
        <v>300</v>
      </c>
      <c r="H1480" s="946">
        <v>277.24</v>
      </c>
    </row>
    <row r="1481" spans="1:9" s="26" customFormat="1">
      <c r="A1481" s="947" t="s">
        <v>81</v>
      </c>
      <c r="B1481" s="948">
        <v>309</v>
      </c>
      <c r="C1481" s="948" t="s">
        <v>256</v>
      </c>
      <c r="D1481" s="947" t="s">
        <v>100</v>
      </c>
      <c r="E1481" s="949">
        <v>121496</v>
      </c>
      <c r="F1481" s="950">
        <v>25</v>
      </c>
      <c r="G1481" s="951">
        <v>10</v>
      </c>
      <c r="H1481" s="951">
        <v>10.199999999999999</v>
      </c>
      <c r="I1481" s="18"/>
    </row>
    <row r="1482" spans="1:9">
      <c r="A1482" s="943" t="s">
        <v>81</v>
      </c>
      <c r="B1482" s="944">
        <v>315.08</v>
      </c>
      <c r="C1482" s="944" t="s">
        <v>1324</v>
      </c>
      <c r="D1482" s="943" t="s">
        <v>17</v>
      </c>
      <c r="E1482" s="945">
        <v>60</v>
      </c>
      <c r="F1482" s="945">
        <v>1</v>
      </c>
      <c r="G1482" s="946">
        <v>75</v>
      </c>
      <c r="H1482" s="946">
        <v>62.5</v>
      </c>
    </row>
    <row r="1483" spans="1:9" s="26" customFormat="1">
      <c r="A1483" s="947" t="s">
        <v>81</v>
      </c>
      <c r="B1483" s="948">
        <v>315.10000000000002</v>
      </c>
      <c r="C1483" s="948" t="s">
        <v>2264</v>
      </c>
      <c r="D1483" s="947" t="s">
        <v>17</v>
      </c>
      <c r="E1483" s="950">
        <v>40</v>
      </c>
      <c r="F1483" s="950">
        <v>1</v>
      </c>
      <c r="G1483" s="951">
        <v>75</v>
      </c>
      <c r="H1483" s="951">
        <v>62.5</v>
      </c>
      <c r="I1483" s="18"/>
    </row>
    <row r="1484" spans="1:9">
      <c r="A1484" s="943" t="s">
        <v>81</v>
      </c>
      <c r="B1484" s="944">
        <v>325.24</v>
      </c>
      <c r="C1484" s="944" t="s">
        <v>2275</v>
      </c>
      <c r="D1484" s="943" t="s">
        <v>17</v>
      </c>
      <c r="E1484" s="945">
        <v>300</v>
      </c>
      <c r="F1484" s="945">
        <v>1</v>
      </c>
      <c r="G1484" s="946">
        <v>253.5</v>
      </c>
      <c r="H1484" s="946">
        <v>235.67</v>
      </c>
    </row>
    <row r="1485" spans="1:9" s="26" customFormat="1">
      <c r="A1485" s="947" t="s">
        <v>81</v>
      </c>
      <c r="B1485" s="948">
        <v>336.1</v>
      </c>
      <c r="C1485" s="948" t="s">
        <v>258</v>
      </c>
      <c r="D1485" s="947" t="s">
        <v>17</v>
      </c>
      <c r="E1485" s="949">
        <v>2370</v>
      </c>
      <c r="F1485" s="950">
        <v>3</v>
      </c>
      <c r="G1485" s="951">
        <v>130</v>
      </c>
      <c r="H1485" s="951">
        <v>155.25</v>
      </c>
      <c r="I1485" s="18"/>
    </row>
    <row r="1486" spans="1:9">
      <c r="A1486" s="943" t="s">
        <v>81</v>
      </c>
      <c r="B1486" s="944">
        <v>347.07499999999999</v>
      </c>
      <c r="C1486" s="944" t="s">
        <v>259</v>
      </c>
      <c r="D1486" s="943" t="s">
        <v>17</v>
      </c>
      <c r="E1486" s="945">
        <v>240</v>
      </c>
      <c r="F1486" s="945">
        <v>1</v>
      </c>
      <c r="G1486" s="946">
        <v>104</v>
      </c>
      <c r="H1486" s="946">
        <v>102.17</v>
      </c>
    </row>
    <row r="1487" spans="1:9" s="26" customFormat="1">
      <c r="A1487" s="947" t="s">
        <v>81</v>
      </c>
      <c r="B1487" s="948">
        <v>347.1</v>
      </c>
      <c r="C1487" s="948" t="s">
        <v>260</v>
      </c>
      <c r="D1487" s="947" t="s">
        <v>17</v>
      </c>
      <c r="E1487" s="949">
        <v>13290</v>
      </c>
      <c r="F1487" s="950">
        <v>12</v>
      </c>
      <c r="G1487" s="951">
        <v>125</v>
      </c>
      <c r="H1487" s="951">
        <v>115.47</v>
      </c>
      <c r="I1487" s="18"/>
    </row>
    <row r="1488" spans="1:9">
      <c r="A1488" s="943" t="s">
        <v>81</v>
      </c>
      <c r="B1488" s="944">
        <v>347.15</v>
      </c>
      <c r="C1488" s="944" t="s">
        <v>1329</v>
      </c>
      <c r="D1488" s="943" t="s">
        <v>17</v>
      </c>
      <c r="E1488" s="945">
        <v>500</v>
      </c>
      <c r="F1488" s="945">
        <v>3</v>
      </c>
      <c r="G1488" s="946">
        <v>150</v>
      </c>
      <c r="H1488" s="946">
        <v>149.5</v>
      </c>
    </row>
    <row r="1489" spans="1:9" s="26" customFormat="1">
      <c r="A1489" s="947" t="s">
        <v>81</v>
      </c>
      <c r="B1489" s="948">
        <v>347.2</v>
      </c>
      <c r="C1489" s="948" t="s">
        <v>261</v>
      </c>
      <c r="D1489" s="947" t="s">
        <v>17</v>
      </c>
      <c r="E1489" s="949">
        <v>2900</v>
      </c>
      <c r="F1489" s="950">
        <v>4</v>
      </c>
      <c r="G1489" s="951">
        <v>140</v>
      </c>
      <c r="H1489" s="951">
        <v>146.69</v>
      </c>
      <c r="I1489" s="18"/>
    </row>
    <row r="1490" spans="1:9">
      <c r="A1490" s="943" t="s">
        <v>81</v>
      </c>
      <c r="B1490" s="944">
        <v>349.08</v>
      </c>
      <c r="C1490" s="944" t="s">
        <v>1331</v>
      </c>
      <c r="D1490" s="943" t="s">
        <v>2</v>
      </c>
      <c r="E1490" s="945">
        <v>7</v>
      </c>
      <c r="F1490" s="945">
        <v>1</v>
      </c>
      <c r="G1490" s="946">
        <v>3300</v>
      </c>
      <c r="H1490" s="946">
        <v>3042.86</v>
      </c>
    </row>
    <row r="1491" spans="1:9" s="26" customFormat="1">
      <c r="A1491" s="947" t="s">
        <v>81</v>
      </c>
      <c r="B1491" s="948">
        <v>350.04</v>
      </c>
      <c r="C1491" s="948" t="s">
        <v>263</v>
      </c>
      <c r="D1491" s="947" t="s">
        <v>2</v>
      </c>
      <c r="E1491" s="950">
        <v>6</v>
      </c>
      <c r="F1491" s="950">
        <v>2</v>
      </c>
      <c r="G1491" s="951">
        <v>3000</v>
      </c>
      <c r="H1491" s="951">
        <v>2825</v>
      </c>
      <c r="I1491" s="18"/>
    </row>
    <row r="1492" spans="1:9">
      <c r="A1492" s="943" t="s">
        <v>81</v>
      </c>
      <c r="B1492" s="944">
        <v>350.06</v>
      </c>
      <c r="C1492" s="944" t="s">
        <v>264</v>
      </c>
      <c r="D1492" s="943" t="s">
        <v>2</v>
      </c>
      <c r="E1492" s="945">
        <v>278</v>
      </c>
      <c r="F1492" s="945">
        <v>12</v>
      </c>
      <c r="G1492" s="946">
        <v>3400</v>
      </c>
      <c r="H1492" s="946">
        <v>3326.28</v>
      </c>
    </row>
    <row r="1493" spans="1:9" s="26" customFormat="1">
      <c r="A1493" s="947" t="s">
        <v>81</v>
      </c>
      <c r="B1493" s="948">
        <v>350.08</v>
      </c>
      <c r="C1493" s="948" t="s">
        <v>265</v>
      </c>
      <c r="D1493" s="947" t="s">
        <v>2</v>
      </c>
      <c r="E1493" s="950">
        <v>205</v>
      </c>
      <c r="F1493" s="950">
        <v>5</v>
      </c>
      <c r="G1493" s="951">
        <v>4200</v>
      </c>
      <c r="H1493" s="951">
        <v>4216.43</v>
      </c>
      <c r="I1493" s="18"/>
    </row>
    <row r="1494" spans="1:9">
      <c r="A1494" s="943" t="s">
        <v>81</v>
      </c>
      <c r="B1494" s="944">
        <v>350.1</v>
      </c>
      <c r="C1494" s="944" t="s">
        <v>266</v>
      </c>
      <c r="D1494" s="943" t="s">
        <v>2</v>
      </c>
      <c r="E1494" s="945">
        <v>66</v>
      </c>
      <c r="F1494" s="945">
        <v>4</v>
      </c>
      <c r="G1494" s="946">
        <v>6500</v>
      </c>
      <c r="H1494" s="946">
        <v>6343.38</v>
      </c>
    </row>
    <row r="1495" spans="1:9" s="26" customFormat="1">
      <c r="A1495" s="947" t="s">
        <v>81</v>
      </c>
      <c r="B1495" s="948">
        <v>350.12</v>
      </c>
      <c r="C1495" s="948" t="s">
        <v>267</v>
      </c>
      <c r="D1495" s="947" t="s">
        <v>2</v>
      </c>
      <c r="E1495" s="950">
        <v>429</v>
      </c>
      <c r="F1495" s="950">
        <v>6</v>
      </c>
      <c r="G1495" s="951">
        <v>7500</v>
      </c>
      <c r="H1495" s="951">
        <v>7487.41</v>
      </c>
      <c r="I1495" s="18"/>
    </row>
    <row r="1496" spans="1:9">
      <c r="A1496" s="943" t="s">
        <v>81</v>
      </c>
      <c r="B1496" s="944">
        <v>354.12</v>
      </c>
      <c r="C1496" s="944" t="s">
        <v>2303</v>
      </c>
      <c r="D1496" s="943" t="s">
        <v>2</v>
      </c>
      <c r="E1496" s="945">
        <v>4</v>
      </c>
      <c r="F1496" s="945">
        <v>1</v>
      </c>
      <c r="G1496" s="946">
        <v>715</v>
      </c>
      <c r="H1496" s="946">
        <v>657.5</v>
      </c>
    </row>
    <row r="1497" spans="1:9" s="26" customFormat="1">
      <c r="A1497" s="947" t="s">
        <v>81</v>
      </c>
      <c r="B1497" s="948">
        <v>355.06</v>
      </c>
      <c r="C1497" s="948" t="s">
        <v>1334</v>
      </c>
      <c r="D1497" s="947" t="s">
        <v>2</v>
      </c>
      <c r="E1497" s="950">
        <v>15</v>
      </c>
      <c r="F1497" s="950">
        <v>1</v>
      </c>
      <c r="G1497" s="951">
        <v>1000</v>
      </c>
      <c r="H1497" s="951">
        <v>1066.67</v>
      </c>
      <c r="I1497" s="18"/>
    </row>
    <row r="1498" spans="1:9">
      <c r="A1498" s="943" t="s">
        <v>81</v>
      </c>
      <c r="B1498" s="944">
        <v>355.08</v>
      </c>
      <c r="C1498" s="944" t="s">
        <v>1335</v>
      </c>
      <c r="D1498" s="943" t="s">
        <v>2</v>
      </c>
      <c r="E1498" s="945">
        <v>4</v>
      </c>
      <c r="F1498" s="945">
        <v>2</v>
      </c>
      <c r="G1498" s="946">
        <v>1000</v>
      </c>
      <c r="H1498" s="946">
        <v>1215</v>
      </c>
    </row>
    <row r="1499" spans="1:9" s="26" customFormat="1">
      <c r="A1499" s="947" t="s">
        <v>81</v>
      </c>
      <c r="B1499" s="948">
        <v>355.1</v>
      </c>
      <c r="C1499" s="948" t="s">
        <v>2308</v>
      </c>
      <c r="D1499" s="947" t="s">
        <v>2</v>
      </c>
      <c r="E1499" s="950">
        <v>6</v>
      </c>
      <c r="F1499" s="950">
        <v>1</v>
      </c>
      <c r="G1499" s="951">
        <v>1200</v>
      </c>
      <c r="H1499" s="951">
        <v>1433.33</v>
      </c>
      <c r="I1499" s="18"/>
    </row>
    <row r="1500" spans="1:9">
      <c r="A1500" s="943" t="s">
        <v>81</v>
      </c>
      <c r="B1500" s="944">
        <v>357.06</v>
      </c>
      <c r="C1500" s="944" t="s">
        <v>268</v>
      </c>
      <c r="D1500" s="943" t="s">
        <v>2</v>
      </c>
      <c r="E1500" s="945">
        <v>159</v>
      </c>
      <c r="F1500" s="945">
        <v>12</v>
      </c>
      <c r="G1500" s="946">
        <v>650</v>
      </c>
      <c r="H1500" s="946">
        <v>630.39</v>
      </c>
    </row>
    <row r="1501" spans="1:9" s="26" customFormat="1">
      <c r="A1501" s="947" t="s">
        <v>81</v>
      </c>
      <c r="B1501" s="948">
        <v>357.08</v>
      </c>
      <c r="C1501" s="948" t="s">
        <v>269</v>
      </c>
      <c r="D1501" s="947" t="s">
        <v>2</v>
      </c>
      <c r="E1501" s="950">
        <v>109</v>
      </c>
      <c r="F1501" s="950">
        <v>11</v>
      </c>
      <c r="G1501" s="951">
        <v>750</v>
      </c>
      <c r="H1501" s="951">
        <v>722.69</v>
      </c>
      <c r="I1501" s="18"/>
    </row>
    <row r="1502" spans="1:9">
      <c r="A1502" s="943" t="s">
        <v>81</v>
      </c>
      <c r="B1502" s="944">
        <v>357.1</v>
      </c>
      <c r="C1502" s="944" t="s">
        <v>270</v>
      </c>
      <c r="D1502" s="943" t="s">
        <v>2</v>
      </c>
      <c r="E1502" s="945">
        <v>52</v>
      </c>
      <c r="F1502" s="945">
        <v>5</v>
      </c>
      <c r="G1502" s="946">
        <v>600</v>
      </c>
      <c r="H1502" s="946">
        <v>562.22</v>
      </c>
    </row>
    <row r="1503" spans="1:9" s="26" customFormat="1">
      <c r="A1503" s="947" t="s">
        <v>81</v>
      </c>
      <c r="B1503" s="948">
        <v>357.12</v>
      </c>
      <c r="C1503" s="948" t="s">
        <v>271</v>
      </c>
      <c r="D1503" s="947" t="s">
        <v>2</v>
      </c>
      <c r="E1503" s="950">
        <v>350</v>
      </c>
      <c r="F1503" s="950">
        <v>12</v>
      </c>
      <c r="G1503" s="951">
        <v>700</v>
      </c>
      <c r="H1503" s="951">
        <v>661.06</v>
      </c>
      <c r="I1503" s="18"/>
    </row>
    <row r="1504" spans="1:9">
      <c r="A1504" s="943" t="s">
        <v>81</v>
      </c>
      <c r="B1504" s="944">
        <v>357.16</v>
      </c>
      <c r="C1504" s="944" t="s">
        <v>272</v>
      </c>
      <c r="D1504" s="943" t="s">
        <v>2</v>
      </c>
      <c r="E1504" s="945">
        <v>6</v>
      </c>
      <c r="F1504" s="945">
        <v>2</v>
      </c>
      <c r="G1504" s="946">
        <v>775</v>
      </c>
      <c r="H1504" s="946">
        <v>556.5</v>
      </c>
    </row>
    <row r="1505" spans="1:9" s="26" customFormat="1">
      <c r="A1505" s="947" t="s">
        <v>81</v>
      </c>
      <c r="B1505" s="948">
        <v>357.2</v>
      </c>
      <c r="C1505" s="948" t="s">
        <v>2314</v>
      </c>
      <c r="D1505" s="947" t="s">
        <v>2</v>
      </c>
      <c r="E1505" s="950">
        <v>2</v>
      </c>
      <c r="F1505" s="950">
        <v>1</v>
      </c>
      <c r="G1505" s="951">
        <v>1000</v>
      </c>
      <c r="H1505" s="951">
        <v>825</v>
      </c>
      <c r="I1505" s="18"/>
    </row>
    <row r="1506" spans="1:9">
      <c r="A1506" s="943" t="s">
        <v>81</v>
      </c>
      <c r="B1506" s="944">
        <v>358</v>
      </c>
      <c r="C1506" s="944" t="s">
        <v>274</v>
      </c>
      <c r="D1506" s="943" t="s">
        <v>2</v>
      </c>
      <c r="E1506" s="952">
        <v>8559</v>
      </c>
      <c r="F1506" s="945">
        <v>49</v>
      </c>
      <c r="G1506" s="946">
        <v>315</v>
      </c>
      <c r="H1506" s="946">
        <v>319.44</v>
      </c>
    </row>
    <row r="1507" spans="1:9" s="26" customFormat="1">
      <c r="A1507" s="947" t="s">
        <v>81</v>
      </c>
      <c r="B1507" s="948">
        <v>358.1</v>
      </c>
      <c r="C1507" s="948" t="s">
        <v>275</v>
      </c>
      <c r="D1507" s="947" t="s">
        <v>2</v>
      </c>
      <c r="E1507" s="950">
        <v>96</v>
      </c>
      <c r="F1507" s="950">
        <v>9</v>
      </c>
      <c r="G1507" s="951">
        <v>191</v>
      </c>
      <c r="H1507" s="951">
        <v>195.81</v>
      </c>
      <c r="I1507" s="18"/>
    </row>
    <row r="1508" spans="1:9">
      <c r="A1508" s="943" t="s">
        <v>81</v>
      </c>
      <c r="B1508" s="944">
        <v>363.07499999999999</v>
      </c>
      <c r="C1508" s="944" t="s">
        <v>1337</v>
      </c>
      <c r="D1508" s="943" t="s">
        <v>2</v>
      </c>
      <c r="E1508" s="945">
        <v>4</v>
      </c>
      <c r="F1508" s="945">
        <v>1</v>
      </c>
      <c r="G1508" s="946">
        <v>900</v>
      </c>
      <c r="H1508" s="946">
        <v>862.5</v>
      </c>
    </row>
    <row r="1509" spans="1:9" s="26" customFormat="1">
      <c r="A1509" s="947" t="s">
        <v>81</v>
      </c>
      <c r="B1509" s="948">
        <v>363.1</v>
      </c>
      <c r="C1509" s="948" t="s">
        <v>276</v>
      </c>
      <c r="D1509" s="947" t="s">
        <v>2</v>
      </c>
      <c r="E1509" s="950">
        <v>430</v>
      </c>
      <c r="F1509" s="950">
        <v>10</v>
      </c>
      <c r="G1509" s="951">
        <v>1250</v>
      </c>
      <c r="H1509" s="951">
        <v>1042.9100000000001</v>
      </c>
      <c r="I1509" s="18"/>
    </row>
    <row r="1510" spans="1:9">
      <c r="A1510" s="943" t="s">
        <v>81</v>
      </c>
      <c r="B1510" s="944">
        <v>363.15</v>
      </c>
      <c r="C1510" s="944" t="s">
        <v>1339</v>
      </c>
      <c r="D1510" s="943" t="s">
        <v>2</v>
      </c>
      <c r="E1510" s="945">
        <v>21</v>
      </c>
      <c r="F1510" s="945">
        <v>2</v>
      </c>
      <c r="G1510" s="946">
        <v>1400</v>
      </c>
      <c r="H1510" s="946">
        <v>1086</v>
      </c>
    </row>
    <row r="1511" spans="1:9" s="26" customFormat="1">
      <c r="A1511" s="947" t="s">
        <v>81</v>
      </c>
      <c r="B1511" s="948">
        <v>363.2</v>
      </c>
      <c r="C1511" s="948" t="s">
        <v>277</v>
      </c>
      <c r="D1511" s="947" t="s">
        <v>2</v>
      </c>
      <c r="E1511" s="950">
        <v>95</v>
      </c>
      <c r="F1511" s="950">
        <v>5</v>
      </c>
      <c r="G1511" s="951">
        <v>1590</v>
      </c>
      <c r="H1511" s="951">
        <v>1575.7</v>
      </c>
      <c r="I1511" s="18"/>
    </row>
    <row r="1512" spans="1:9">
      <c r="A1512" s="943" t="s">
        <v>81</v>
      </c>
      <c r="B1512" s="944">
        <v>367.06</v>
      </c>
      <c r="C1512" s="944" t="s">
        <v>278</v>
      </c>
      <c r="D1512" s="943" t="s">
        <v>2</v>
      </c>
      <c r="E1512" s="945">
        <v>22</v>
      </c>
      <c r="F1512" s="945">
        <v>3</v>
      </c>
      <c r="G1512" s="946">
        <v>775</v>
      </c>
      <c r="H1512" s="946">
        <v>818.33</v>
      </c>
    </row>
    <row r="1513" spans="1:9" s="26" customFormat="1">
      <c r="A1513" s="947" t="s">
        <v>81</v>
      </c>
      <c r="B1513" s="948">
        <v>367.1</v>
      </c>
      <c r="C1513" s="948" t="s">
        <v>2316</v>
      </c>
      <c r="D1513" s="947" t="s">
        <v>2</v>
      </c>
      <c r="E1513" s="950">
        <v>10</v>
      </c>
      <c r="F1513" s="950">
        <v>1</v>
      </c>
      <c r="G1513" s="951">
        <v>2200</v>
      </c>
      <c r="H1513" s="951">
        <v>2140</v>
      </c>
      <c r="I1513" s="18"/>
    </row>
    <row r="1514" spans="1:9">
      <c r="A1514" s="943" t="s">
        <v>81</v>
      </c>
      <c r="B1514" s="944">
        <v>369.06</v>
      </c>
      <c r="C1514" s="944" t="s">
        <v>2322</v>
      </c>
      <c r="D1514" s="943" t="s">
        <v>2</v>
      </c>
      <c r="E1514" s="945">
        <v>12</v>
      </c>
      <c r="F1514" s="945">
        <v>2</v>
      </c>
      <c r="G1514" s="946">
        <v>11000</v>
      </c>
      <c r="H1514" s="946">
        <v>12625</v>
      </c>
    </row>
    <row r="1515" spans="1:9" s="26" customFormat="1">
      <c r="A1515" s="947" t="s">
        <v>81</v>
      </c>
      <c r="B1515" s="948">
        <v>369.1</v>
      </c>
      <c r="C1515" s="948" t="s">
        <v>2323</v>
      </c>
      <c r="D1515" s="947" t="s">
        <v>2</v>
      </c>
      <c r="E1515" s="950">
        <v>4</v>
      </c>
      <c r="F1515" s="950">
        <v>1</v>
      </c>
      <c r="G1515" s="951">
        <v>21000</v>
      </c>
      <c r="H1515" s="951">
        <v>21000</v>
      </c>
      <c r="I1515" s="18"/>
    </row>
    <row r="1516" spans="1:9">
      <c r="A1516" s="943" t="s">
        <v>81</v>
      </c>
      <c r="B1516" s="944">
        <v>370.1</v>
      </c>
      <c r="C1516" s="944" t="s">
        <v>282</v>
      </c>
      <c r="D1516" s="943" t="s">
        <v>2</v>
      </c>
      <c r="E1516" s="945">
        <v>11</v>
      </c>
      <c r="F1516" s="945">
        <v>3</v>
      </c>
      <c r="G1516" s="946">
        <v>10100</v>
      </c>
      <c r="H1516" s="946">
        <v>9736.36</v>
      </c>
    </row>
    <row r="1517" spans="1:9" s="26" customFormat="1">
      <c r="A1517" s="947" t="s">
        <v>81</v>
      </c>
      <c r="B1517" s="948">
        <v>370.2</v>
      </c>
      <c r="C1517" s="948" t="s">
        <v>1343</v>
      </c>
      <c r="D1517" s="947" t="s">
        <v>2</v>
      </c>
      <c r="E1517" s="950">
        <v>14</v>
      </c>
      <c r="F1517" s="950">
        <v>3</v>
      </c>
      <c r="G1517" s="951">
        <v>11850</v>
      </c>
      <c r="H1517" s="951">
        <v>12687.73</v>
      </c>
      <c r="I1517" s="18"/>
    </row>
    <row r="1518" spans="1:9">
      <c r="A1518" s="943" t="s">
        <v>81</v>
      </c>
      <c r="B1518" s="944">
        <v>370.4</v>
      </c>
      <c r="C1518" s="944" t="s">
        <v>283</v>
      </c>
      <c r="D1518" s="943" t="s">
        <v>2</v>
      </c>
      <c r="E1518" s="945">
        <v>27</v>
      </c>
      <c r="F1518" s="945">
        <v>7</v>
      </c>
      <c r="G1518" s="946">
        <v>15000</v>
      </c>
      <c r="H1518" s="946">
        <v>15415.37</v>
      </c>
    </row>
    <row r="1519" spans="1:9" s="26" customFormat="1">
      <c r="A1519" s="947" t="s">
        <v>81</v>
      </c>
      <c r="B1519" s="948">
        <v>371.04</v>
      </c>
      <c r="C1519" s="948" t="s">
        <v>284</v>
      </c>
      <c r="D1519" s="947" t="s">
        <v>2</v>
      </c>
      <c r="E1519" s="950">
        <v>4</v>
      </c>
      <c r="F1519" s="950">
        <v>1</v>
      </c>
      <c r="G1519" s="951">
        <v>467.5</v>
      </c>
      <c r="H1519" s="951">
        <v>467.5</v>
      </c>
      <c r="I1519" s="18"/>
    </row>
    <row r="1520" spans="1:9">
      <c r="A1520" s="943" t="s">
        <v>81</v>
      </c>
      <c r="B1520" s="944">
        <v>371.06</v>
      </c>
      <c r="C1520" s="944" t="s">
        <v>285</v>
      </c>
      <c r="D1520" s="943" t="s">
        <v>2</v>
      </c>
      <c r="E1520" s="945">
        <v>73</v>
      </c>
      <c r="F1520" s="945">
        <v>5</v>
      </c>
      <c r="G1520" s="946">
        <v>737.5</v>
      </c>
      <c r="H1520" s="946">
        <v>711.25</v>
      </c>
    </row>
    <row r="1521" spans="1:9" s="26" customFormat="1">
      <c r="A1521" s="947" t="s">
        <v>81</v>
      </c>
      <c r="B1521" s="948">
        <v>371.08</v>
      </c>
      <c r="C1521" s="948" t="s">
        <v>286</v>
      </c>
      <c r="D1521" s="947" t="s">
        <v>2</v>
      </c>
      <c r="E1521" s="950">
        <v>108</v>
      </c>
      <c r="F1521" s="950">
        <v>6</v>
      </c>
      <c r="G1521" s="951">
        <v>825</v>
      </c>
      <c r="H1521" s="951">
        <v>712.81</v>
      </c>
      <c r="I1521" s="18"/>
    </row>
    <row r="1522" spans="1:9">
      <c r="A1522" s="943" t="s">
        <v>81</v>
      </c>
      <c r="B1522" s="944">
        <v>371.1</v>
      </c>
      <c r="C1522" s="944" t="s">
        <v>2335</v>
      </c>
      <c r="D1522" s="943" t="s">
        <v>2</v>
      </c>
      <c r="E1522" s="945">
        <v>33</v>
      </c>
      <c r="F1522" s="945">
        <v>5</v>
      </c>
      <c r="G1522" s="946">
        <v>1500</v>
      </c>
      <c r="H1522" s="946">
        <v>1967.65</v>
      </c>
    </row>
    <row r="1523" spans="1:9" s="26" customFormat="1">
      <c r="A1523" s="947" t="s">
        <v>81</v>
      </c>
      <c r="B1523" s="948">
        <v>371.12</v>
      </c>
      <c r="C1523" s="948" t="s">
        <v>287</v>
      </c>
      <c r="D1523" s="947" t="s">
        <v>2</v>
      </c>
      <c r="E1523" s="950">
        <v>174</v>
      </c>
      <c r="F1523" s="950">
        <v>6</v>
      </c>
      <c r="G1523" s="951">
        <v>1680</v>
      </c>
      <c r="H1523" s="951">
        <v>1529.55</v>
      </c>
      <c r="I1523" s="18"/>
    </row>
    <row r="1524" spans="1:9">
      <c r="A1524" s="943" t="s">
        <v>81</v>
      </c>
      <c r="B1524" s="944">
        <v>371.16</v>
      </c>
      <c r="C1524" s="944" t="s">
        <v>1345</v>
      </c>
      <c r="D1524" s="943" t="s">
        <v>2</v>
      </c>
      <c r="E1524" s="945">
        <v>4</v>
      </c>
      <c r="F1524" s="945">
        <v>1</v>
      </c>
      <c r="G1524" s="946">
        <v>1350</v>
      </c>
      <c r="H1524" s="946">
        <v>1650</v>
      </c>
    </row>
    <row r="1525" spans="1:9" s="26" customFormat="1">
      <c r="A1525" s="947" t="s">
        <v>81</v>
      </c>
      <c r="B1525" s="948">
        <v>373.04</v>
      </c>
      <c r="C1525" s="948" t="s">
        <v>1348</v>
      </c>
      <c r="D1525" s="947" t="s">
        <v>17</v>
      </c>
      <c r="E1525" s="950">
        <v>40</v>
      </c>
      <c r="F1525" s="950">
        <v>1</v>
      </c>
      <c r="G1525" s="951">
        <v>100</v>
      </c>
      <c r="H1525" s="951">
        <v>100</v>
      </c>
      <c r="I1525" s="18"/>
    </row>
    <row r="1526" spans="1:9">
      <c r="A1526" s="943" t="s">
        <v>81</v>
      </c>
      <c r="B1526" s="944">
        <v>373.06</v>
      </c>
      <c r="C1526" s="944" t="s">
        <v>1349</v>
      </c>
      <c r="D1526" s="943" t="s">
        <v>17</v>
      </c>
      <c r="E1526" s="945">
        <v>160</v>
      </c>
      <c r="F1526" s="945">
        <v>1</v>
      </c>
      <c r="G1526" s="946">
        <v>92.5</v>
      </c>
      <c r="H1526" s="946">
        <v>92.5</v>
      </c>
    </row>
    <row r="1527" spans="1:9" s="26" customFormat="1">
      <c r="A1527" s="947" t="s">
        <v>81</v>
      </c>
      <c r="B1527" s="948">
        <v>373.08</v>
      </c>
      <c r="C1527" s="948" t="s">
        <v>288</v>
      </c>
      <c r="D1527" s="947" t="s">
        <v>17</v>
      </c>
      <c r="E1527" s="950">
        <v>165</v>
      </c>
      <c r="F1527" s="950">
        <v>2</v>
      </c>
      <c r="G1527" s="951">
        <v>105</v>
      </c>
      <c r="H1527" s="951">
        <v>97.14</v>
      </c>
      <c r="I1527" s="18"/>
    </row>
    <row r="1528" spans="1:9">
      <c r="A1528" s="943" t="s">
        <v>81</v>
      </c>
      <c r="B1528" s="944">
        <v>373.1</v>
      </c>
      <c r="C1528" s="944" t="s">
        <v>2337</v>
      </c>
      <c r="D1528" s="943" t="s">
        <v>17</v>
      </c>
      <c r="E1528" s="952">
        <v>1711</v>
      </c>
      <c r="F1528" s="945">
        <v>2</v>
      </c>
      <c r="G1528" s="946">
        <v>125</v>
      </c>
      <c r="H1528" s="946">
        <v>127.78</v>
      </c>
    </row>
    <row r="1529" spans="1:9" s="26" customFormat="1">
      <c r="A1529" s="947" t="s">
        <v>81</v>
      </c>
      <c r="B1529" s="948">
        <v>373.12</v>
      </c>
      <c r="C1529" s="948" t="s">
        <v>289</v>
      </c>
      <c r="D1529" s="947" t="s">
        <v>17</v>
      </c>
      <c r="E1529" s="949">
        <v>1940</v>
      </c>
      <c r="F1529" s="950">
        <v>3</v>
      </c>
      <c r="G1529" s="951">
        <v>145</v>
      </c>
      <c r="H1529" s="951">
        <v>137.13</v>
      </c>
      <c r="I1529" s="18"/>
    </row>
    <row r="1530" spans="1:9">
      <c r="A1530" s="943" t="s">
        <v>81</v>
      </c>
      <c r="B1530" s="944">
        <v>375.1</v>
      </c>
      <c r="C1530" s="944" t="s">
        <v>2341</v>
      </c>
      <c r="D1530" s="943" t="s">
        <v>2</v>
      </c>
      <c r="E1530" s="945">
        <v>6</v>
      </c>
      <c r="F1530" s="945">
        <v>1</v>
      </c>
      <c r="G1530" s="946">
        <v>25000</v>
      </c>
      <c r="H1530" s="946">
        <v>27466.67</v>
      </c>
    </row>
    <row r="1531" spans="1:9" s="26" customFormat="1">
      <c r="A1531" s="947" t="s">
        <v>81</v>
      </c>
      <c r="B1531" s="948">
        <v>375.12</v>
      </c>
      <c r="C1531" s="948" t="s">
        <v>1354</v>
      </c>
      <c r="D1531" s="947" t="s">
        <v>2</v>
      </c>
      <c r="E1531" s="950">
        <v>3</v>
      </c>
      <c r="F1531" s="950">
        <v>1</v>
      </c>
      <c r="G1531" s="951">
        <v>27750</v>
      </c>
      <c r="H1531" s="951">
        <v>26833.33</v>
      </c>
      <c r="I1531" s="18"/>
    </row>
    <row r="1532" spans="1:9">
      <c r="A1532" s="943" t="s">
        <v>81</v>
      </c>
      <c r="B1532" s="944">
        <v>376</v>
      </c>
      <c r="C1532" s="944" t="s">
        <v>290</v>
      </c>
      <c r="D1532" s="943" t="s">
        <v>2</v>
      </c>
      <c r="E1532" s="945">
        <v>268</v>
      </c>
      <c r="F1532" s="945">
        <v>10</v>
      </c>
      <c r="G1532" s="946">
        <v>9500</v>
      </c>
      <c r="H1532" s="946">
        <v>9419.83</v>
      </c>
    </row>
    <row r="1533" spans="1:9" s="26" customFormat="1">
      <c r="A1533" s="947" t="s">
        <v>81</v>
      </c>
      <c r="B1533" s="948">
        <v>376.1</v>
      </c>
      <c r="C1533" s="948" t="s">
        <v>291</v>
      </c>
      <c r="D1533" s="947" t="s">
        <v>2</v>
      </c>
      <c r="E1533" s="950">
        <v>45</v>
      </c>
      <c r="F1533" s="950">
        <v>5</v>
      </c>
      <c r="G1533" s="951">
        <v>4744</v>
      </c>
      <c r="H1533" s="951">
        <v>4554.3999999999996</v>
      </c>
      <c r="I1533" s="18"/>
    </row>
    <row r="1534" spans="1:9">
      <c r="A1534" s="943" t="s">
        <v>81</v>
      </c>
      <c r="B1534" s="944">
        <v>376.2</v>
      </c>
      <c r="C1534" s="944" t="s">
        <v>292</v>
      </c>
      <c r="D1534" s="943" t="s">
        <v>2</v>
      </c>
      <c r="E1534" s="945">
        <v>284</v>
      </c>
      <c r="F1534" s="945">
        <v>18</v>
      </c>
      <c r="G1534" s="946">
        <v>4500</v>
      </c>
      <c r="H1534" s="946">
        <v>4532.09</v>
      </c>
    </row>
    <row r="1535" spans="1:9" s="26" customFormat="1">
      <c r="A1535" s="947" t="s">
        <v>81</v>
      </c>
      <c r="B1535" s="948">
        <v>376.3</v>
      </c>
      <c r="C1535" s="948" t="s">
        <v>293</v>
      </c>
      <c r="D1535" s="947" t="s">
        <v>2</v>
      </c>
      <c r="E1535" s="950">
        <v>195</v>
      </c>
      <c r="F1535" s="950">
        <v>9</v>
      </c>
      <c r="G1535" s="951">
        <v>1525</v>
      </c>
      <c r="H1535" s="951">
        <v>1470.8</v>
      </c>
      <c r="I1535" s="18"/>
    </row>
    <row r="1536" spans="1:9">
      <c r="A1536" s="943" t="s">
        <v>81</v>
      </c>
      <c r="B1536" s="944">
        <v>376.5</v>
      </c>
      <c r="C1536" s="944" t="s">
        <v>294</v>
      </c>
      <c r="D1536" s="943" t="s">
        <v>2</v>
      </c>
      <c r="E1536" s="945">
        <v>186</v>
      </c>
      <c r="F1536" s="945">
        <v>11</v>
      </c>
      <c r="G1536" s="946">
        <v>2500</v>
      </c>
      <c r="H1536" s="946">
        <v>2509.56</v>
      </c>
    </row>
    <row r="1537" spans="1:9" s="26" customFormat="1">
      <c r="A1537" s="947" t="s">
        <v>81</v>
      </c>
      <c r="B1537" s="948">
        <v>379.1</v>
      </c>
      <c r="C1537" s="948" t="s">
        <v>1355</v>
      </c>
      <c r="D1537" s="947" t="s">
        <v>2</v>
      </c>
      <c r="E1537" s="950">
        <v>6</v>
      </c>
      <c r="F1537" s="950">
        <v>2</v>
      </c>
      <c r="G1537" s="951">
        <v>1750</v>
      </c>
      <c r="H1537" s="951">
        <v>1628.33</v>
      </c>
      <c r="I1537" s="18"/>
    </row>
    <row r="1538" spans="1:9">
      <c r="A1538" s="943" t="s">
        <v>81</v>
      </c>
      <c r="B1538" s="944">
        <v>379.15</v>
      </c>
      <c r="C1538" s="944" t="s">
        <v>2342</v>
      </c>
      <c r="D1538" s="943" t="s">
        <v>2</v>
      </c>
      <c r="E1538" s="945">
        <v>3</v>
      </c>
      <c r="F1538" s="945">
        <v>1</v>
      </c>
      <c r="G1538" s="946">
        <v>1800</v>
      </c>
      <c r="H1538" s="946">
        <v>1733.33</v>
      </c>
    </row>
    <row r="1539" spans="1:9" s="26" customFormat="1">
      <c r="A1539" s="947" t="s">
        <v>81</v>
      </c>
      <c r="B1539" s="948">
        <v>381</v>
      </c>
      <c r="C1539" s="948" t="s">
        <v>295</v>
      </c>
      <c r="D1539" s="947" t="s">
        <v>2</v>
      </c>
      <c r="E1539" s="949">
        <v>1154</v>
      </c>
      <c r="F1539" s="950">
        <v>21</v>
      </c>
      <c r="G1539" s="951">
        <v>500</v>
      </c>
      <c r="H1539" s="951">
        <v>504.66</v>
      </c>
      <c r="I1539" s="18"/>
    </row>
    <row r="1540" spans="1:9">
      <c r="A1540" s="943" t="s">
        <v>81</v>
      </c>
      <c r="B1540" s="944">
        <v>381.01</v>
      </c>
      <c r="C1540" s="944" t="s">
        <v>296</v>
      </c>
      <c r="D1540" s="943" t="s">
        <v>2</v>
      </c>
      <c r="E1540" s="945">
        <v>430</v>
      </c>
      <c r="F1540" s="945">
        <v>5</v>
      </c>
      <c r="G1540" s="946">
        <v>460</v>
      </c>
      <c r="H1540" s="946">
        <v>451.9</v>
      </c>
    </row>
    <row r="1541" spans="1:9" s="26" customFormat="1">
      <c r="A1541" s="947" t="s">
        <v>81</v>
      </c>
      <c r="B1541" s="948">
        <v>381.1</v>
      </c>
      <c r="C1541" s="948" t="s">
        <v>39</v>
      </c>
      <c r="D1541" s="947" t="s">
        <v>2</v>
      </c>
      <c r="E1541" s="950">
        <v>17</v>
      </c>
      <c r="F1541" s="950">
        <v>3</v>
      </c>
      <c r="G1541" s="951">
        <v>450</v>
      </c>
      <c r="H1541" s="951">
        <v>554.86</v>
      </c>
      <c r="I1541" s="18"/>
    </row>
    <row r="1542" spans="1:9">
      <c r="A1542" s="943" t="s">
        <v>81</v>
      </c>
      <c r="B1542" s="944">
        <v>381.2</v>
      </c>
      <c r="C1542" s="944" t="s">
        <v>297</v>
      </c>
      <c r="D1542" s="943" t="s">
        <v>2</v>
      </c>
      <c r="E1542" s="945">
        <v>95</v>
      </c>
      <c r="F1542" s="945">
        <v>4</v>
      </c>
      <c r="G1542" s="946">
        <v>137.5</v>
      </c>
      <c r="H1542" s="946">
        <v>140.29</v>
      </c>
    </row>
    <row r="1543" spans="1:9" s="26" customFormat="1">
      <c r="A1543" s="947" t="s">
        <v>81</v>
      </c>
      <c r="B1543" s="948">
        <v>381.3</v>
      </c>
      <c r="C1543" s="948" t="s">
        <v>298</v>
      </c>
      <c r="D1543" s="947" t="s">
        <v>2</v>
      </c>
      <c r="E1543" s="949">
        <v>3966</v>
      </c>
      <c r="F1543" s="950">
        <v>30</v>
      </c>
      <c r="G1543" s="951">
        <v>270</v>
      </c>
      <c r="H1543" s="951">
        <v>274.47000000000003</v>
      </c>
      <c r="I1543" s="18"/>
    </row>
    <row r="1544" spans="1:9">
      <c r="A1544" s="943" t="s">
        <v>81</v>
      </c>
      <c r="B1544" s="944">
        <v>384</v>
      </c>
      <c r="C1544" s="944" t="s">
        <v>299</v>
      </c>
      <c r="D1544" s="943" t="s">
        <v>2</v>
      </c>
      <c r="E1544" s="945">
        <v>855</v>
      </c>
      <c r="F1544" s="945">
        <v>16</v>
      </c>
      <c r="G1544" s="946">
        <v>925</v>
      </c>
      <c r="H1544" s="946">
        <v>850.96</v>
      </c>
    </row>
    <row r="1545" spans="1:9" s="26" customFormat="1">
      <c r="A1545" s="947" t="s">
        <v>81</v>
      </c>
      <c r="B1545" s="948">
        <v>384.1</v>
      </c>
      <c r="C1545" s="948" t="s">
        <v>1356</v>
      </c>
      <c r="D1545" s="947" t="s">
        <v>2</v>
      </c>
      <c r="E1545" s="950">
        <v>9</v>
      </c>
      <c r="F1545" s="950">
        <v>2</v>
      </c>
      <c r="G1545" s="951">
        <v>500</v>
      </c>
      <c r="H1545" s="951">
        <v>529.16999999999996</v>
      </c>
      <c r="I1545" s="18"/>
    </row>
    <row r="1546" spans="1:9">
      <c r="A1546" s="943" t="s">
        <v>81</v>
      </c>
      <c r="B1546" s="944">
        <v>388</v>
      </c>
      <c r="C1546" s="944" t="s">
        <v>1358</v>
      </c>
      <c r="D1546" s="943" t="s">
        <v>2</v>
      </c>
      <c r="E1546" s="945">
        <v>3</v>
      </c>
      <c r="F1546" s="945">
        <v>1</v>
      </c>
      <c r="G1546" s="946">
        <v>11900</v>
      </c>
      <c r="H1546" s="946">
        <v>11046.67</v>
      </c>
    </row>
    <row r="1547" spans="1:9" s="26" customFormat="1">
      <c r="A1547" s="947" t="s">
        <v>81</v>
      </c>
      <c r="B1547" s="948">
        <v>402</v>
      </c>
      <c r="C1547" s="948" t="s">
        <v>301</v>
      </c>
      <c r="D1547" s="947" t="s">
        <v>4</v>
      </c>
      <c r="E1547" s="949">
        <v>226114</v>
      </c>
      <c r="F1547" s="950">
        <v>58</v>
      </c>
      <c r="G1547" s="951">
        <v>95</v>
      </c>
      <c r="H1547" s="951">
        <v>94.05</v>
      </c>
      <c r="I1547" s="18"/>
    </row>
    <row r="1548" spans="1:9">
      <c r="A1548" s="943" t="s">
        <v>81</v>
      </c>
      <c r="B1548" s="944">
        <v>402.1</v>
      </c>
      <c r="C1548" s="944" t="s">
        <v>301</v>
      </c>
      <c r="D1548" s="943" t="s">
        <v>7</v>
      </c>
      <c r="E1548" s="952">
        <v>3085</v>
      </c>
      <c r="F1548" s="945">
        <v>3</v>
      </c>
      <c r="G1548" s="946">
        <v>67</v>
      </c>
      <c r="H1548" s="946">
        <v>55.7</v>
      </c>
    </row>
    <row r="1549" spans="1:9" s="26" customFormat="1">
      <c r="A1549" s="947" t="s">
        <v>81</v>
      </c>
      <c r="B1549" s="948">
        <v>402.11</v>
      </c>
      <c r="C1549" s="948" t="s">
        <v>302</v>
      </c>
      <c r="D1549" s="947" t="s">
        <v>7</v>
      </c>
      <c r="E1549" s="949">
        <v>2945</v>
      </c>
      <c r="F1549" s="950">
        <v>8</v>
      </c>
      <c r="G1549" s="951">
        <v>115</v>
      </c>
      <c r="H1549" s="951">
        <v>110.67</v>
      </c>
      <c r="I1549" s="18"/>
    </row>
    <row r="1550" spans="1:9">
      <c r="A1550" s="943" t="s">
        <v>81</v>
      </c>
      <c r="B1550" s="944">
        <v>402.12</v>
      </c>
      <c r="C1550" s="944" t="s">
        <v>302</v>
      </c>
      <c r="D1550" s="943" t="s">
        <v>4</v>
      </c>
      <c r="E1550" s="952">
        <v>2210</v>
      </c>
      <c r="F1550" s="945">
        <v>3</v>
      </c>
      <c r="G1550" s="946">
        <v>110</v>
      </c>
      <c r="H1550" s="946">
        <v>105.13</v>
      </c>
    </row>
    <row r="1551" spans="1:9" s="26" customFormat="1">
      <c r="A1551" s="947" t="s">
        <v>81</v>
      </c>
      <c r="B1551" s="948">
        <v>402.13</v>
      </c>
      <c r="C1551" s="948" t="s">
        <v>1359</v>
      </c>
      <c r="D1551" s="947" t="s">
        <v>17</v>
      </c>
      <c r="E1551" s="949">
        <v>426598</v>
      </c>
      <c r="F1551" s="950">
        <v>12</v>
      </c>
      <c r="G1551" s="951">
        <v>9</v>
      </c>
      <c r="H1551" s="951">
        <v>8.43</v>
      </c>
      <c r="I1551" s="18"/>
    </row>
    <row r="1552" spans="1:9">
      <c r="A1552" s="943" t="s">
        <v>81</v>
      </c>
      <c r="B1552" s="944">
        <v>403</v>
      </c>
      <c r="C1552" s="944" t="s">
        <v>303</v>
      </c>
      <c r="D1552" s="943" t="s">
        <v>1</v>
      </c>
      <c r="E1552" s="952">
        <v>180670</v>
      </c>
      <c r="F1552" s="945">
        <v>2</v>
      </c>
      <c r="G1552" s="946">
        <v>5.5</v>
      </c>
      <c r="H1552" s="946">
        <v>5.08</v>
      </c>
    </row>
    <row r="1553" spans="1:9" s="26" customFormat="1">
      <c r="A1553" s="947" t="s">
        <v>81</v>
      </c>
      <c r="B1553" s="948">
        <v>403.1</v>
      </c>
      <c r="C1553" s="948" t="s">
        <v>304</v>
      </c>
      <c r="D1553" s="947" t="s">
        <v>7</v>
      </c>
      <c r="E1553" s="949">
        <v>8380</v>
      </c>
      <c r="F1553" s="950">
        <v>3</v>
      </c>
      <c r="G1553" s="951">
        <v>41</v>
      </c>
      <c r="H1553" s="951">
        <v>40.93</v>
      </c>
      <c r="I1553" s="18"/>
    </row>
    <row r="1554" spans="1:9">
      <c r="A1554" s="943" t="s">
        <v>81</v>
      </c>
      <c r="B1554" s="944">
        <v>415.1</v>
      </c>
      <c r="C1554" s="944" t="s">
        <v>1360</v>
      </c>
      <c r="D1554" s="943" t="s">
        <v>1</v>
      </c>
      <c r="E1554" s="952">
        <v>645560</v>
      </c>
      <c r="F1554" s="945">
        <v>14</v>
      </c>
      <c r="G1554" s="946">
        <v>10</v>
      </c>
      <c r="H1554" s="946">
        <v>12.92</v>
      </c>
    </row>
    <row r="1555" spans="1:9" s="26" customFormat="1">
      <c r="A1555" s="947" t="s">
        <v>81</v>
      </c>
      <c r="B1555" s="948">
        <v>415.2</v>
      </c>
      <c r="C1555" s="948" t="s">
        <v>1361</v>
      </c>
      <c r="D1555" s="947" t="s">
        <v>1</v>
      </c>
      <c r="E1555" s="949">
        <v>9650980</v>
      </c>
      <c r="F1555" s="950">
        <v>43</v>
      </c>
      <c r="G1555" s="951">
        <v>14</v>
      </c>
      <c r="H1555" s="951">
        <v>13.18</v>
      </c>
      <c r="I1555" s="18"/>
    </row>
    <row r="1556" spans="1:9">
      <c r="A1556" s="943" t="s">
        <v>81</v>
      </c>
      <c r="B1556" s="944">
        <v>415.3</v>
      </c>
      <c r="C1556" s="944" t="s">
        <v>1230</v>
      </c>
      <c r="D1556" s="943" t="s">
        <v>1</v>
      </c>
      <c r="E1556" s="952">
        <v>451240</v>
      </c>
      <c r="F1556" s="945">
        <v>13</v>
      </c>
      <c r="G1556" s="946">
        <v>25</v>
      </c>
      <c r="H1556" s="946">
        <v>23.64</v>
      </c>
    </row>
    <row r="1557" spans="1:9" s="26" customFormat="1">
      <c r="A1557" s="947" t="s">
        <v>81</v>
      </c>
      <c r="B1557" s="948">
        <v>415.4</v>
      </c>
      <c r="C1557" s="948" t="s">
        <v>1362</v>
      </c>
      <c r="D1557" s="947" t="s">
        <v>1</v>
      </c>
      <c r="E1557" s="949">
        <v>210514</v>
      </c>
      <c r="F1557" s="950">
        <v>14</v>
      </c>
      <c r="G1557" s="951">
        <v>26</v>
      </c>
      <c r="H1557" s="951">
        <v>27.26</v>
      </c>
      <c r="I1557" s="18"/>
    </row>
    <row r="1558" spans="1:9">
      <c r="A1558" s="943" t="s">
        <v>81</v>
      </c>
      <c r="B1558" s="944">
        <v>430</v>
      </c>
      <c r="C1558" s="944" t="s">
        <v>1363</v>
      </c>
      <c r="D1558" s="943" t="s">
        <v>1</v>
      </c>
      <c r="E1558" s="952">
        <v>5190</v>
      </c>
      <c r="F1558" s="945">
        <v>4</v>
      </c>
      <c r="G1558" s="946">
        <v>85</v>
      </c>
      <c r="H1558" s="946">
        <v>81.42</v>
      </c>
    </row>
    <row r="1559" spans="1:9" s="26" customFormat="1">
      <c r="A1559" s="947" t="s">
        <v>81</v>
      </c>
      <c r="B1559" s="948">
        <v>431</v>
      </c>
      <c r="C1559" s="948" t="s">
        <v>27</v>
      </c>
      <c r="D1559" s="947" t="s">
        <v>1</v>
      </c>
      <c r="E1559" s="949">
        <v>32841</v>
      </c>
      <c r="F1559" s="950">
        <v>27</v>
      </c>
      <c r="G1559" s="951">
        <v>90.5</v>
      </c>
      <c r="H1559" s="951">
        <v>92.24</v>
      </c>
      <c r="I1559" s="18"/>
    </row>
    <row r="1560" spans="1:9">
      <c r="A1560" s="943" t="s">
        <v>81</v>
      </c>
      <c r="B1560" s="944">
        <v>431.1</v>
      </c>
      <c r="C1560" s="944" t="s">
        <v>27</v>
      </c>
      <c r="D1560" s="943" t="s">
        <v>4</v>
      </c>
      <c r="E1560" s="945">
        <v>30</v>
      </c>
      <c r="F1560" s="945">
        <v>1</v>
      </c>
      <c r="G1560" s="946">
        <v>350</v>
      </c>
      <c r="H1560" s="946">
        <v>350</v>
      </c>
    </row>
    <row r="1561" spans="1:9" s="26" customFormat="1">
      <c r="A1561" s="947" t="s">
        <v>81</v>
      </c>
      <c r="B1561" s="948">
        <v>440</v>
      </c>
      <c r="C1561" s="948" t="s">
        <v>305</v>
      </c>
      <c r="D1561" s="947" t="s">
        <v>100</v>
      </c>
      <c r="E1561" s="949">
        <v>3224329</v>
      </c>
      <c r="F1561" s="950">
        <v>47</v>
      </c>
      <c r="G1561" s="951">
        <v>0.45</v>
      </c>
      <c r="H1561" s="951">
        <v>0.45</v>
      </c>
      <c r="I1561" s="18"/>
    </row>
    <row r="1562" spans="1:9">
      <c r="A1562" s="943" t="s">
        <v>81</v>
      </c>
      <c r="B1562" s="944">
        <v>443</v>
      </c>
      <c r="C1562" s="944" t="s">
        <v>306</v>
      </c>
      <c r="D1562" s="943" t="s">
        <v>307</v>
      </c>
      <c r="E1562" s="953">
        <v>6231.4</v>
      </c>
      <c r="F1562" s="945">
        <v>51</v>
      </c>
      <c r="G1562" s="946">
        <v>100</v>
      </c>
      <c r="H1562" s="946">
        <v>83.19</v>
      </c>
    </row>
    <row r="1563" spans="1:9" s="26" customFormat="1">
      <c r="A1563" s="947" t="s">
        <v>81</v>
      </c>
      <c r="B1563" s="948">
        <v>450.1</v>
      </c>
      <c r="C1563" s="948" t="s">
        <v>4069</v>
      </c>
      <c r="D1563" s="947" t="s">
        <v>7</v>
      </c>
      <c r="E1563" s="949">
        <v>1200</v>
      </c>
      <c r="F1563" s="950">
        <v>1</v>
      </c>
      <c r="G1563" s="951">
        <v>185</v>
      </c>
      <c r="H1563" s="951">
        <v>185</v>
      </c>
      <c r="I1563" s="18"/>
    </row>
    <row r="1564" spans="1:9">
      <c r="A1564" s="943" t="s">
        <v>81</v>
      </c>
      <c r="B1564" s="944">
        <v>450.22</v>
      </c>
      <c r="C1564" s="944" t="s">
        <v>4033</v>
      </c>
      <c r="D1564" s="943" t="s">
        <v>7</v>
      </c>
      <c r="E1564" s="952">
        <v>42975</v>
      </c>
      <c r="F1564" s="945">
        <v>19</v>
      </c>
      <c r="G1564" s="946">
        <v>225</v>
      </c>
      <c r="H1564" s="946">
        <v>223.81</v>
      </c>
    </row>
    <row r="1565" spans="1:9" s="26" customFormat="1">
      <c r="A1565" s="947" t="s">
        <v>81</v>
      </c>
      <c r="B1565" s="948">
        <v>450.221</v>
      </c>
      <c r="C1565" s="948" t="s">
        <v>4034</v>
      </c>
      <c r="D1565" s="947" t="s">
        <v>7</v>
      </c>
      <c r="E1565" s="949">
        <v>53913</v>
      </c>
      <c r="F1565" s="950">
        <v>10</v>
      </c>
      <c r="G1565" s="951">
        <v>180</v>
      </c>
      <c r="H1565" s="951">
        <v>216.51</v>
      </c>
      <c r="I1565" s="18"/>
    </row>
    <row r="1566" spans="1:9">
      <c r="A1566" s="943" t="s">
        <v>81</v>
      </c>
      <c r="B1566" s="944">
        <v>450.23</v>
      </c>
      <c r="C1566" s="944" t="s">
        <v>308</v>
      </c>
      <c r="D1566" s="943" t="s">
        <v>7</v>
      </c>
      <c r="E1566" s="952">
        <v>192169</v>
      </c>
      <c r="F1566" s="945">
        <v>14</v>
      </c>
      <c r="G1566" s="946">
        <v>155</v>
      </c>
      <c r="H1566" s="946">
        <v>153.63</v>
      </c>
    </row>
    <row r="1567" spans="1:9" s="26" customFormat="1">
      <c r="A1567" s="947" t="s">
        <v>81</v>
      </c>
      <c r="B1567" s="948">
        <v>450.23099999999999</v>
      </c>
      <c r="C1567" s="948" t="s">
        <v>1367</v>
      </c>
      <c r="D1567" s="947" t="s">
        <v>7</v>
      </c>
      <c r="E1567" s="949">
        <v>898145</v>
      </c>
      <c r="F1567" s="950">
        <v>36</v>
      </c>
      <c r="G1567" s="951">
        <v>169.19</v>
      </c>
      <c r="H1567" s="951">
        <v>168.47</v>
      </c>
      <c r="I1567" s="18"/>
    </row>
    <row r="1568" spans="1:9">
      <c r="A1568" s="943" t="s">
        <v>81</v>
      </c>
      <c r="B1568" s="944">
        <v>450.24099999999999</v>
      </c>
      <c r="C1568" s="944" t="s">
        <v>4076</v>
      </c>
      <c r="D1568" s="943" t="s">
        <v>7</v>
      </c>
      <c r="E1568" s="952">
        <v>1200</v>
      </c>
      <c r="F1568" s="945">
        <v>1</v>
      </c>
      <c r="G1568" s="946">
        <v>210</v>
      </c>
      <c r="H1568" s="946">
        <v>221.67</v>
      </c>
    </row>
    <row r="1569" spans="1:9" s="26" customFormat="1">
      <c r="A1569" s="947" t="s">
        <v>81</v>
      </c>
      <c r="B1569" s="948">
        <v>450.31</v>
      </c>
      <c r="C1569" s="948" t="s">
        <v>53</v>
      </c>
      <c r="D1569" s="947" t="s">
        <v>7</v>
      </c>
      <c r="E1569" s="949">
        <v>175461</v>
      </c>
      <c r="F1569" s="950">
        <v>30</v>
      </c>
      <c r="G1569" s="951">
        <v>185</v>
      </c>
      <c r="H1569" s="951">
        <v>199.79</v>
      </c>
      <c r="I1569" s="18"/>
    </row>
    <row r="1570" spans="1:9">
      <c r="A1570" s="943" t="s">
        <v>81</v>
      </c>
      <c r="B1570" s="944">
        <v>450.31099999999998</v>
      </c>
      <c r="C1570" s="944" t="s">
        <v>1369</v>
      </c>
      <c r="D1570" s="943" t="s">
        <v>7</v>
      </c>
      <c r="E1570" s="952">
        <v>5580</v>
      </c>
      <c r="F1570" s="945">
        <v>3</v>
      </c>
      <c r="G1570" s="946">
        <v>170</v>
      </c>
      <c r="H1570" s="946">
        <v>169.85</v>
      </c>
    </row>
    <row r="1571" spans="1:9" s="26" customFormat="1">
      <c r="A1571" s="947" t="s">
        <v>81</v>
      </c>
      <c r="B1571" s="948">
        <v>450.32</v>
      </c>
      <c r="C1571" s="948" t="s">
        <v>309</v>
      </c>
      <c r="D1571" s="947" t="s">
        <v>7</v>
      </c>
      <c r="E1571" s="949">
        <v>404539</v>
      </c>
      <c r="F1571" s="950">
        <v>36</v>
      </c>
      <c r="G1571" s="951">
        <v>160</v>
      </c>
      <c r="H1571" s="951">
        <v>161.88</v>
      </c>
      <c r="I1571" s="18"/>
    </row>
    <row r="1572" spans="1:9">
      <c r="A1572" s="943" t="s">
        <v>81</v>
      </c>
      <c r="B1572" s="944">
        <v>450.41</v>
      </c>
      <c r="C1572" s="944" t="s">
        <v>1371</v>
      </c>
      <c r="D1572" s="943" t="s">
        <v>7</v>
      </c>
      <c r="E1572" s="952">
        <v>18580</v>
      </c>
      <c r="F1572" s="945">
        <v>2</v>
      </c>
      <c r="G1572" s="946">
        <v>130</v>
      </c>
      <c r="H1572" s="946">
        <v>135.72999999999999</v>
      </c>
    </row>
    <row r="1573" spans="1:9" s="26" customFormat="1">
      <c r="A1573" s="947" t="s">
        <v>81</v>
      </c>
      <c r="B1573" s="948">
        <v>450.42</v>
      </c>
      <c r="C1573" s="948" t="s">
        <v>37</v>
      </c>
      <c r="D1573" s="947" t="s">
        <v>7</v>
      </c>
      <c r="E1573" s="949">
        <v>487222</v>
      </c>
      <c r="F1573" s="950">
        <v>43</v>
      </c>
      <c r="G1573" s="951">
        <v>170</v>
      </c>
      <c r="H1573" s="951">
        <v>167.16</v>
      </c>
      <c r="I1573" s="18"/>
    </row>
    <row r="1574" spans="1:9">
      <c r="A1574" s="943" t="s">
        <v>81</v>
      </c>
      <c r="B1574" s="944">
        <v>450.52</v>
      </c>
      <c r="C1574" s="944" t="s">
        <v>310</v>
      </c>
      <c r="D1574" s="943" t="s">
        <v>7</v>
      </c>
      <c r="E1574" s="952">
        <v>23172</v>
      </c>
      <c r="F1574" s="945">
        <v>7</v>
      </c>
      <c r="G1574" s="946">
        <v>185</v>
      </c>
      <c r="H1574" s="946">
        <v>188.52</v>
      </c>
    </row>
    <row r="1575" spans="1:9" s="26" customFormat="1">
      <c r="A1575" s="947" t="s">
        <v>81</v>
      </c>
      <c r="B1575" s="948">
        <v>450.53</v>
      </c>
      <c r="C1575" s="948" t="s">
        <v>1372</v>
      </c>
      <c r="D1575" s="947" t="s">
        <v>7</v>
      </c>
      <c r="E1575" s="949">
        <v>1365</v>
      </c>
      <c r="F1575" s="950">
        <v>3</v>
      </c>
      <c r="G1575" s="951">
        <v>235</v>
      </c>
      <c r="H1575" s="951">
        <v>294.5</v>
      </c>
      <c r="I1575" s="18"/>
    </row>
    <row r="1576" spans="1:9">
      <c r="A1576" s="943" t="s">
        <v>81</v>
      </c>
      <c r="B1576" s="944">
        <v>450.6</v>
      </c>
      <c r="C1576" s="944" t="s">
        <v>311</v>
      </c>
      <c r="D1576" s="943" t="s">
        <v>7</v>
      </c>
      <c r="E1576" s="952">
        <v>4375</v>
      </c>
      <c r="F1576" s="945">
        <v>11</v>
      </c>
      <c r="G1576" s="946">
        <v>323.5</v>
      </c>
      <c r="H1576" s="946">
        <v>313.27999999999997</v>
      </c>
    </row>
    <row r="1577" spans="1:9" s="26" customFormat="1">
      <c r="A1577" s="947" t="s">
        <v>81</v>
      </c>
      <c r="B1577" s="948">
        <v>450.601</v>
      </c>
      <c r="C1577" s="948" t="s">
        <v>1373</v>
      </c>
      <c r="D1577" s="947" t="s">
        <v>7</v>
      </c>
      <c r="E1577" s="949">
        <v>11896</v>
      </c>
      <c r="F1577" s="950">
        <v>13</v>
      </c>
      <c r="G1577" s="951">
        <v>380</v>
      </c>
      <c r="H1577" s="951">
        <v>368.3</v>
      </c>
      <c r="I1577" s="18"/>
    </row>
    <row r="1578" spans="1:9">
      <c r="A1578" s="943" t="s">
        <v>81</v>
      </c>
      <c r="B1578" s="944">
        <v>450.61099999999999</v>
      </c>
      <c r="C1578" s="944" t="s">
        <v>1374</v>
      </c>
      <c r="D1578" s="943" t="s">
        <v>7</v>
      </c>
      <c r="E1578" s="945">
        <v>58</v>
      </c>
      <c r="F1578" s="945">
        <v>1</v>
      </c>
      <c r="G1578" s="946">
        <v>215</v>
      </c>
      <c r="H1578" s="946">
        <v>192.5</v>
      </c>
    </row>
    <row r="1579" spans="1:9" s="26" customFormat="1">
      <c r="A1579" s="947" t="s">
        <v>81</v>
      </c>
      <c r="B1579" s="948">
        <v>450.7</v>
      </c>
      <c r="C1579" s="948" t="s">
        <v>313</v>
      </c>
      <c r="D1579" s="947" t="s">
        <v>7</v>
      </c>
      <c r="E1579" s="949">
        <v>2524</v>
      </c>
      <c r="F1579" s="950">
        <v>11</v>
      </c>
      <c r="G1579" s="951">
        <v>339</v>
      </c>
      <c r="H1579" s="951">
        <v>343.01</v>
      </c>
      <c r="I1579" s="18"/>
    </row>
    <row r="1580" spans="1:9">
      <c r="A1580" s="943" t="s">
        <v>81</v>
      </c>
      <c r="B1580" s="944">
        <v>450.70100000000002</v>
      </c>
      <c r="C1580" s="944" t="s">
        <v>1375</v>
      </c>
      <c r="D1580" s="943" t="s">
        <v>7</v>
      </c>
      <c r="E1580" s="952">
        <v>1287</v>
      </c>
      <c r="F1580" s="945">
        <v>5</v>
      </c>
      <c r="G1580" s="946">
        <v>287.5</v>
      </c>
      <c r="H1580" s="946">
        <v>290.64999999999998</v>
      </c>
    </row>
    <row r="1581" spans="1:9" s="26" customFormat="1">
      <c r="A1581" s="947" t="s">
        <v>81</v>
      </c>
      <c r="B1581" s="948">
        <v>450.71</v>
      </c>
      <c r="C1581" s="948" t="s">
        <v>4035</v>
      </c>
      <c r="D1581" s="947" t="s">
        <v>7</v>
      </c>
      <c r="E1581" s="949">
        <v>1271</v>
      </c>
      <c r="F1581" s="950">
        <v>7</v>
      </c>
      <c r="G1581" s="951">
        <v>375</v>
      </c>
      <c r="H1581" s="951">
        <v>379.78</v>
      </c>
      <c r="I1581" s="18"/>
    </row>
    <row r="1582" spans="1:9">
      <c r="A1582" s="943" t="s">
        <v>81</v>
      </c>
      <c r="B1582" s="944">
        <v>450.71100000000001</v>
      </c>
      <c r="C1582" s="944" t="s">
        <v>4036</v>
      </c>
      <c r="D1582" s="943" t="s">
        <v>7</v>
      </c>
      <c r="E1582" s="952">
        <v>1930</v>
      </c>
      <c r="F1582" s="945">
        <v>2</v>
      </c>
      <c r="G1582" s="946">
        <v>520</v>
      </c>
      <c r="H1582" s="946">
        <v>544.29</v>
      </c>
    </row>
    <row r="1583" spans="1:9" s="26" customFormat="1">
      <c r="A1583" s="947" t="s">
        <v>81</v>
      </c>
      <c r="B1583" s="948">
        <v>450.8</v>
      </c>
      <c r="C1583" s="948" t="s">
        <v>1377</v>
      </c>
      <c r="D1583" s="947" t="s">
        <v>7</v>
      </c>
      <c r="E1583" s="949">
        <v>39550</v>
      </c>
      <c r="F1583" s="950">
        <v>2</v>
      </c>
      <c r="G1583" s="951">
        <v>239</v>
      </c>
      <c r="H1583" s="951">
        <v>249.8</v>
      </c>
      <c r="I1583" s="18"/>
    </row>
    <row r="1584" spans="1:9">
      <c r="A1584" s="943" t="s">
        <v>81</v>
      </c>
      <c r="B1584" s="944">
        <v>451</v>
      </c>
      <c r="C1584" s="944" t="s">
        <v>36</v>
      </c>
      <c r="D1584" s="943" t="s">
        <v>7</v>
      </c>
      <c r="E1584" s="953">
        <v>88294.5</v>
      </c>
      <c r="F1584" s="945">
        <v>97</v>
      </c>
      <c r="G1584" s="946">
        <v>300</v>
      </c>
      <c r="H1584" s="946">
        <v>298.41000000000003</v>
      </c>
    </row>
    <row r="1585" spans="1:9" s="26" customFormat="1">
      <c r="A1585" s="947" t="s">
        <v>81</v>
      </c>
      <c r="B1585" s="948">
        <v>452</v>
      </c>
      <c r="C1585" s="948" t="s">
        <v>31</v>
      </c>
      <c r="D1585" s="947" t="s">
        <v>20</v>
      </c>
      <c r="E1585" s="949">
        <v>1047196</v>
      </c>
      <c r="F1585" s="950">
        <v>78</v>
      </c>
      <c r="G1585" s="951">
        <v>10</v>
      </c>
      <c r="H1585" s="951">
        <v>10.029999999999999</v>
      </c>
      <c r="I1585" s="18"/>
    </row>
    <row r="1586" spans="1:9">
      <c r="A1586" s="943" t="s">
        <v>81</v>
      </c>
      <c r="B1586" s="944">
        <v>453</v>
      </c>
      <c r="C1586" s="944" t="s">
        <v>3962</v>
      </c>
      <c r="D1586" s="943" t="s">
        <v>17</v>
      </c>
      <c r="E1586" s="952">
        <v>4330823</v>
      </c>
      <c r="F1586" s="945">
        <v>75</v>
      </c>
      <c r="G1586" s="946">
        <v>1.5</v>
      </c>
      <c r="H1586" s="946">
        <v>1.51</v>
      </c>
    </row>
    <row r="1587" spans="1:9" s="26" customFormat="1">
      <c r="A1587" s="947" t="s">
        <v>81</v>
      </c>
      <c r="B1587" s="948">
        <v>457.1</v>
      </c>
      <c r="C1587" s="948" t="s">
        <v>1378</v>
      </c>
      <c r="D1587" s="947" t="s">
        <v>7</v>
      </c>
      <c r="E1587" s="949">
        <v>5568</v>
      </c>
      <c r="F1587" s="950">
        <v>7</v>
      </c>
      <c r="G1587" s="951">
        <v>762.5</v>
      </c>
      <c r="H1587" s="951">
        <v>672.71</v>
      </c>
      <c r="I1587" s="18"/>
    </row>
    <row r="1588" spans="1:9">
      <c r="A1588" s="943" t="s">
        <v>81</v>
      </c>
      <c r="B1588" s="944">
        <v>457.2</v>
      </c>
      <c r="C1588" s="944" t="s">
        <v>1379</v>
      </c>
      <c r="D1588" s="943" t="s">
        <v>7</v>
      </c>
      <c r="E1588" s="952">
        <v>10145</v>
      </c>
      <c r="F1588" s="945">
        <v>6</v>
      </c>
      <c r="G1588" s="946">
        <v>662.5</v>
      </c>
      <c r="H1588" s="946">
        <v>669.61</v>
      </c>
    </row>
    <row r="1589" spans="1:9" s="26" customFormat="1">
      <c r="A1589" s="947" t="s">
        <v>81</v>
      </c>
      <c r="B1589" s="948">
        <v>458.2</v>
      </c>
      <c r="C1589" s="948" t="s">
        <v>4037</v>
      </c>
      <c r="D1589" s="947" t="s">
        <v>7</v>
      </c>
      <c r="E1589" s="949">
        <v>446800</v>
      </c>
      <c r="F1589" s="950">
        <v>3</v>
      </c>
      <c r="G1589" s="951">
        <v>163</v>
      </c>
      <c r="H1589" s="951">
        <v>167.03</v>
      </c>
      <c r="I1589" s="18"/>
    </row>
    <row r="1590" spans="1:9">
      <c r="A1590" s="943" t="s">
        <v>81</v>
      </c>
      <c r="B1590" s="944">
        <v>466.3</v>
      </c>
      <c r="C1590" s="944" t="s">
        <v>4077</v>
      </c>
      <c r="D1590" s="943" t="s">
        <v>1</v>
      </c>
      <c r="E1590" s="952">
        <v>7440</v>
      </c>
      <c r="F1590" s="945">
        <v>1</v>
      </c>
      <c r="G1590" s="946">
        <v>50</v>
      </c>
      <c r="H1590" s="946">
        <v>48.67</v>
      </c>
    </row>
    <row r="1591" spans="1:9" s="26" customFormat="1">
      <c r="A1591" s="947" t="s">
        <v>81</v>
      </c>
      <c r="B1591" s="948">
        <v>470</v>
      </c>
      <c r="C1591" s="948" t="s">
        <v>1382</v>
      </c>
      <c r="D1591" s="947" t="s">
        <v>7</v>
      </c>
      <c r="E1591" s="954">
        <v>7304.7</v>
      </c>
      <c r="F1591" s="950">
        <v>30</v>
      </c>
      <c r="G1591" s="951">
        <v>400</v>
      </c>
      <c r="H1591" s="951">
        <v>382.84</v>
      </c>
      <c r="I1591" s="18"/>
    </row>
    <row r="1592" spans="1:9">
      <c r="A1592" s="943" t="s">
        <v>81</v>
      </c>
      <c r="B1592" s="944">
        <v>472</v>
      </c>
      <c r="C1592" s="944" t="s">
        <v>1383</v>
      </c>
      <c r="D1592" s="943" t="s">
        <v>7</v>
      </c>
      <c r="E1592" s="952">
        <v>102987</v>
      </c>
      <c r="F1592" s="945">
        <v>90</v>
      </c>
      <c r="G1592" s="946">
        <v>300</v>
      </c>
      <c r="H1592" s="946">
        <v>290.87</v>
      </c>
    </row>
    <row r="1593" spans="1:9" s="26" customFormat="1">
      <c r="A1593" s="947" t="s">
        <v>81</v>
      </c>
      <c r="B1593" s="948">
        <v>476</v>
      </c>
      <c r="C1593" s="948" t="s">
        <v>316</v>
      </c>
      <c r="D1593" s="947" t="s">
        <v>1</v>
      </c>
      <c r="E1593" s="949">
        <v>1560</v>
      </c>
      <c r="F1593" s="950">
        <v>2</v>
      </c>
      <c r="G1593" s="951">
        <v>200</v>
      </c>
      <c r="H1593" s="951">
        <v>253.11</v>
      </c>
      <c r="I1593" s="18"/>
    </row>
    <row r="1594" spans="1:9">
      <c r="A1594" s="943" t="s">
        <v>81</v>
      </c>
      <c r="B1594" s="944">
        <v>476.1</v>
      </c>
      <c r="C1594" s="944" t="s">
        <v>316</v>
      </c>
      <c r="D1594" s="943" t="s">
        <v>4</v>
      </c>
      <c r="E1594" s="952">
        <v>14300</v>
      </c>
      <c r="F1594" s="945">
        <v>1</v>
      </c>
      <c r="G1594" s="946">
        <v>1062.5</v>
      </c>
      <c r="H1594" s="946">
        <v>1062.5</v>
      </c>
    </row>
    <row r="1595" spans="1:9" s="26" customFormat="1">
      <c r="A1595" s="947" t="s">
        <v>81</v>
      </c>
      <c r="B1595" s="948">
        <v>477</v>
      </c>
      <c r="C1595" s="948" t="s">
        <v>1384</v>
      </c>
      <c r="D1595" s="947" t="s">
        <v>17</v>
      </c>
      <c r="E1595" s="949">
        <v>2365967</v>
      </c>
      <c r="F1595" s="950">
        <v>17</v>
      </c>
      <c r="G1595" s="951">
        <v>3</v>
      </c>
      <c r="H1595" s="951">
        <v>4.0199999999999996</v>
      </c>
      <c r="I1595" s="18"/>
    </row>
    <row r="1596" spans="1:9">
      <c r="A1596" s="943" t="s">
        <v>81</v>
      </c>
      <c r="B1596" s="944">
        <v>477.1</v>
      </c>
      <c r="C1596" s="944" t="s">
        <v>1385</v>
      </c>
      <c r="D1596" s="943" t="s">
        <v>17</v>
      </c>
      <c r="E1596" s="952">
        <v>129766</v>
      </c>
      <c r="F1596" s="945">
        <v>5</v>
      </c>
      <c r="G1596" s="946">
        <v>3.5</v>
      </c>
      <c r="H1596" s="946">
        <v>3.02</v>
      </c>
    </row>
    <row r="1597" spans="1:9" s="26" customFormat="1">
      <c r="A1597" s="947" t="s">
        <v>81</v>
      </c>
      <c r="B1597" s="948">
        <v>477.2</v>
      </c>
      <c r="C1597" s="948" t="s">
        <v>1386</v>
      </c>
      <c r="D1597" s="947" t="s">
        <v>17</v>
      </c>
      <c r="E1597" s="949">
        <v>127230</v>
      </c>
      <c r="F1597" s="950">
        <v>10</v>
      </c>
      <c r="G1597" s="951">
        <v>4</v>
      </c>
      <c r="H1597" s="951">
        <v>4.74</v>
      </c>
      <c r="I1597" s="18"/>
    </row>
    <row r="1598" spans="1:9">
      <c r="A1598" s="943" t="s">
        <v>81</v>
      </c>
      <c r="B1598" s="944">
        <v>480.1</v>
      </c>
      <c r="C1598" s="944" t="s">
        <v>4001</v>
      </c>
      <c r="D1598" s="943" t="s">
        <v>20</v>
      </c>
      <c r="E1598" s="945">
        <v>50</v>
      </c>
      <c r="F1598" s="945">
        <v>1</v>
      </c>
      <c r="G1598" s="946">
        <v>43</v>
      </c>
      <c r="H1598" s="946">
        <v>43</v>
      </c>
    </row>
    <row r="1599" spans="1:9" s="26" customFormat="1">
      <c r="A1599" s="947" t="s">
        <v>81</v>
      </c>
      <c r="B1599" s="948">
        <v>480.2</v>
      </c>
      <c r="C1599" s="948" t="s">
        <v>4002</v>
      </c>
      <c r="D1599" s="947" t="s">
        <v>20</v>
      </c>
      <c r="E1599" s="949">
        <v>250963</v>
      </c>
      <c r="F1599" s="950">
        <v>10</v>
      </c>
      <c r="G1599" s="951">
        <v>21.42</v>
      </c>
      <c r="H1599" s="951">
        <v>23.6</v>
      </c>
      <c r="I1599" s="18"/>
    </row>
    <row r="1600" spans="1:9">
      <c r="A1600" s="943" t="s">
        <v>81</v>
      </c>
      <c r="B1600" s="944">
        <v>482.3</v>
      </c>
      <c r="C1600" s="944" t="s">
        <v>319</v>
      </c>
      <c r="D1600" s="943" t="s">
        <v>17</v>
      </c>
      <c r="E1600" s="952">
        <v>13919</v>
      </c>
      <c r="F1600" s="945">
        <v>11</v>
      </c>
      <c r="G1600" s="946">
        <v>6</v>
      </c>
      <c r="H1600" s="946">
        <v>5.59</v>
      </c>
    </row>
    <row r="1601" spans="1:9" s="26" customFormat="1">
      <c r="A1601" s="947" t="s">
        <v>81</v>
      </c>
      <c r="B1601" s="948">
        <v>482.31</v>
      </c>
      <c r="C1601" s="948" t="s">
        <v>4038</v>
      </c>
      <c r="D1601" s="947" t="s">
        <v>17</v>
      </c>
      <c r="E1601" s="949">
        <v>19802</v>
      </c>
      <c r="F1601" s="950">
        <v>29</v>
      </c>
      <c r="G1601" s="951">
        <v>55</v>
      </c>
      <c r="H1601" s="951">
        <v>50.18</v>
      </c>
      <c r="I1601" s="18"/>
    </row>
    <row r="1602" spans="1:9">
      <c r="A1602" s="943" t="s">
        <v>81</v>
      </c>
      <c r="B1602" s="944">
        <v>482.32</v>
      </c>
      <c r="C1602" s="944" t="s">
        <v>2381</v>
      </c>
      <c r="D1602" s="943" t="s">
        <v>17</v>
      </c>
      <c r="E1602" s="952">
        <v>11000</v>
      </c>
      <c r="F1602" s="945">
        <v>1</v>
      </c>
      <c r="G1602" s="946">
        <v>5</v>
      </c>
      <c r="H1602" s="946">
        <v>4.5</v>
      </c>
    </row>
    <row r="1603" spans="1:9" s="26" customFormat="1">
      <c r="A1603" s="947" t="s">
        <v>81</v>
      </c>
      <c r="B1603" s="948">
        <v>482.4</v>
      </c>
      <c r="C1603" s="948" t="s">
        <v>321</v>
      </c>
      <c r="D1603" s="947" t="s">
        <v>17</v>
      </c>
      <c r="E1603" s="949">
        <v>51396</v>
      </c>
      <c r="F1603" s="950">
        <v>17</v>
      </c>
      <c r="G1603" s="951">
        <v>8.5</v>
      </c>
      <c r="H1603" s="951">
        <v>7.8</v>
      </c>
      <c r="I1603" s="18"/>
    </row>
    <row r="1604" spans="1:9">
      <c r="A1604" s="943" t="s">
        <v>81</v>
      </c>
      <c r="B1604" s="944">
        <v>482.5</v>
      </c>
      <c r="C1604" s="944" t="s">
        <v>43</v>
      </c>
      <c r="D1604" s="943" t="s">
        <v>17</v>
      </c>
      <c r="E1604" s="952">
        <v>184235</v>
      </c>
      <c r="F1604" s="945">
        <v>25</v>
      </c>
      <c r="G1604" s="946">
        <v>5</v>
      </c>
      <c r="H1604" s="946">
        <v>4.26</v>
      </c>
    </row>
    <row r="1605" spans="1:9" s="26" customFormat="1">
      <c r="A1605" s="947" t="s">
        <v>81</v>
      </c>
      <c r="B1605" s="948">
        <v>485</v>
      </c>
      <c r="C1605" s="948" t="s">
        <v>1389</v>
      </c>
      <c r="D1605" s="947" t="s">
        <v>1</v>
      </c>
      <c r="E1605" s="950">
        <v>428</v>
      </c>
      <c r="F1605" s="950">
        <v>1</v>
      </c>
      <c r="G1605" s="951">
        <v>700</v>
      </c>
      <c r="H1605" s="951">
        <v>690.25</v>
      </c>
      <c r="I1605" s="18"/>
    </row>
    <row r="1606" spans="1:9">
      <c r="A1606" s="943" t="s">
        <v>81</v>
      </c>
      <c r="B1606" s="944">
        <v>485.1</v>
      </c>
      <c r="C1606" s="944" t="s">
        <v>2384</v>
      </c>
      <c r="D1606" s="943" t="s">
        <v>1</v>
      </c>
      <c r="E1606" s="945">
        <v>35</v>
      </c>
      <c r="F1606" s="945">
        <v>1</v>
      </c>
      <c r="G1606" s="946">
        <v>750</v>
      </c>
      <c r="H1606" s="946">
        <v>761.14</v>
      </c>
    </row>
    <row r="1607" spans="1:9" s="26" customFormat="1">
      <c r="A1607" s="947" t="s">
        <v>81</v>
      </c>
      <c r="B1607" s="948">
        <v>485.2</v>
      </c>
      <c r="C1607" s="948" t="s">
        <v>1390</v>
      </c>
      <c r="D1607" s="947" t="s">
        <v>1</v>
      </c>
      <c r="E1607" s="950">
        <v>200</v>
      </c>
      <c r="F1607" s="950">
        <v>1</v>
      </c>
      <c r="G1607" s="951">
        <v>625</v>
      </c>
      <c r="H1607" s="951">
        <v>605</v>
      </c>
      <c r="I1607" s="18"/>
    </row>
    <row r="1608" spans="1:9">
      <c r="A1608" s="943" t="s">
        <v>81</v>
      </c>
      <c r="B1608" s="944">
        <v>486.2</v>
      </c>
      <c r="C1608" s="944" t="s">
        <v>4075</v>
      </c>
      <c r="D1608" s="943" t="s">
        <v>1</v>
      </c>
      <c r="E1608" s="952">
        <v>2000258</v>
      </c>
      <c r="F1608" s="945">
        <v>3</v>
      </c>
      <c r="G1608" s="946">
        <v>10.199999999999999</v>
      </c>
      <c r="H1608" s="946">
        <v>10.46</v>
      </c>
    </row>
    <row r="1609" spans="1:9" s="26" customFormat="1">
      <c r="A1609" s="947" t="s">
        <v>81</v>
      </c>
      <c r="B1609" s="948">
        <v>501</v>
      </c>
      <c r="C1609" s="948" t="s">
        <v>1391</v>
      </c>
      <c r="D1609" s="947" t="s">
        <v>17</v>
      </c>
      <c r="E1609" s="950">
        <v>244</v>
      </c>
      <c r="F1609" s="950">
        <v>2</v>
      </c>
      <c r="G1609" s="951">
        <v>116.5</v>
      </c>
      <c r="H1609" s="951">
        <v>119.4</v>
      </c>
      <c r="I1609" s="18"/>
    </row>
    <row r="1610" spans="1:9">
      <c r="A1610" s="943" t="s">
        <v>81</v>
      </c>
      <c r="B1610" s="944">
        <v>501.1</v>
      </c>
      <c r="C1610" s="944" t="s">
        <v>2387</v>
      </c>
      <c r="D1610" s="943" t="s">
        <v>17</v>
      </c>
      <c r="E1610" s="945">
        <v>50</v>
      </c>
      <c r="F1610" s="945">
        <v>1</v>
      </c>
      <c r="G1610" s="946">
        <v>210</v>
      </c>
      <c r="H1610" s="946">
        <v>210</v>
      </c>
    </row>
    <row r="1611" spans="1:9" s="26" customFormat="1">
      <c r="A1611" s="947" t="s">
        <v>81</v>
      </c>
      <c r="B1611" s="948">
        <v>503</v>
      </c>
      <c r="C1611" s="948" t="s">
        <v>323</v>
      </c>
      <c r="D1611" s="947" t="s">
        <v>17</v>
      </c>
      <c r="E1611" s="949">
        <v>18795</v>
      </c>
      <c r="F1611" s="950">
        <v>2</v>
      </c>
      <c r="G1611" s="951">
        <v>91</v>
      </c>
      <c r="H1611" s="951">
        <v>85.22</v>
      </c>
      <c r="I1611" s="18"/>
    </row>
    <row r="1612" spans="1:9">
      <c r="A1612" s="943" t="s">
        <v>81</v>
      </c>
      <c r="B1612" s="944">
        <v>503.1</v>
      </c>
      <c r="C1612" s="944" t="s">
        <v>324</v>
      </c>
      <c r="D1612" s="943" t="s">
        <v>17</v>
      </c>
      <c r="E1612" s="952">
        <v>1455</v>
      </c>
      <c r="F1612" s="945">
        <v>2</v>
      </c>
      <c r="G1612" s="946">
        <v>100</v>
      </c>
      <c r="H1612" s="946">
        <v>103.56</v>
      </c>
    </row>
    <row r="1613" spans="1:9" s="26" customFormat="1">
      <c r="A1613" s="947" t="s">
        <v>81</v>
      </c>
      <c r="B1613" s="948">
        <v>504</v>
      </c>
      <c r="C1613" s="948" t="s">
        <v>325</v>
      </c>
      <c r="D1613" s="947" t="s">
        <v>17</v>
      </c>
      <c r="E1613" s="949">
        <v>306379</v>
      </c>
      <c r="F1613" s="950">
        <v>32</v>
      </c>
      <c r="G1613" s="951">
        <v>80</v>
      </c>
      <c r="H1613" s="951">
        <v>82.07</v>
      </c>
      <c r="I1613" s="18"/>
    </row>
    <row r="1614" spans="1:9">
      <c r="A1614" s="943" t="s">
        <v>81</v>
      </c>
      <c r="B1614" s="944">
        <v>504.1</v>
      </c>
      <c r="C1614" s="944" t="s">
        <v>326</v>
      </c>
      <c r="D1614" s="943" t="s">
        <v>17</v>
      </c>
      <c r="E1614" s="952">
        <v>60489</v>
      </c>
      <c r="F1614" s="945">
        <v>23</v>
      </c>
      <c r="G1614" s="946">
        <v>95</v>
      </c>
      <c r="H1614" s="946">
        <v>99.88</v>
      </c>
    </row>
    <row r="1615" spans="1:9" s="26" customFormat="1">
      <c r="A1615" s="947" t="s">
        <v>81</v>
      </c>
      <c r="B1615" s="948">
        <v>504.2</v>
      </c>
      <c r="C1615" s="948" t="s">
        <v>327</v>
      </c>
      <c r="D1615" s="947" t="s">
        <v>2</v>
      </c>
      <c r="E1615" s="950">
        <v>296</v>
      </c>
      <c r="F1615" s="950">
        <v>12</v>
      </c>
      <c r="G1615" s="951">
        <v>700</v>
      </c>
      <c r="H1615" s="951">
        <v>717.5</v>
      </c>
      <c r="I1615" s="18"/>
    </row>
    <row r="1616" spans="1:9">
      <c r="A1616" s="943" t="s">
        <v>81</v>
      </c>
      <c r="B1616" s="944">
        <v>505</v>
      </c>
      <c r="C1616" s="944" t="s">
        <v>328</v>
      </c>
      <c r="D1616" s="943" t="s">
        <v>17</v>
      </c>
      <c r="E1616" s="952">
        <v>4875</v>
      </c>
      <c r="F1616" s="945">
        <v>7</v>
      </c>
      <c r="G1616" s="946">
        <v>100</v>
      </c>
      <c r="H1616" s="946">
        <v>100.77</v>
      </c>
    </row>
    <row r="1617" spans="1:9" s="26" customFormat="1">
      <c r="A1617" s="947" t="s">
        <v>81</v>
      </c>
      <c r="B1617" s="948">
        <v>505.1</v>
      </c>
      <c r="C1617" s="948" t="s">
        <v>329</v>
      </c>
      <c r="D1617" s="947" t="s">
        <v>17</v>
      </c>
      <c r="E1617" s="950">
        <v>200</v>
      </c>
      <c r="F1617" s="950">
        <v>1</v>
      </c>
      <c r="G1617" s="951">
        <v>85</v>
      </c>
      <c r="H1617" s="951">
        <v>88</v>
      </c>
      <c r="I1617" s="18"/>
    </row>
    <row r="1618" spans="1:9">
      <c r="A1618" s="943" t="s">
        <v>81</v>
      </c>
      <c r="B1618" s="944">
        <v>506</v>
      </c>
      <c r="C1618" s="944" t="s">
        <v>40</v>
      </c>
      <c r="D1618" s="943" t="s">
        <v>17</v>
      </c>
      <c r="E1618" s="952">
        <v>367142</v>
      </c>
      <c r="F1618" s="945">
        <v>27</v>
      </c>
      <c r="G1618" s="946">
        <v>70</v>
      </c>
      <c r="H1618" s="946">
        <v>70.650000000000006</v>
      </c>
    </row>
    <row r="1619" spans="1:9" s="26" customFormat="1">
      <c r="A1619" s="947" t="s">
        <v>81</v>
      </c>
      <c r="B1619" s="948">
        <v>506.1</v>
      </c>
      <c r="C1619" s="948" t="s">
        <v>41</v>
      </c>
      <c r="D1619" s="947" t="s">
        <v>17</v>
      </c>
      <c r="E1619" s="949">
        <v>74488</v>
      </c>
      <c r="F1619" s="950">
        <v>23</v>
      </c>
      <c r="G1619" s="951">
        <v>85</v>
      </c>
      <c r="H1619" s="951">
        <v>87.61</v>
      </c>
      <c r="I1619" s="18"/>
    </row>
    <row r="1620" spans="1:9">
      <c r="A1620" s="943" t="s">
        <v>81</v>
      </c>
      <c r="B1620" s="944">
        <v>509</v>
      </c>
      <c r="C1620" s="944" t="s">
        <v>1394</v>
      </c>
      <c r="D1620" s="943" t="s">
        <v>17</v>
      </c>
      <c r="E1620" s="952">
        <v>102486</v>
      </c>
      <c r="F1620" s="945">
        <v>55</v>
      </c>
      <c r="G1620" s="946">
        <v>87</v>
      </c>
      <c r="H1620" s="946">
        <v>86.51</v>
      </c>
    </row>
    <row r="1621" spans="1:9" s="26" customFormat="1">
      <c r="A1621" s="947" t="s">
        <v>81</v>
      </c>
      <c r="B1621" s="948">
        <v>509.1</v>
      </c>
      <c r="C1621" s="948" t="s">
        <v>1395</v>
      </c>
      <c r="D1621" s="947" t="s">
        <v>17</v>
      </c>
      <c r="E1621" s="954">
        <v>77402.5</v>
      </c>
      <c r="F1621" s="950">
        <v>48</v>
      </c>
      <c r="G1621" s="951">
        <v>100</v>
      </c>
      <c r="H1621" s="951">
        <v>100.54</v>
      </c>
      <c r="I1621" s="18"/>
    </row>
    <row r="1622" spans="1:9">
      <c r="A1622" s="943" t="s">
        <v>81</v>
      </c>
      <c r="B1622" s="944">
        <v>510</v>
      </c>
      <c r="C1622" s="944" t="s">
        <v>330</v>
      </c>
      <c r="D1622" s="943" t="s">
        <v>17</v>
      </c>
      <c r="E1622" s="952">
        <v>9010</v>
      </c>
      <c r="F1622" s="945">
        <v>7</v>
      </c>
      <c r="G1622" s="946">
        <v>65</v>
      </c>
      <c r="H1622" s="946">
        <v>64.59</v>
      </c>
    </row>
    <row r="1623" spans="1:9" s="26" customFormat="1">
      <c r="A1623" s="947" t="s">
        <v>81</v>
      </c>
      <c r="B1623" s="948">
        <v>510.1</v>
      </c>
      <c r="C1623" s="948" t="s">
        <v>331</v>
      </c>
      <c r="D1623" s="947" t="s">
        <v>17</v>
      </c>
      <c r="E1623" s="950">
        <v>623</v>
      </c>
      <c r="F1623" s="950">
        <v>7</v>
      </c>
      <c r="G1623" s="951">
        <v>83</v>
      </c>
      <c r="H1623" s="951">
        <v>87.67</v>
      </c>
      <c r="I1623" s="18"/>
    </row>
    <row r="1624" spans="1:9">
      <c r="A1624" s="943" t="s">
        <v>81</v>
      </c>
      <c r="B1624" s="944">
        <v>511.1</v>
      </c>
      <c r="C1624" s="944" t="s">
        <v>332</v>
      </c>
      <c r="D1624" s="943" t="s">
        <v>17</v>
      </c>
      <c r="E1624" s="952">
        <v>29796</v>
      </c>
      <c r="F1624" s="945">
        <v>12</v>
      </c>
      <c r="G1624" s="946">
        <v>59.86</v>
      </c>
      <c r="H1624" s="946">
        <v>58.51</v>
      </c>
    </row>
    <row r="1625" spans="1:9" s="26" customFormat="1">
      <c r="A1625" s="947" t="s">
        <v>81</v>
      </c>
      <c r="B1625" s="948">
        <v>512.1</v>
      </c>
      <c r="C1625" s="948" t="s">
        <v>333</v>
      </c>
      <c r="D1625" s="947" t="s">
        <v>17</v>
      </c>
      <c r="E1625" s="949">
        <v>1155</v>
      </c>
      <c r="F1625" s="950">
        <v>6</v>
      </c>
      <c r="G1625" s="951">
        <v>67</v>
      </c>
      <c r="H1625" s="951">
        <v>68.260000000000005</v>
      </c>
      <c r="I1625" s="18"/>
    </row>
    <row r="1626" spans="1:9">
      <c r="A1626" s="943" t="s">
        <v>81</v>
      </c>
      <c r="B1626" s="944">
        <v>514</v>
      </c>
      <c r="C1626" s="944" t="s">
        <v>38</v>
      </c>
      <c r="D1626" s="943" t="s">
        <v>2</v>
      </c>
      <c r="E1626" s="952">
        <v>3711</v>
      </c>
      <c r="F1626" s="945">
        <v>48</v>
      </c>
      <c r="G1626" s="946">
        <v>735</v>
      </c>
      <c r="H1626" s="946">
        <v>737.52</v>
      </c>
    </row>
    <row r="1627" spans="1:9" s="26" customFormat="1">
      <c r="A1627" s="947" t="s">
        <v>81</v>
      </c>
      <c r="B1627" s="948">
        <v>515</v>
      </c>
      <c r="C1627" s="948" t="s">
        <v>45</v>
      </c>
      <c r="D1627" s="947" t="s">
        <v>2</v>
      </c>
      <c r="E1627" s="950">
        <v>324</v>
      </c>
      <c r="F1627" s="950">
        <v>15</v>
      </c>
      <c r="G1627" s="951">
        <v>900</v>
      </c>
      <c r="H1627" s="951">
        <v>883.69</v>
      </c>
      <c r="I1627" s="18"/>
    </row>
    <row r="1628" spans="1:9">
      <c r="A1628" s="943" t="s">
        <v>81</v>
      </c>
      <c r="B1628" s="944">
        <v>516</v>
      </c>
      <c r="C1628" s="944" t="s">
        <v>47</v>
      </c>
      <c r="D1628" s="943" t="s">
        <v>2</v>
      </c>
      <c r="E1628" s="952">
        <v>2421</v>
      </c>
      <c r="F1628" s="945">
        <v>19</v>
      </c>
      <c r="G1628" s="946">
        <v>550</v>
      </c>
      <c r="H1628" s="946">
        <v>533.87</v>
      </c>
    </row>
    <row r="1629" spans="1:9" s="26" customFormat="1">
      <c r="A1629" s="947" t="s">
        <v>81</v>
      </c>
      <c r="B1629" s="948">
        <v>517</v>
      </c>
      <c r="C1629" s="948" t="s">
        <v>334</v>
      </c>
      <c r="D1629" s="947" t="s">
        <v>2</v>
      </c>
      <c r="E1629" s="949">
        <v>1114</v>
      </c>
      <c r="F1629" s="950">
        <v>4</v>
      </c>
      <c r="G1629" s="951">
        <v>850</v>
      </c>
      <c r="H1629" s="951">
        <v>868.29</v>
      </c>
      <c r="I1629" s="18"/>
    </row>
    <row r="1630" spans="1:9">
      <c r="A1630" s="943" t="s">
        <v>81</v>
      </c>
      <c r="B1630" s="944">
        <v>517.01</v>
      </c>
      <c r="C1630" s="944" t="s">
        <v>335</v>
      </c>
      <c r="D1630" s="943" t="s">
        <v>2</v>
      </c>
      <c r="E1630" s="945">
        <v>20</v>
      </c>
      <c r="F1630" s="945">
        <v>1</v>
      </c>
      <c r="G1630" s="946">
        <v>1120</v>
      </c>
      <c r="H1630" s="946">
        <v>1118</v>
      </c>
    </row>
    <row r="1631" spans="1:9" s="26" customFormat="1">
      <c r="A1631" s="947" t="s">
        <v>81</v>
      </c>
      <c r="B1631" s="948">
        <v>518</v>
      </c>
      <c r="C1631" s="948" t="s">
        <v>2393</v>
      </c>
      <c r="D1631" s="947" t="s">
        <v>2</v>
      </c>
      <c r="E1631" s="950">
        <v>72</v>
      </c>
      <c r="F1631" s="950">
        <v>1</v>
      </c>
      <c r="G1631" s="951">
        <v>387.5</v>
      </c>
      <c r="H1631" s="951">
        <v>381.67</v>
      </c>
      <c r="I1631" s="18"/>
    </row>
    <row r="1632" spans="1:9">
      <c r="A1632" s="943" t="s">
        <v>81</v>
      </c>
      <c r="B1632" s="944">
        <v>520</v>
      </c>
      <c r="C1632" s="944" t="s">
        <v>336</v>
      </c>
      <c r="D1632" s="943" t="s">
        <v>17</v>
      </c>
      <c r="E1632" s="952">
        <v>18270</v>
      </c>
      <c r="F1632" s="945">
        <v>2</v>
      </c>
      <c r="G1632" s="946">
        <v>65</v>
      </c>
      <c r="H1632" s="946">
        <v>66.89</v>
      </c>
    </row>
    <row r="1633" spans="1:9" s="26" customFormat="1">
      <c r="A1633" s="947" t="s">
        <v>81</v>
      </c>
      <c r="B1633" s="948">
        <v>520.1</v>
      </c>
      <c r="C1633" s="948" t="s">
        <v>2395</v>
      </c>
      <c r="D1633" s="947" t="s">
        <v>17</v>
      </c>
      <c r="E1633" s="949">
        <v>44100</v>
      </c>
      <c r="F1633" s="950">
        <v>1</v>
      </c>
      <c r="G1633" s="951">
        <v>63</v>
      </c>
      <c r="H1633" s="951">
        <v>61.86</v>
      </c>
      <c r="I1633" s="18"/>
    </row>
    <row r="1634" spans="1:9">
      <c r="A1634" s="943" t="s">
        <v>81</v>
      </c>
      <c r="B1634" s="944">
        <v>520.11</v>
      </c>
      <c r="C1634" s="944" t="s">
        <v>2396</v>
      </c>
      <c r="D1634" s="943" t="s">
        <v>17</v>
      </c>
      <c r="E1634" s="945">
        <v>300</v>
      </c>
      <c r="F1634" s="945">
        <v>1</v>
      </c>
      <c r="G1634" s="946">
        <v>125</v>
      </c>
      <c r="H1634" s="946">
        <v>125</v>
      </c>
    </row>
    <row r="1635" spans="1:9" s="26" customFormat="1">
      <c r="A1635" s="947" t="s">
        <v>81</v>
      </c>
      <c r="B1635" s="948">
        <v>521</v>
      </c>
      <c r="C1635" s="948" t="s">
        <v>2399</v>
      </c>
      <c r="D1635" s="947" t="s">
        <v>2</v>
      </c>
      <c r="E1635" s="950">
        <v>14</v>
      </c>
      <c r="F1635" s="950">
        <v>1</v>
      </c>
      <c r="G1635" s="951">
        <v>600</v>
      </c>
      <c r="H1635" s="951">
        <v>587.14</v>
      </c>
      <c r="I1635" s="18"/>
    </row>
    <row r="1636" spans="1:9">
      <c r="A1636" s="943" t="s">
        <v>81</v>
      </c>
      <c r="B1636" s="944">
        <v>522</v>
      </c>
      <c r="C1636" s="944" t="s">
        <v>2401</v>
      </c>
      <c r="D1636" s="943" t="s">
        <v>17</v>
      </c>
      <c r="E1636" s="952">
        <v>33370</v>
      </c>
      <c r="F1636" s="945">
        <v>2</v>
      </c>
      <c r="G1636" s="946">
        <v>65</v>
      </c>
      <c r="H1636" s="946">
        <v>66.5</v>
      </c>
    </row>
    <row r="1637" spans="1:9" s="26" customFormat="1">
      <c r="A1637" s="947" t="s">
        <v>81</v>
      </c>
      <c r="B1637" s="948">
        <v>570</v>
      </c>
      <c r="C1637" s="948" t="s">
        <v>337</v>
      </c>
      <c r="D1637" s="947" t="s">
        <v>17</v>
      </c>
      <c r="E1637" s="949">
        <v>12620</v>
      </c>
      <c r="F1637" s="950">
        <v>3</v>
      </c>
      <c r="G1637" s="951">
        <v>30</v>
      </c>
      <c r="H1637" s="951">
        <v>26.75</v>
      </c>
      <c r="I1637" s="18"/>
    </row>
    <row r="1638" spans="1:9">
      <c r="A1638" s="943" t="s">
        <v>81</v>
      </c>
      <c r="B1638" s="944">
        <v>570.1</v>
      </c>
      <c r="C1638" s="944" t="s">
        <v>1396</v>
      </c>
      <c r="D1638" s="943" t="s">
        <v>17</v>
      </c>
      <c r="E1638" s="952">
        <v>1215</v>
      </c>
      <c r="F1638" s="945">
        <v>2</v>
      </c>
      <c r="G1638" s="946">
        <v>22.5</v>
      </c>
      <c r="H1638" s="946">
        <v>31.15</v>
      </c>
    </row>
    <row r="1639" spans="1:9" s="26" customFormat="1">
      <c r="A1639" s="947" t="s">
        <v>81</v>
      </c>
      <c r="B1639" s="948">
        <v>570.20000000000005</v>
      </c>
      <c r="C1639" s="948" t="s">
        <v>338</v>
      </c>
      <c r="D1639" s="947" t="s">
        <v>17</v>
      </c>
      <c r="E1639" s="949">
        <v>32885</v>
      </c>
      <c r="F1639" s="950">
        <v>13</v>
      </c>
      <c r="G1639" s="951">
        <v>20.5</v>
      </c>
      <c r="H1639" s="951">
        <v>20.100000000000001</v>
      </c>
      <c r="I1639" s="18"/>
    </row>
    <row r="1640" spans="1:9">
      <c r="A1640" s="943" t="s">
        <v>81</v>
      </c>
      <c r="B1640" s="944">
        <v>570.29999999999995</v>
      </c>
      <c r="C1640" s="944" t="s">
        <v>339</v>
      </c>
      <c r="D1640" s="943" t="s">
        <v>17</v>
      </c>
      <c r="E1640" s="952">
        <v>21330</v>
      </c>
      <c r="F1640" s="945">
        <v>7</v>
      </c>
      <c r="G1640" s="946">
        <v>20</v>
      </c>
      <c r="H1640" s="946">
        <v>17</v>
      </c>
    </row>
    <row r="1641" spans="1:9" s="26" customFormat="1">
      <c r="A1641" s="947" t="s">
        <v>81</v>
      </c>
      <c r="B1641" s="948">
        <v>580</v>
      </c>
      <c r="C1641" s="948" t="s">
        <v>56</v>
      </c>
      <c r="D1641" s="947" t="s">
        <v>17</v>
      </c>
      <c r="E1641" s="949">
        <v>339390</v>
      </c>
      <c r="F1641" s="950">
        <v>54</v>
      </c>
      <c r="G1641" s="951">
        <v>50</v>
      </c>
      <c r="H1641" s="951">
        <v>47.53</v>
      </c>
      <c r="I1641" s="18"/>
    </row>
    <row r="1642" spans="1:9">
      <c r="A1642" s="943" t="s">
        <v>81</v>
      </c>
      <c r="B1642" s="944">
        <v>581</v>
      </c>
      <c r="C1642" s="944" t="s">
        <v>340</v>
      </c>
      <c r="D1642" s="943" t="s">
        <v>2</v>
      </c>
      <c r="E1642" s="945">
        <v>824</v>
      </c>
      <c r="F1642" s="945">
        <v>23</v>
      </c>
      <c r="G1642" s="946">
        <v>393</v>
      </c>
      <c r="H1642" s="946">
        <v>354.07</v>
      </c>
    </row>
    <row r="1643" spans="1:9" s="26" customFormat="1">
      <c r="A1643" s="947" t="s">
        <v>81</v>
      </c>
      <c r="B1643" s="948">
        <v>582</v>
      </c>
      <c r="C1643" s="948" t="s">
        <v>341</v>
      </c>
      <c r="D1643" s="947" t="s">
        <v>2</v>
      </c>
      <c r="E1643" s="950">
        <v>495</v>
      </c>
      <c r="F1643" s="950">
        <v>7</v>
      </c>
      <c r="G1643" s="951">
        <v>185</v>
      </c>
      <c r="H1643" s="951">
        <v>215.05</v>
      </c>
      <c r="I1643" s="18"/>
    </row>
    <row r="1644" spans="1:9">
      <c r="A1644" s="943" t="s">
        <v>81</v>
      </c>
      <c r="B1644" s="944">
        <v>583</v>
      </c>
      <c r="C1644" s="944" t="s">
        <v>342</v>
      </c>
      <c r="D1644" s="943" t="s">
        <v>17</v>
      </c>
      <c r="E1644" s="952">
        <v>70650</v>
      </c>
      <c r="F1644" s="945">
        <v>27</v>
      </c>
      <c r="G1644" s="946">
        <v>44</v>
      </c>
      <c r="H1644" s="946">
        <v>39.44</v>
      </c>
    </row>
    <row r="1645" spans="1:9" s="26" customFormat="1">
      <c r="A1645" s="947" t="s">
        <v>81</v>
      </c>
      <c r="B1645" s="948">
        <v>590</v>
      </c>
      <c r="C1645" s="948" t="s">
        <v>343</v>
      </c>
      <c r="D1645" s="947" t="s">
        <v>17</v>
      </c>
      <c r="E1645" s="949">
        <v>44470</v>
      </c>
      <c r="F1645" s="950">
        <v>8</v>
      </c>
      <c r="G1645" s="951">
        <v>14</v>
      </c>
      <c r="H1645" s="951">
        <v>12.79</v>
      </c>
      <c r="I1645" s="18"/>
    </row>
    <row r="1646" spans="1:9">
      <c r="A1646" s="943" t="s">
        <v>81</v>
      </c>
      <c r="B1646" s="944">
        <v>591</v>
      </c>
      <c r="C1646" s="944" t="s">
        <v>344</v>
      </c>
      <c r="D1646" s="943" t="s">
        <v>2</v>
      </c>
      <c r="E1646" s="945">
        <v>168</v>
      </c>
      <c r="F1646" s="945">
        <v>4</v>
      </c>
      <c r="G1646" s="946">
        <v>75</v>
      </c>
      <c r="H1646" s="946">
        <v>71.989999999999995</v>
      </c>
    </row>
    <row r="1647" spans="1:9" s="26" customFormat="1">
      <c r="A1647" s="947" t="s">
        <v>81</v>
      </c>
      <c r="B1647" s="948">
        <v>592</v>
      </c>
      <c r="C1647" s="948" t="s">
        <v>345</v>
      </c>
      <c r="D1647" s="947" t="s">
        <v>2</v>
      </c>
      <c r="E1647" s="950">
        <v>123</v>
      </c>
      <c r="F1647" s="950">
        <v>3</v>
      </c>
      <c r="G1647" s="951">
        <v>100</v>
      </c>
      <c r="H1647" s="951">
        <v>113</v>
      </c>
      <c r="I1647" s="18"/>
    </row>
    <row r="1648" spans="1:9">
      <c r="A1648" s="943" t="s">
        <v>81</v>
      </c>
      <c r="B1648" s="944">
        <v>593</v>
      </c>
      <c r="C1648" s="944" t="s">
        <v>2407</v>
      </c>
      <c r="D1648" s="943" t="s">
        <v>17</v>
      </c>
      <c r="E1648" s="952">
        <v>1317</v>
      </c>
      <c r="F1648" s="945">
        <v>3</v>
      </c>
      <c r="G1648" s="946">
        <v>11.3</v>
      </c>
      <c r="H1648" s="946">
        <v>10.99</v>
      </c>
    </row>
    <row r="1649" spans="1:9" s="26" customFormat="1">
      <c r="A1649" s="947" t="s">
        <v>81</v>
      </c>
      <c r="B1649" s="948">
        <v>594</v>
      </c>
      <c r="C1649" s="948" t="s">
        <v>346</v>
      </c>
      <c r="D1649" s="947" t="s">
        <v>17</v>
      </c>
      <c r="E1649" s="949">
        <v>206262</v>
      </c>
      <c r="F1649" s="950">
        <v>39</v>
      </c>
      <c r="G1649" s="951">
        <v>10</v>
      </c>
      <c r="H1649" s="951">
        <v>8.7899999999999991</v>
      </c>
      <c r="I1649" s="18"/>
    </row>
    <row r="1650" spans="1:9">
      <c r="A1650" s="943" t="s">
        <v>81</v>
      </c>
      <c r="B1650" s="944">
        <v>595</v>
      </c>
      <c r="C1650" s="944" t="s">
        <v>347</v>
      </c>
      <c r="D1650" s="943" t="s">
        <v>2</v>
      </c>
      <c r="E1650" s="945">
        <v>454</v>
      </c>
      <c r="F1650" s="945">
        <v>15</v>
      </c>
      <c r="G1650" s="946">
        <v>80</v>
      </c>
      <c r="H1650" s="946">
        <v>80.53</v>
      </c>
    </row>
    <row r="1651" spans="1:9" s="26" customFormat="1">
      <c r="A1651" s="947" t="s">
        <v>81</v>
      </c>
      <c r="B1651" s="948">
        <v>596</v>
      </c>
      <c r="C1651" s="948" t="s">
        <v>348</v>
      </c>
      <c r="D1651" s="947" t="s">
        <v>2</v>
      </c>
      <c r="E1651" s="950">
        <v>312</v>
      </c>
      <c r="F1651" s="950">
        <v>8</v>
      </c>
      <c r="G1651" s="951">
        <v>50</v>
      </c>
      <c r="H1651" s="951">
        <v>65.37</v>
      </c>
      <c r="I1651" s="18"/>
    </row>
    <row r="1652" spans="1:9">
      <c r="A1652" s="943" t="s">
        <v>81</v>
      </c>
      <c r="B1652" s="944">
        <v>597</v>
      </c>
      <c r="C1652" s="944" t="s">
        <v>349</v>
      </c>
      <c r="D1652" s="943" t="s">
        <v>17</v>
      </c>
      <c r="E1652" s="952">
        <v>64121</v>
      </c>
      <c r="F1652" s="945">
        <v>20</v>
      </c>
      <c r="G1652" s="946">
        <v>8</v>
      </c>
      <c r="H1652" s="946">
        <v>7.71</v>
      </c>
    </row>
    <row r="1653" spans="1:9" s="26" customFormat="1">
      <c r="A1653" s="947" t="s">
        <v>81</v>
      </c>
      <c r="B1653" s="948">
        <v>620.12</v>
      </c>
      <c r="C1653" s="948" t="s">
        <v>1252</v>
      </c>
      <c r="D1653" s="947" t="s">
        <v>17</v>
      </c>
      <c r="E1653" s="949">
        <v>56984</v>
      </c>
      <c r="F1653" s="950">
        <v>26</v>
      </c>
      <c r="G1653" s="951">
        <v>36</v>
      </c>
      <c r="H1653" s="951">
        <v>37.72</v>
      </c>
      <c r="I1653" s="18"/>
    </row>
    <row r="1654" spans="1:9">
      <c r="A1654" s="943" t="s">
        <v>81</v>
      </c>
      <c r="B1654" s="944">
        <v>620.13</v>
      </c>
      <c r="C1654" s="944" t="s">
        <v>1398</v>
      </c>
      <c r="D1654" s="943" t="s">
        <v>17</v>
      </c>
      <c r="E1654" s="953">
        <v>795743.5</v>
      </c>
      <c r="F1654" s="945">
        <v>39</v>
      </c>
      <c r="G1654" s="946">
        <v>41.66</v>
      </c>
      <c r="H1654" s="946">
        <v>41.67</v>
      </c>
    </row>
    <row r="1655" spans="1:9" s="26" customFormat="1">
      <c r="A1655" s="947" t="s">
        <v>81</v>
      </c>
      <c r="B1655" s="948">
        <v>620.13099999999997</v>
      </c>
      <c r="C1655" s="948" t="s">
        <v>1399</v>
      </c>
      <c r="D1655" s="947" t="s">
        <v>17</v>
      </c>
      <c r="E1655" s="949">
        <v>61539</v>
      </c>
      <c r="F1655" s="950">
        <v>15</v>
      </c>
      <c r="G1655" s="951">
        <v>55</v>
      </c>
      <c r="H1655" s="951">
        <v>53.94</v>
      </c>
      <c r="I1655" s="18"/>
    </row>
    <row r="1656" spans="1:9">
      <c r="A1656" s="943" t="s">
        <v>81</v>
      </c>
      <c r="B1656" s="944">
        <v>620.32000000000005</v>
      </c>
      <c r="C1656" s="944" t="s">
        <v>1253</v>
      </c>
      <c r="D1656" s="943" t="s">
        <v>17</v>
      </c>
      <c r="E1656" s="952">
        <v>3798</v>
      </c>
      <c r="F1656" s="945">
        <v>10</v>
      </c>
      <c r="G1656" s="946">
        <v>48</v>
      </c>
      <c r="H1656" s="946">
        <v>47.27</v>
      </c>
    </row>
    <row r="1657" spans="1:9" s="26" customFormat="1">
      <c r="A1657" s="947" t="s">
        <v>81</v>
      </c>
      <c r="B1657" s="948">
        <v>620.33000000000004</v>
      </c>
      <c r="C1657" s="948" t="s">
        <v>1400</v>
      </c>
      <c r="D1657" s="947" t="s">
        <v>17</v>
      </c>
      <c r="E1657" s="954">
        <v>5744.5</v>
      </c>
      <c r="F1657" s="950">
        <v>9</v>
      </c>
      <c r="G1657" s="951">
        <v>47.5</v>
      </c>
      <c r="H1657" s="951">
        <v>46.36</v>
      </c>
      <c r="I1657" s="18"/>
    </row>
    <row r="1658" spans="1:9">
      <c r="A1658" s="943" t="s">
        <v>81</v>
      </c>
      <c r="B1658" s="944">
        <v>621.12</v>
      </c>
      <c r="C1658" s="944" t="s">
        <v>1401</v>
      </c>
      <c r="D1658" s="943" t="s">
        <v>17</v>
      </c>
      <c r="E1658" s="952">
        <v>14200</v>
      </c>
      <c r="F1658" s="945">
        <v>2</v>
      </c>
      <c r="G1658" s="946">
        <v>50</v>
      </c>
      <c r="H1658" s="946">
        <v>52.15</v>
      </c>
    </row>
    <row r="1659" spans="1:9" s="26" customFormat="1">
      <c r="A1659" s="947" t="s">
        <v>81</v>
      </c>
      <c r="B1659" s="948">
        <v>621.13</v>
      </c>
      <c r="C1659" s="948" t="s">
        <v>1402</v>
      </c>
      <c r="D1659" s="947" t="s">
        <v>17</v>
      </c>
      <c r="E1659" s="949">
        <v>94650</v>
      </c>
      <c r="F1659" s="950">
        <v>4</v>
      </c>
      <c r="G1659" s="951">
        <v>51</v>
      </c>
      <c r="H1659" s="951">
        <v>53.2</v>
      </c>
      <c r="I1659" s="18"/>
    </row>
    <row r="1660" spans="1:9">
      <c r="A1660" s="943" t="s">
        <v>81</v>
      </c>
      <c r="B1660" s="944">
        <v>627.1</v>
      </c>
      <c r="C1660" s="944" t="s">
        <v>1403</v>
      </c>
      <c r="D1660" s="943" t="s">
        <v>2</v>
      </c>
      <c r="E1660" s="952">
        <v>1014</v>
      </c>
      <c r="F1660" s="945">
        <v>41</v>
      </c>
      <c r="G1660" s="946">
        <v>2556.0100000000002</v>
      </c>
      <c r="H1660" s="946">
        <v>2615.6</v>
      </c>
    </row>
    <row r="1661" spans="1:9" s="26" customFormat="1">
      <c r="A1661" s="947" t="s">
        <v>81</v>
      </c>
      <c r="B1661" s="948">
        <v>627.72</v>
      </c>
      <c r="C1661" s="948" t="s">
        <v>1404</v>
      </c>
      <c r="D1661" s="947" t="s">
        <v>2</v>
      </c>
      <c r="E1661" s="950">
        <v>32</v>
      </c>
      <c r="F1661" s="950">
        <v>1</v>
      </c>
      <c r="G1661" s="951">
        <v>44000</v>
      </c>
      <c r="H1661" s="951">
        <v>44000</v>
      </c>
      <c r="I1661" s="18"/>
    </row>
    <row r="1662" spans="1:9">
      <c r="A1662" s="943" t="s">
        <v>81</v>
      </c>
      <c r="B1662" s="944">
        <v>627.73</v>
      </c>
      <c r="C1662" s="944" t="s">
        <v>1405</v>
      </c>
      <c r="D1662" s="943" t="s">
        <v>2</v>
      </c>
      <c r="E1662" s="945">
        <v>57</v>
      </c>
      <c r="F1662" s="945">
        <v>6</v>
      </c>
      <c r="G1662" s="946">
        <v>13037.5</v>
      </c>
      <c r="H1662" s="946">
        <v>12902.66</v>
      </c>
    </row>
    <row r="1663" spans="1:9" s="26" customFormat="1">
      <c r="A1663" s="947" t="s">
        <v>81</v>
      </c>
      <c r="B1663" s="948">
        <v>627.82000000000005</v>
      </c>
      <c r="C1663" s="948" t="s">
        <v>1406</v>
      </c>
      <c r="D1663" s="947" t="s">
        <v>2</v>
      </c>
      <c r="E1663" s="950">
        <v>604</v>
      </c>
      <c r="F1663" s="950">
        <v>24</v>
      </c>
      <c r="G1663" s="951">
        <v>5750</v>
      </c>
      <c r="H1663" s="951">
        <v>5801.83</v>
      </c>
      <c r="I1663" s="18"/>
    </row>
    <row r="1664" spans="1:9">
      <c r="A1664" s="943" t="s">
        <v>81</v>
      </c>
      <c r="B1664" s="944">
        <v>627.83000000000004</v>
      </c>
      <c r="C1664" s="944" t="s">
        <v>1407</v>
      </c>
      <c r="D1664" s="943" t="s">
        <v>2</v>
      </c>
      <c r="E1664" s="952">
        <v>2291</v>
      </c>
      <c r="F1664" s="945">
        <v>35</v>
      </c>
      <c r="G1664" s="946">
        <v>5800</v>
      </c>
      <c r="H1664" s="946">
        <v>6004.26</v>
      </c>
    </row>
    <row r="1665" spans="1:9" s="26" customFormat="1">
      <c r="A1665" s="947" t="s">
        <v>81</v>
      </c>
      <c r="B1665" s="948">
        <v>627.91999999999996</v>
      </c>
      <c r="C1665" s="948" t="s">
        <v>1408</v>
      </c>
      <c r="D1665" s="947" t="s">
        <v>2</v>
      </c>
      <c r="E1665" s="950">
        <v>70</v>
      </c>
      <c r="F1665" s="950">
        <v>6</v>
      </c>
      <c r="G1665" s="951">
        <v>6200</v>
      </c>
      <c r="H1665" s="951">
        <v>6256.97</v>
      </c>
      <c r="I1665" s="18"/>
    </row>
    <row r="1666" spans="1:9">
      <c r="A1666" s="943" t="s">
        <v>81</v>
      </c>
      <c r="B1666" s="944">
        <v>627.92999999999995</v>
      </c>
      <c r="C1666" s="944" t="s">
        <v>1409</v>
      </c>
      <c r="D1666" s="943" t="s">
        <v>2</v>
      </c>
      <c r="E1666" s="945">
        <v>227</v>
      </c>
      <c r="F1666" s="945">
        <v>7</v>
      </c>
      <c r="G1666" s="946">
        <v>6000</v>
      </c>
      <c r="H1666" s="946">
        <v>5964.07</v>
      </c>
    </row>
    <row r="1667" spans="1:9" s="26" customFormat="1">
      <c r="A1667" s="947" t="s">
        <v>81</v>
      </c>
      <c r="B1667" s="948">
        <v>628.21</v>
      </c>
      <c r="C1667" s="948" t="s">
        <v>1410</v>
      </c>
      <c r="D1667" s="947" t="s">
        <v>2</v>
      </c>
      <c r="E1667" s="949">
        <v>1081</v>
      </c>
      <c r="F1667" s="950">
        <v>28</v>
      </c>
      <c r="G1667" s="951">
        <v>2100</v>
      </c>
      <c r="H1667" s="951">
        <v>2120.58</v>
      </c>
      <c r="I1667" s="18"/>
    </row>
    <row r="1668" spans="1:9">
      <c r="A1668" s="943" t="s">
        <v>81</v>
      </c>
      <c r="B1668" s="944">
        <v>628.22</v>
      </c>
      <c r="C1668" s="944" t="s">
        <v>1411</v>
      </c>
      <c r="D1668" s="943" t="s">
        <v>2</v>
      </c>
      <c r="E1668" s="945">
        <v>303</v>
      </c>
      <c r="F1668" s="945">
        <v>12</v>
      </c>
      <c r="G1668" s="946">
        <v>6500</v>
      </c>
      <c r="H1668" s="946">
        <v>6594.96</v>
      </c>
    </row>
    <row r="1669" spans="1:9" s="26" customFormat="1">
      <c r="A1669" s="947" t="s">
        <v>81</v>
      </c>
      <c r="B1669" s="948">
        <v>628.23</v>
      </c>
      <c r="C1669" s="948" t="s">
        <v>1412</v>
      </c>
      <c r="D1669" s="947" t="s">
        <v>2</v>
      </c>
      <c r="E1669" s="950">
        <v>18</v>
      </c>
      <c r="F1669" s="950">
        <v>3</v>
      </c>
      <c r="G1669" s="951">
        <v>12000</v>
      </c>
      <c r="H1669" s="951">
        <v>11544.17</v>
      </c>
      <c r="I1669" s="18"/>
    </row>
    <row r="1670" spans="1:9">
      <c r="A1670" s="943" t="s">
        <v>81</v>
      </c>
      <c r="B1670" s="944">
        <v>628.24</v>
      </c>
      <c r="C1670" s="944" t="s">
        <v>1413</v>
      </c>
      <c r="D1670" s="943" t="s">
        <v>2</v>
      </c>
      <c r="E1670" s="945">
        <v>540.29999999999995</v>
      </c>
      <c r="F1670" s="945">
        <v>25</v>
      </c>
      <c r="G1670" s="946">
        <v>6500</v>
      </c>
      <c r="H1670" s="946">
        <v>6640.14</v>
      </c>
    </row>
    <row r="1671" spans="1:9" s="26" customFormat="1">
      <c r="A1671" s="947" t="s">
        <v>81</v>
      </c>
      <c r="B1671" s="948">
        <v>628.25</v>
      </c>
      <c r="C1671" s="948" t="s">
        <v>1414</v>
      </c>
      <c r="D1671" s="947" t="s">
        <v>2</v>
      </c>
      <c r="E1671" s="950">
        <v>137</v>
      </c>
      <c r="F1671" s="950">
        <v>8</v>
      </c>
      <c r="G1671" s="951">
        <v>640</v>
      </c>
      <c r="H1671" s="951">
        <v>717.47</v>
      </c>
      <c r="I1671" s="18"/>
    </row>
    <row r="1672" spans="1:9">
      <c r="A1672" s="943" t="s">
        <v>81</v>
      </c>
      <c r="B1672" s="944">
        <v>628.30399999999997</v>
      </c>
      <c r="C1672" s="944" t="s">
        <v>2412</v>
      </c>
      <c r="D1672" s="943" t="s">
        <v>2</v>
      </c>
      <c r="E1672" s="945">
        <v>225</v>
      </c>
      <c r="F1672" s="945">
        <v>10</v>
      </c>
      <c r="G1672" s="946">
        <v>8000</v>
      </c>
      <c r="H1672" s="946">
        <v>8222.67</v>
      </c>
    </row>
    <row r="1673" spans="1:9" s="26" customFormat="1">
      <c r="A1673" s="947" t="s">
        <v>81</v>
      </c>
      <c r="B1673" s="948">
        <v>628.30499999999995</v>
      </c>
      <c r="C1673" s="948" t="s">
        <v>2413</v>
      </c>
      <c r="D1673" s="947" t="s">
        <v>2</v>
      </c>
      <c r="E1673" s="950">
        <v>164</v>
      </c>
      <c r="F1673" s="950">
        <v>16</v>
      </c>
      <c r="G1673" s="951">
        <v>9000</v>
      </c>
      <c r="H1673" s="951">
        <v>8662.59</v>
      </c>
      <c r="I1673" s="18"/>
    </row>
    <row r="1674" spans="1:9">
      <c r="A1674" s="943" t="s">
        <v>81</v>
      </c>
      <c r="B1674" s="944">
        <v>628.31200000000001</v>
      </c>
      <c r="C1674" s="944" t="s">
        <v>2414</v>
      </c>
      <c r="D1674" s="943" t="s">
        <v>2</v>
      </c>
      <c r="E1674" s="945">
        <v>11</v>
      </c>
      <c r="F1674" s="945">
        <v>2</v>
      </c>
      <c r="G1674" s="946">
        <v>35000</v>
      </c>
      <c r="H1674" s="946">
        <v>35857.14</v>
      </c>
    </row>
    <row r="1675" spans="1:9" s="26" customFormat="1">
      <c r="A1675" s="947" t="s">
        <v>81</v>
      </c>
      <c r="B1675" s="948">
        <v>628.31299999999999</v>
      </c>
      <c r="C1675" s="948" t="s">
        <v>2415</v>
      </c>
      <c r="D1675" s="947" t="s">
        <v>2</v>
      </c>
      <c r="E1675" s="950">
        <v>4</v>
      </c>
      <c r="F1675" s="950">
        <v>1</v>
      </c>
      <c r="G1675" s="951">
        <v>50000</v>
      </c>
      <c r="H1675" s="951">
        <v>50000</v>
      </c>
      <c r="I1675" s="18"/>
    </row>
    <row r="1676" spans="1:9">
      <c r="A1676" s="943" t="s">
        <v>81</v>
      </c>
      <c r="B1676" s="944">
        <v>628.31399999999996</v>
      </c>
      <c r="C1676" s="944" t="s">
        <v>2416</v>
      </c>
      <c r="D1676" s="943" t="s">
        <v>2</v>
      </c>
      <c r="E1676" s="945">
        <v>25</v>
      </c>
      <c r="F1676" s="945">
        <v>3</v>
      </c>
      <c r="G1676" s="946">
        <v>7500</v>
      </c>
      <c r="H1676" s="946">
        <v>7192.86</v>
      </c>
    </row>
    <row r="1677" spans="1:9" s="26" customFormat="1">
      <c r="A1677" s="947" t="s">
        <v>81</v>
      </c>
      <c r="B1677" s="948">
        <v>628.31500000000005</v>
      </c>
      <c r="C1677" s="948" t="s">
        <v>2417</v>
      </c>
      <c r="D1677" s="947" t="s">
        <v>2</v>
      </c>
      <c r="E1677" s="950">
        <v>122</v>
      </c>
      <c r="F1677" s="950">
        <v>14</v>
      </c>
      <c r="G1677" s="951">
        <v>7880</v>
      </c>
      <c r="H1677" s="951">
        <v>7993.51</v>
      </c>
      <c r="I1677" s="18"/>
    </row>
    <row r="1678" spans="1:9">
      <c r="A1678" s="943" t="s">
        <v>81</v>
      </c>
      <c r="B1678" s="944">
        <v>628.32000000000005</v>
      </c>
      <c r="C1678" s="944" t="s">
        <v>4003</v>
      </c>
      <c r="D1678" s="943" t="s">
        <v>2</v>
      </c>
      <c r="E1678" s="945">
        <v>13</v>
      </c>
      <c r="F1678" s="945">
        <v>2</v>
      </c>
      <c r="G1678" s="946">
        <v>15000</v>
      </c>
      <c r="H1678" s="946">
        <v>23828.34</v>
      </c>
    </row>
    <row r="1679" spans="1:9" s="26" customFormat="1">
      <c r="A1679" s="947" t="s">
        <v>81</v>
      </c>
      <c r="B1679" s="948">
        <v>628.4</v>
      </c>
      <c r="C1679" s="948" t="s">
        <v>3901</v>
      </c>
      <c r="D1679" s="947" t="s">
        <v>2</v>
      </c>
      <c r="E1679" s="950">
        <v>849</v>
      </c>
      <c r="F1679" s="950">
        <v>37</v>
      </c>
      <c r="G1679" s="951">
        <v>2200</v>
      </c>
      <c r="H1679" s="951">
        <v>2152.75</v>
      </c>
      <c r="I1679" s="18"/>
    </row>
    <row r="1680" spans="1:9">
      <c r="A1680" s="943" t="s">
        <v>81</v>
      </c>
      <c r="B1680" s="944">
        <v>629.1</v>
      </c>
      <c r="C1680" s="944" t="s">
        <v>353</v>
      </c>
      <c r="D1680" s="943" t="s">
        <v>17</v>
      </c>
      <c r="E1680" s="952">
        <v>19766</v>
      </c>
      <c r="F1680" s="945">
        <v>6</v>
      </c>
      <c r="G1680" s="946">
        <v>284</v>
      </c>
      <c r="H1680" s="946">
        <v>280.77999999999997</v>
      </c>
    </row>
    <row r="1681" spans="1:9" s="26" customFormat="1">
      <c r="A1681" s="947" t="s">
        <v>81</v>
      </c>
      <c r="B1681" s="948">
        <v>629.20000000000005</v>
      </c>
      <c r="C1681" s="948" t="s">
        <v>354</v>
      </c>
      <c r="D1681" s="947" t="s">
        <v>17</v>
      </c>
      <c r="E1681" s="950">
        <v>800</v>
      </c>
      <c r="F1681" s="950">
        <v>2</v>
      </c>
      <c r="G1681" s="951">
        <v>342</v>
      </c>
      <c r="H1681" s="951">
        <v>407.8</v>
      </c>
      <c r="I1681" s="18"/>
    </row>
    <row r="1682" spans="1:9">
      <c r="A1682" s="943" t="s">
        <v>81</v>
      </c>
      <c r="B1682" s="944">
        <v>629.4</v>
      </c>
      <c r="C1682" s="944" t="s">
        <v>355</v>
      </c>
      <c r="D1682" s="943" t="s">
        <v>17</v>
      </c>
      <c r="E1682" s="952">
        <v>1720</v>
      </c>
      <c r="F1682" s="945">
        <v>1</v>
      </c>
      <c r="G1682" s="946">
        <v>825</v>
      </c>
      <c r="H1682" s="946">
        <v>825</v>
      </c>
    </row>
    <row r="1683" spans="1:9" s="26" customFormat="1">
      <c r="A1683" s="947" t="s">
        <v>81</v>
      </c>
      <c r="B1683" s="948">
        <v>629.5</v>
      </c>
      <c r="C1683" s="948" t="s">
        <v>1416</v>
      </c>
      <c r="D1683" s="947" t="s">
        <v>4</v>
      </c>
      <c r="E1683" s="950">
        <v>312</v>
      </c>
      <c r="F1683" s="950">
        <v>2</v>
      </c>
      <c r="G1683" s="951">
        <v>1612.5</v>
      </c>
      <c r="H1683" s="951">
        <v>1695</v>
      </c>
      <c r="I1683" s="18"/>
    </row>
    <row r="1684" spans="1:9">
      <c r="A1684" s="943" t="s">
        <v>81</v>
      </c>
      <c r="B1684" s="944">
        <v>630</v>
      </c>
      <c r="C1684" s="944" t="s">
        <v>356</v>
      </c>
      <c r="D1684" s="943" t="s">
        <v>17</v>
      </c>
      <c r="E1684" s="952">
        <v>18420</v>
      </c>
      <c r="F1684" s="945">
        <v>13</v>
      </c>
      <c r="G1684" s="946">
        <v>38</v>
      </c>
      <c r="H1684" s="946">
        <v>35.869999999999997</v>
      </c>
    </row>
    <row r="1685" spans="1:9" s="26" customFormat="1">
      <c r="A1685" s="947" t="s">
        <v>81</v>
      </c>
      <c r="B1685" s="948">
        <v>630.1</v>
      </c>
      <c r="C1685" s="948" t="s">
        <v>357</v>
      </c>
      <c r="D1685" s="947" t="s">
        <v>17</v>
      </c>
      <c r="E1685" s="949">
        <v>1100</v>
      </c>
      <c r="F1685" s="950">
        <v>1</v>
      </c>
      <c r="G1685" s="951">
        <v>3</v>
      </c>
      <c r="H1685" s="951">
        <v>2.71</v>
      </c>
      <c r="I1685" s="18"/>
    </row>
    <row r="1686" spans="1:9">
      <c r="A1686" s="943" t="s">
        <v>81</v>
      </c>
      <c r="B1686" s="944">
        <v>630.20000000000005</v>
      </c>
      <c r="C1686" s="944" t="s">
        <v>358</v>
      </c>
      <c r="D1686" s="943" t="s">
        <v>17</v>
      </c>
      <c r="E1686" s="952">
        <v>986140</v>
      </c>
      <c r="F1686" s="945">
        <v>47</v>
      </c>
      <c r="G1686" s="946">
        <v>7</v>
      </c>
      <c r="H1686" s="946">
        <v>6.57</v>
      </c>
    </row>
    <row r="1687" spans="1:9" s="26" customFormat="1">
      <c r="A1687" s="947" t="s">
        <v>81</v>
      </c>
      <c r="B1687" s="948">
        <v>631</v>
      </c>
      <c r="C1687" s="948" t="s">
        <v>1417</v>
      </c>
      <c r="D1687" s="947" t="s">
        <v>2</v>
      </c>
      <c r="E1687" s="950">
        <v>62</v>
      </c>
      <c r="F1687" s="950">
        <v>2</v>
      </c>
      <c r="G1687" s="951">
        <v>890</v>
      </c>
      <c r="H1687" s="951">
        <v>822.5</v>
      </c>
      <c r="I1687" s="18"/>
    </row>
    <row r="1688" spans="1:9">
      <c r="A1688" s="943" t="s">
        <v>81</v>
      </c>
      <c r="B1688" s="944">
        <v>632</v>
      </c>
      <c r="C1688" s="944" t="s">
        <v>359</v>
      </c>
      <c r="D1688" s="943" t="s">
        <v>2</v>
      </c>
      <c r="E1688" s="952">
        <v>1961</v>
      </c>
      <c r="F1688" s="945">
        <v>11</v>
      </c>
      <c r="G1688" s="946">
        <v>140</v>
      </c>
      <c r="H1688" s="946">
        <v>140.06</v>
      </c>
    </row>
    <row r="1689" spans="1:9" s="26" customFormat="1">
      <c r="A1689" s="947" t="s">
        <v>81</v>
      </c>
      <c r="B1689" s="948">
        <v>632.1</v>
      </c>
      <c r="C1689" s="948" t="s">
        <v>360</v>
      </c>
      <c r="D1689" s="947" t="s">
        <v>2</v>
      </c>
      <c r="E1689" s="950">
        <v>15</v>
      </c>
      <c r="F1689" s="950">
        <v>1</v>
      </c>
      <c r="G1689" s="951">
        <v>175</v>
      </c>
      <c r="H1689" s="951">
        <v>155.63999999999999</v>
      </c>
      <c r="I1689" s="18"/>
    </row>
    <row r="1690" spans="1:9">
      <c r="A1690" s="943" t="s">
        <v>81</v>
      </c>
      <c r="B1690" s="944">
        <v>632.11</v>
      </c>
      <c r="C1690" s="944" t="s">
        <v>2423</v>
      </c>
      <c r="D1690" s="943" t="s">
        <v>2</v>
      </c>
      <c r="E1690" s="945">
        <v>60</v>
      </c>
      <c r="F1690" s="945">
        <v>1</v>
      </c>
      <c r="G1690" s="946">
        <v>145</v>
      </c>
      <c r="H1690" s="946">
        <v>147.16</v>
      </c>
    </row>
    <row r="1691" spans="1:9" s="26" customFormat="1">
      <c r="A1691" s="947" t="s">
        <v>81</v>
      </c>
      <c r="B1691" s="948">
        <v>632.20000000000005</v>
      </c>
      <c r="C1691" s="948" t="s">
        <v>1418</v>
      </c>
      <c r="D1691" s="947" t="s">
        <v>2</v>
      </c>
      <c r="E1691" s="950">
        <v>205</v>
      </c>
      <c r="F1691" s="950">
        <v>3</v>
      </c>
      <c r="G1691" s="951">
        <v>70</v>
      </c>
      <c r="H1691" s="951">
        <v>72.489999999999995</v>
      </c>
      <c r="I1691" s="18"/>
    </row>
    <row r="1692" spans="1:9">
      <c r="A1692" s="943" t="s">
        <v>81</v>
      </c>
      <c r="B1692" s="944">
        <v>632.29999999999995</v>
      </c>
      <c r="C1692" s="944" t="s">
        <v>2424</v>
      </c>
      <c r="D1692" s="943" t="s">
        <v>2</v>
      </c>
      <c r="E1692" s="945">
        <v>12</v>
      </c>
      <c r="F1692" s="945">
        <v>1</v>
      </c>
      <c r="G1692" s="946">
        <v>525</v>
      </c>
      <c r="H1692" s="946">
        <v>510</v>
      </c>
    </row>
    <row r="1693" spans="1:9" s="26" customFormat="1">
      <c r="A1693" s="947" t="s">
        <v>81</v>
      </c>
      <c r="B1693" s="948">
        <v>632.4</v>
      </c>
      <c r="C1693" s="948" t="s">
        <v>361</v>
      </c>
      <c r="D1693" s="947" t="s">
        <v>2</v>
      </c>
      <c r="E1693" s="950">
        <v>819</v>
      </c>
      <c r="F1693" s="950">
        <v>6</v>
      </c>
      <c r="G1693" s="951">
        <v>15</v>
      </c>
      <c r="H1693" s="951">
        <v>17.7</v>
      </c>
      <c r="I1693" s="18"/>
    </row>
    <row r="1694" spans="1:9">
      <c r="A1694" s="943" t="s">
        <v>81</v>
      </c>
      <c r="B1694" s="944">
        <v>633</v>
      </c>
      <c r="C1694" s="944" t="s">
        <v>362</v>
      </c>
      <c r="D1694" s="943" t="s">
        <v>2</v>
      </c>
      <c r="E1694" s="952">
        <v>6144</v>
      </c>
      <c r="F1694" s="945">
        <v>10</v>
      </c>
      <c r="G1694" s="946">
        <v>18.78</v>
      </c>
      <c r="H1694" s="946">
        <v>19.68</v>
      </c>
    </row>
    <row r="1695" spans="1:9" s="26" customFormat="1">
      <c r="A1695" s="947" t="s">
        <v>81</v>
      </c>
      <c r="B1695" s="948">
        <v>633.1</v>
      </c>
      <c r="C1695" s="948" t="s">
        <v>363</v>
      </c>
      <c r="D1695" s="947" t="s">
        <v>2</v>
      </c>
      <c r="E1695" s="950">
        <v>708</v>
      </c>
      <c r="F1695" s="950">
        <v>9</v>
      </c>
      <c r="G1695" s="951">
        <v>27.04</v>
      </c>
      <c r="H1695" s="951">
        <v>26.61</v>
      </c>
      <c r="I1695" s="18"/>
    </row>
    <row r="1696" spans="1:9">
      <c r="A1696" s="943" t="s">
        <v>81</v>
      </c>
      <c r="B1696" s="944">
        <v>634</v>
      </c>
      <c r="C1696" s="944" t="s">
        <v>364</v>
      </c>
      <c r="D1696" s="943" t="s">
        <v>2</v>
      </c>
      <c r="E1696" s="952">
        <v>5831</v>
      </c>
      <c r="F1696" s="945">
        <v>9</v>
      </c>
      <c r="G1696" s="946">
        <v>240</v>
      </c>
      <c r="H1696" s="946">
        <v>239.91</v>
      </c>
    </row>
    <row r="1697" spans="1:9" s="26" customFormat="1">
      <c r="A1697" s="947" t="s">
        <v>81</v>
      </c>
      <c r="B1697" s="948">
        <v>634.1</v>
      </c>
      <c r="C1697" s="948" t="s">
        <v>365</v>
      </c>
      <c r="D1697" s="947" t="s">
        <v>2</v>
      </c>
      <c r="E1697" s="949">
        <v>1206</v>
      </c>
      <c r="F1697" s="950">
        <v>10</v>
      </c>
      <c r="G1697" s="951">
        <v>425</v>
      </c>
      <c r="H1697" s="951">
        <v>435.27</v>
      </c>
      <c r="I1697" s="18"/>
    </row>
    <row r="1698" spans="1:9">
      <c r="A1698" s="943" t="s">
        <v>81</v>
      </c>
      <c r="B1698" s="944">
        <v>644.048</v>
      </c>
      <c r="C1698" s="944" t="s">
        <v>2428</v>
      </c>
      <c r="D1698" s="943" t="s">
        <v>17</v>
      </c>
      <c r="E1698" s="952">
        <v>3680</v>
      </c>
      <c r="F1698" s="945">
        <v>3</v>
      </c>
      <c r="G1698" s="946">
        <v>55.5</v>
      </c>
      <c r="H1698" s="946">
        <v>50.06</v>
      </c>
    </row>
    <row r="1699" spans="1:9" s="26" customFormat="1">
      <c r="A1699" s="947" t="s">
        <v>81</v>
      </c>
      <c r="B1699" s="948">
        <v>644.05999999999995</v>
      </c>
      <c r="C1699" s="948" t="s">
        <v>367</v>
      </c>
      <c r="D1699" s="947" t="s">
        <v>17</v>
      </c>
      <c r="E1699" s="949">
        <v>1100</v>
      </c>
      <c r="F1699" s="950">
        <v>2</v>
      </c>
      <c r="G1699" s="951">
        <v>47</v>
      </c>
      <c r="H1699" s="951">
        <v>43.94</v>
      </c>
      <c r="I1699" s="18"/>
    </row>
    <row r="1700" spans="1:9">
      <c r="A1700" s="943" t="s">
        <v>81</v>
      </c>
      <c r="B1700" s="944">
        <v>644.072</v>
      </c>
      <c r="C1700" s="944" t="s">
        <v>368</v>
      </c>
      <c r="D1700" s="943" t="s">
        <v>17</v>
      </c>
      <c r="E1700" s="952">
        <v>43340</v>
      </c>
      <c r="F1700" s="945">
        <v>6</v>
      </c>
      <c r="G1700" s="946">
        <v>53.47</v>
      </c>
      <c r="H1700" s="946">
        <v>59.99</v>
      </c>
    </row>
    <row r="1701" spans="1:9" s="26" customFormat="1">
      <c r="A1701" s="947" t="s">
        <v>81</v>
      </c>
      <c r="B1701" s="948">
        <v>644.096</v>
      </c>
      <c r="C1701" s="948" t="s">
        <v>2430</v>
      </c>
      <c r="D1701" s="947" t="s">
        <v>17</v>
      </c>
      <c r="E1701" s="950">
        <v>650</v>
      </c>
      <c r="F1701" s="950">
        <v>2</v>
      </c>
      <c r="G1701" s="951">
        <v>69.2</v>
      </c>
      <c r="H1701" s="951">
        <v>63.37</v>
      </c>
      <c r="I1701" s="18"/>
    </row>
    <row r="1702" spans="1:9">
      <c r="A1702" s="943" t="s">
        <v>81</v>
      </c>
      <c r="B1702" s="944">
        <v>644.17200000000003</v>
      </c>
      <c r="C1702" s="944" t="s">
        <v>371</v>
      </c>
      <c r="D1702" s="943" t="s">
        <v>17</v>
      </c>
      <c r="E1702" s="952">
        <v>3500</v>
      </c>
      <c r="F1702" s="945">
        <v>3</v>
      </c>
      <c r="G1702" s="946">
        <v>72</v>
      </c>
      <c r="H1702" s="946">
        <v>66.790000000000006</v>
      </c>
    </row>
    <row r="1703" spans="1:9" s="26" customFormat="1">
      <c r="A1703" s="947" t="s">
        <v>81</v>
      </c>
      <c r="B1703" s="948">
        <v>645.048</v>
      </c>
      <c r="C1703" s="948" t="s">
        <v>373</v>
      </c>
      <c r="D1703" s="947" t="s">
        <v>17</v>
      </c>
      <c r="E1703" s="949">
        <v>5840</v>
      </c>
      <c r="F1703" s="950">
        <v>5</v>
      </c>
      <c r="G1703" s="951">
        <v>75</v>
      </c>
      <c r="H1703" s="951">
        <v>80.38</v>
      </c>
      <c r="I1703" s="18"/>
    </row>
    <row r="1704" spans="1:9">
      <c r="A1704" s="943" t="s">
        <v>81</v>
      </c>
      <c r="B1704" s="944">
        <v>645.072</v>
      </c>
      <c r="C1704" s="944" t="s">
        <v>374</v>
      </c>
      <c r="D1704" s="943" t="s">
        <v>17</v>
      </c>
      <c r="E1704" s="952">
        <v>3850</v>
      </c>
      <c r="F1704" s="945">
        <v>4</v>
      </c>
      <c r="G1704" s="946">
        <v>58</v>
      </c>
      <c r="H1704" s="946">
        <v>76.38</v>
      </c>
    </row>
    <row r="1705" spans="1:9" s="26" customFormat="1">
      <c r="A1705" s="947" t="s">
        <v>81</v>
      </c>
      <c r="B1705" s="948">
        <v>645.14800000000002</v>
      </c>
      <c r="C1705" s="948" t="s">
        <v>375</v>
      </c>
      <c r="D1705" s="947" t="s">
        <v>17</v>
      </c>
      <c r="E1705" s="949">
        <v>8940</v>
      </c>
      <c r="F1705" s="950">
        <v>6</v>
      </c>
      <c r="G1705" s="951">
        <v>75</v>
      </c>
      <c r="H1705" s="951">
        <v>74.39</v>
      </c>
      <c r="I1705" s="18"/>
    </row>
    <row r="1706" spans="1:9">
      <c r="A1706" s="943" t="s">
        <v>81</v>
      </c>
      <c r="B1706" s="944">
        <v>645.17200000000003</v>
      </c>
      <c r="C1706" s="944" t="s">
        <v>376</v>
      </c>
      <c r="D1706" s="943" t="s">
        <v>17</v>
      </c>
      <c r="E1706" s="952">
        <v>1500</v>
      </c>
      <c r="F1706" s="945">
        <v>1</v>
      </c>
      <c r="G1706" s="946">
        <v>90</v>
      </c>
      <c r="H1706" s="946">
        <v>90</v>
      </c>
    </row>
    <row r="1707" spans="1:9" s="26" customFormat="1">
      <c r="A1707" s="947" t="s">
        <v>81</v>
      </c>
      <c r="B1707" s="948">
        <v>647.072</v>
      </c>
      <c r="C1707" s="948" t="s">
        <v>2451</v>
      </c>
      <c r="D1707" s="947" t="s">
        <v>17</v>
      </c>
      <c r="E1707" s="949">
        <v>5935</v>
      </c>
      <c r="F1707" s="950">
        <v>4</v>
      </c>
      <c r="G1707" s="951">
        <v>63.93</v>
      </c>
      <c r="H1707" s="951">
        <v>65.12</v>
      </c>
      <c r="I1707" s="18"/>
    </row>
    <row r="1708" spans="1:9">
      <c r="A1708" s="943" t="s">
        <v>81</v>
      </c>
      <c r="B1708" s="944">
        <v>647.096</v>
      </c>
      <c r="C1708" s="944" t="s">
        <v>2453</v>
      </c>
      <c r="D1708" s="943" t="s">
        <v>17</v>
      </c>
      <c r="E1708" s="952">
        <v>1050</v>
      </c>
      <c r="F1708" s="945">
        <v>1</v>
      </c>
      <c r="G1708" s="946">
        <v>100</v>
      </c>
      <c r="H1708" s="946">
        <v>99.43</v>
      </c>
    </row>
    <row r="1709" spans="1:9" s="26" customFormat="1">
      <c r="A1709" s="947" t="s">
        <v>81</v>
      </c>
      <c r="B1709" s="948">
        <v>650.048</v>
      </c>
      <c r="C1709" s="948" t="s">
        <v>377</v>
      </c>
      <c r="D1709" s="947" t="s">
        <v>17</v>
      </c>
      <c r="E1709" s="950">
        <v>180</v>
      </c>
      <c r="F1709" s="950">
        <v>3</v>
      </c>
      <c r="G1709" s="951">
        <v>540</v>
      </c>
      <c r="H1709" s="951">
        <v>522.07000000000005</v>
      </c>
      <c r="I1709" s="18"/>
    </row>
    <row r="1710" spans="1:9">
      <c r="A1710" s="943" t="s">
        <v>81</v>
      </c>
      <c r="B1710" s="944">
        <v>650.072</v>
      </c>
      <c r="C1710" s="944" t="s">
        <v>378</v>
      </c>
      <c r="D1710" s="943" t="s">
        <v>17</v>
      </c>
      <c r="E1710" s="952">
        <v>1486</v>
      </c>
      <c r="F1710" s="945">
        <v>5</v>
      </c>
      <c r="G1710" s="946">
        <v>246</v>
      </c>
      <c r="H1710" s="946">
        <v>239.52</v>
      </c>
    </row>
    <row r="1711" spans="1:9" s="26" customFormat="1">
      <c r="A1711" s="947" t="s">
        <v>81</v>
      </c>
      <c r="B1711" s="948">
        <v>651.072</v>
      </c>
      <c r="C1711" s="948" t="s">
        <v>379</v>
      </c>
      <c r="D1711" s="947" t="s">
        <v>17</v>
      </c>
      <c r="E1711" s="949">
        <v>1112</v>
      </c>
      <c r="F1711" s="950">
        <v>3</v>
      </c>
      <c r="G1711" s="951">
        <v>213.2</v>
      </c>
      <c r="H1711" s="951">
        <v>220.49</v>
      </c>
      <c r="I1711" s="18"/>
    </row>
    <row r="1712" spans="1:9">
      <c r="A1712" s="943" t="s">
        <v>81</v>
      </c>
      <c r="B1712" s="944">
        <v>652.048</v>
      </c>
      <c r="C1712" s="944" t="s">
        <v>380</v>
      </c>
      <c r="D1712" s="943" t="s">
        <v>2</v>
      </c>
      <c r="E1712" s="945">
        <v>142</v>
      </c>
      <c r="F1712" s="945">
        <v>7</v>
      </c>
      <c r="G1712" s="946">
        <v>325</v>
      </c>
      <c r="H1712" s="946">
        <v>307.82</v>
      </c>
    </row>
    <row r="1713" spans="1:9" s="26" customFormat="1">
      <c r="A1713" s="947" t="s">
        <v>81</v>
      </c>
      <c r="B1713" s="948">
        <v>652.05999999999995</v>
      </c>
      <c r="C1713" s="948" t="s">
        <v>2475</v>
      </c>
      <c r="D1713" s="947" t="s">
        <v>2</v>
      </c>
      <c r="E1713" s="950">
        <v>50</v>
      </c>
      <c r="F1713" s="950">
        <v>2</v>
      </c>
      <c r="G1713" s="951">
        <v>325</v>
      </c>
      <c r="H1713" s="951">
        <v>302.75</v>
      </c>
      <c r="I1713" s="18"/>
    </row>
    <row r="1714" spans="1:9">
      <c r="A1714" s="943" t="s">
        <v>81</v>
      </c>
      <c r="B1714" s="944">
        <v>652.072</v>
      </c>
      <c r="C1714" s="944" t="s">
        <v>381</v>
      </c>
      <c r="D1714" s="943" t="s">
        <v>2</v>
      </c>
      <c r="E1714" s="945">
        <v>281</v>
      </c>
      <c r="F1714" s="945">
        <v>5</v>
      </c>
      <c r="G1714" s="946">
        <v>525</v>
      </c>
      <c r="H1714" s="946">
        <v>463.66</v>
      </c>
    </row>
    <row r="1715" spans="1:9" s="26" customFormat="1">
      <c r="A1715" s="947" t="s">
        <v>81</v>
      </c>
      <c r="B1715" s="948">
        <v>652.096</v>
      </c>
      <c r="C1715" s="948" t="s">
        <v>2477</v>
      </c>
      <c r="D1715" s="947" t="s">
        <v>2</v>
      </c>
      <c r="E1715" s="950">
        <v>50</v>
      </c>
      <c r="F1715" s="950">
        <v>2</v>
      </c>
      <c r="G1715" s="951">
        <v>350</v>
      </c>
      <c r="H1715" s="951">
        <v>346.85</v>
      </c>
      <c r="I1715" s="18"/>
    </row>
    <row r="1716" spans="1:9">
      <c r="A1716" s="943" t="s">
        <v>81</v>
      </c>
      <c r="B1716" s="944">
        <v>653.048</v>
      </c>
      <c r="C1716" s="944" t="s">
        <v>382</v>
      </c>
      <c r="D1716" s="943" t="s">
        <v>2</v>
      </c>
      <c r="E1716" s="945">
        <v>48</v>
      </c>
      <c r="F1716" s="945">
        <v>4</v>
      </c>
      <c r="G1716" s="946">
        <v>570</v>
      </c>
      <c r="H1716" s="946">
        <v>488.76</v>
      </c>
    </row>
    <row r="1717" spans="1:9" s="26" customFormat="1">
      <c r="A1717" s="947" t="s">
        <v>81</v>
      </c>
      <c r="B1717" s="948">
        <v>653.05999999999995</v>
      </c>
      <c r="C1717" s="948" t="s">
        <v>2481</v>
      </c>
      <c r="D1717" s="947" t="s">
        <v>2</v>
      </c>
      <c r="E1717" s="950">
        <v>36</v>
      </c>
      <c r="F1717" s="950">
        <v>2</v>
      </c>
      <c r="G1717" s="951">
        <v>365</v>
      </c>
      <c r="H1717" s="951">
        <v>325.24</v>
      </c>
      <c r="I1717" s="18"/>
    </row>
    <row r="1718" spans="1:9">
      <c r="A1718" s="943" t="s">
        <v>81</v>
      </c>
      <c r="B1718" s="944">
        <v>653.072</v>
      </c>
      <c r="C1718" s="944" t="s">
        <v>383</v>
      </c>
      <c r="D1718" s="943" t="s">
        <v>2</v>
      </c>
      <c r="E1718" s="945">
        <v>398</v>
      </c>
      <c r="F1718" s="945">
        <v>5</v>
      </c>
      <c r="G1718" s="946">
        <v>567.5</v>
      </c>
      <c r="H1718" s="946">
        <v>494.54</v>
      </c>
    </row>
    <row r="1719" spans="1:9" s="26" customFormat="1">
      <c r="A1719" s="947" t="s">
        <v>81</v>
      </c>
      <c r="B1719" s="948">
        <v>653.08399999999995</v>
      </c>
      <c r="C1719" s="948" t="s">
        <v>2482</v>
      </c>
      <c r="D1719" s="947" t="s">
        <v>2</v>
      </c>
      <c r="E1719" s="950">
        <v>32</v>
      </c>
      <c r="F1719" s="950">
        <v>1</v>
      </c>
      <c r="G1719" s="951">
        <v>125</v>
      </c>
      <c r="H1719" s="951">
        <v>125</v>
      </c>
      <c r="I1719" s="18"/>
    </row>
    <row r="1720" spans="1:9">
      <c r="A1720" s="943" t="s">
        <v>81</v>
      </c>
      <c r="B1720" s="944">
        <v>653.096</v>
      </c>
      <c r="C1720" s="944" t="s">
        <v>384</v>
      </c>
      <c r="D1720" s="943" t="s">
        <v>2</v>
      </c>
      <c r="E1720" s="945">
        <v>52</v>
      </c>
      <c r="F1720" s="945">
        <v>2</v>
      </c>
      <c r="G1720" s="946">
        <v>450</v>
      </c>
      <c r="H1720" s="946">
        <v>417.85</v>
      </c>
    </row>
    <row r="1721" spans="1:9" s="26" customFormat="1">
      <c r="A1721" s="947" t="s">
        <v>81</v>
      </c>
      <c r="B1721" s="948">
        <v>654.048</v>
      </c>
      <c r="C1721" s="948" t="s">
        <v>2486</v>
      </c>
      <c r="D1721" s="947" t="s">
        <v>17</v>
      </c>
      <c r="E1721" s="949">
        <v>2400</v>
      </c>
      <c r="F1721" s="950">
        <v>1</v>
      </c>
      <c r="G1721" s="951">
        <v>13.35</v>
      </c>
      <c r="H1721" s="951">
        <v>13.77</v>
      </c>
      <c r="I1721" s="18"/>
    </row>
    <row r="1722" spans="1:9">
      <c r="A1722" s="943" t="s">
        <v>81</v>
      </c>
      <c r="B1722" s="944">
        <v>654.05999999999995</v>
      </c>
      <c r="C1722" s="944" t="s">
        <v>2487</v>
      </c>
      <c r="D1722" s="943" t="s">
        <v>17</v>
      </c>
      <c r="E1722" s="952">
        <v>1050</v>
      </c>
      <c r="F1722" s="945">
        <v>1</v>
      </c>
      <c r="G1722" s="946">
        <v>15</v>
      </c>
      <c r="H1722" s="946">
        <v>15.5</v>
      </c>
    </row>
    <row r="1723" spans="1:9" s="26" customFormat="1">
      <c r="A1723" s="947" t="s">
        <v>81</v>
      </c>
      <c r="B1723" s="948">
        <v>654.072</v>
      </c>
      <c r="C1723" s="948" t="s">
        <v>385</v>
      </c>
      <c r="D1723" s="947" t="s">
        <v>17</v>
      </c>
      <c r="E1723" s="949">
        <v>8420</v>
      </c>
      <c r="F1723" s="950">
        <v>4</v>
      </c>
      <c r="G1723" s="951">
        <v>20.45</v>
      </c>
      <c r="H1723" s="951">
        <v>20.81</v>
      </c>
      <c r="I1723" s="18"/>
    </row>
    <row r="1724" spans="1:9">
      <c r="A1724" s="943" t="s">
        <v>81</v>
      </c>
      <c r="B1724" s="944">
        <v>654.096</v>
      </c>
      <c r="C1724" s="944" t="s">
        <v>2489</v>
      </c>
      <c r="D1724" s="943" t="s">
        <v>17</v>
      </c>
      <c r="E1724" s="945">
        <v>450</v>
      </c>
      <c r="F1724" s="945">
        <v>1</v>
      </c>
      <c r="G1724" s="946">
        <v>23.65</v>
      </c>
      <c r="H1724" s="946">
        <v>22.05</v>
      </c>
    </row>
    <row r="1725" spans="1:9" s="26" customFormat="1">
      <c r="A1725" s="947" t="s">
        <v>81</v>
      </c>
      <c r="B1725" s="948">
        <v>655</v>
      </c>
      <c r="C1725" s="948" t="s">
        <v>386</v>
      </c>
      <c r="D1725" s="947" t="s">
        <v>17</v>
      </c>
      <c r="E1725" s="949">
        <v>10184</v>
      </c>
      <c r="F1725" s="950">
        <v>4</v>
      </c>
      <c r="G1725" s="951">
        <v>149</v>
      </c>
      <c r="H1725" s="951">
        <v>136.47</v>
      </c>
      <c r="I1725" s="18"/>
    </row>
    <row r="1726" spans="1:9">
      <c r="A1726" s="943" t="s">
        <v>81</v>
      </c>
      <c r="B1726" s="944">
        <v>657</v>
      </c>
      <c r="C1726" s="944" t="s">
        <v>387</v>
      </c>
      <c r="D1726" s="943" t="s">
        <v>17</v>
      </c>
      <c r="E1726" s="952">
        <v>68835</v>
      </c>
      <c r="F1726" s="945">
        <v>24</v>
      </c>
      <c r="G1726" s="946">
        <v>35</v>
      </c>
      <c r="H1726" s="946">
        <v>36.97</v>
      </c>
    </row>
    <row r="1727" spans="1:9" s="26" customFormat="1">
      <c r="A1727" s="947" t="s">
        <v>81</v>
      </c>
      <c r="B1727" s="948">
        <v>657.5</v>
      </c>
      <c r="C1727" s="948" t="s">
        <v>388</v>
      </c>
      <c r="D1727" s="947" t="s">
        <v>17</v>
      </c>
      <c r="E1727" s="949">
        <v>13000</v>
      </c>
      <c r="F1727" s="950">
        <v>11</v>
      </c>
      <c r="G1727" s="951">
        <v>20</v>
      </c>
      <c r="H1727" s="951">
        <v>19.190000000000001</v>
      </c>
      <c r="I1727" s="18"/>
    </row>
    <row r="1728" spans="1:9">
      <c r="A1728" s="943" t="s">
        <v>81</v>
      </c>
      <c r="B1728" s="944">
        <v>658</v>
      </c>
      <c r="C1728" s="944" t="s">
        <v>2493</v>
      </c>
      <c r="D1728" s="943" t="s">
        <v>2</v>
      </c>
      <c r="E1728" s="945">
        <v>233</v>
      </c>
      <c r="F1728" s="945">
        <v>3</v>
      </c>
      <c r="G1728" s="946">
        <v>337.5</v>
      </c>
      <c r="H1728" s="946">
        <v>353.6</v>
      </c>
    </row>
    <row r="1729" spans="1:9" s="26" customFormat="1">
      <c r="A1729" s="947" t="s">
        <v>81</v>
      </c>
      <c r="B1729" s="948">
        <v>660</v>
      </c>
      <c r="C1729" s="948" t="s">
        <v>389</v>
      </c>
      <c r="D1729" s="947" t="s">
        <v>17</v>
      </c>
      <c r="E1729" s="950">
        <v>140</v>
      </c>
      <c r="F1729" s="950">
        <v>2</v>
      </c>
      <c r="G1729" s="951">
        <v>435</v>
      </c>
      <c r="H1729" s="951">
        <v>475</v>
      </c>
      <c r="I1729" s="18"/>
    </row>
    <row r="1730" spans="1:9">
      <c r="A1730" s="943" t="s">
        <v>81</v>
      </c>
      <c r="B1730" s="944">
        <v>665</v>
      </c>
      <c r="C1730" s="944" t="s">
        <v>390</v>
      </c>
      <c r="D1730" s="943" t="s">
        <v>17</v>
      </c>
      <c r="E1730" s="952">
        <v>7240</v>
      </c>
      <c r="F1730" s="945">
        <v>8</v>
      </c>
      <c r="G1730" s="946">
        <v>28.29</v>
      </c>
      <c r="H1730" s="946">
        <v>30.88</v>
      </c>
    </row>
    <row r="1731" spans="1:9" s="26" customFormat="1">
      <c r="A1731" s="947" t="s">
        <v>81</v>
      </c>
      <c r="B1731" s="948">
        <v>666</v>
      </c>
      <c r="C1731" s="948" t="s">
        <v>391</v>
      </c>
      <c r="D1731" s="947" t="s">
        <v>17</v>
      </c>
      <c r="E1731" s="949">
        <v>12280</v>
      </c>
      <c r="F1731" s="950">
        <v>15</v>
      </c>
      <c r="G1731" s="951">
        <v>70</v>
      </c>
      <c r="H1731" s="951">
        <v>80.88</v>
      </c>
      <c r="I1731" s="18"/>
    </row>
    <row r="1732" spans="1:9">
      <c r="A1732" s="943" t="s">
        <v>81</v>
      </c>
      <c r="B1732" s="944">
        <v>667</v>
      </c>
      <c r="C1732" s="944" t="s">
        <v>4039</v>
      </c>
      <c r="D1732" s="943" t="s">
        <v>2</v>
      </c>
      <c r="E1732" s="945">
        <v>30</v>
      </c>
      <c r="F1732" s="945">
        <v>2</v>
      </c>
      <c r="G1732" s="946">
        <v>1225</v>
      </c>
      <c r="H1732" s="946">
        <v>1337.5</v>
      </c>
    </row>
    <row r="1733" spans="1:9" s="26" customFormat="1">
      <c r="A1733" s="947" t="s">
        <v>81</v>
      </c>
      <c r="B1733" s="948">
        <v>668</v>
      </c>
      <c r="C1733" s="948" t="s">
        <v>4040</v>
      </c>
      <c r="D1733" s="947" t="s">
        <v>2</v>
      </c>
      <c r="E1733" s="950">
        <v>20</v>
      </c>
      <c r="F1733" s="950">
        <v>2</v>
      </c>
      <c r="G1733" s="951">
        <v>4000</v>
      </c>
      <c r="H1733" s="951">
        <v>3365.63</v>
      </c>
      <c r="I1733" s="18"/>
    </row>
    <row r="1734" spans="1:9">
      <c r="A1734" s="943" t="s">
        <v>81</v>
      </c>
      <c r="B1734" s="944">
        <v>669</v>
      </c>
      <c r="C1734" s="944" t="s">
        <v>393</v>
      </c>
      <c r="D1734" s="943" t="s">
        <v>17</v>
      </c>
      <c r="E1734" s="952">
        <v>8695</v>
      </c>
      <c r="F1734" s="945">
        <v>13</v>
      </c>
      <c r="G1734" s="946">
        <v>15</v>
      </c>
      <c r="H1734" s="946">
        <v>17.43</v>
      </c>
    </row>
    <row r="1735" spans="1:9" s="26" customFormat="1">
      <c r="A1735" s="947" t="s">
        <v>81</v>
      </c>
      <c r="B1735" s="948">
        <v>670</v>
      </c>
      <c r="C1735" s="948" t="s">
        <v>394</v>
      </c>
      <c r="D1735" s="947" t="s">
        <v>17</v>
      </c>
      <c r="E1735" s="949">
        <v>6619</v>
      </c>
      <c r="F1735" s="950">
        <v>13</v>
      </c>
      <c r="G1735" s="951">
        <v>99</v>
      </c>
      <c r="H1735" s="951">
        <v>94.16</v>
      </c>
      <c r="I1735" s="18"/>
    </row>
    <row r="1736" spans="1:9">
      <c r="A1736" s="943" t="s">
        <v>81</v>
      </c>
      <c r="B1736" s="944">
        <v>671</v>
      </c>
      <c r="C1736" s="944" t="s">
        <v>2496</v>
      </c>
      <c r="D1736" s="943" t="s">
        <v>2</v>
      </c>
      <c r="E1736" s="945">
        <v>10</v>
      </c>
      <c r="F1736" s="945">
        <v>2</v>
      </c>
      <c r="G1736" s="946">
        <v>694</v>
      </c>
      <c r="H1736" s="946">
        <v>699.5</v>
      </c>
    </row>
    <row r="1737" spans="1:9" s="26" customFormat="1">
      <c r="A1737" s="947" t="s">
        <v>81</v>
      </c>
      <c r="B1737" s="948">
        <v>672</v>
      </c>
      <c r="C1737" s="948" t="s">
        <v>395</v>
      </c>
      <c r="D1737" s="947" t="s">
        <v>2</v>
      </c>
      <c r="E1737" s="950">
        <v>36</v>
      </c>
      <c r="F1737" s="950">
        <v>6</v>
      </c>
      <c r="G1737" s="951">
        <v>2950</v>
      </c>
      <c r="H1737" s="951">
        <v>2882.08</v>
      </c>
      <c r="I1737" s="18"/>
    </row>
    <row r="1738" spans="1:9">
      <c r="A1738" s="943" t="s">
        <v>81</v>
      </c>
      <c r="B1738" s="944">
        <v>675</v>
      </c>
      <c r="C1738" s="944" t="s">
        <v>2497</v>
      </c>
      <c r="D1738" s="943" t="s">
        <v>17</v>
      </c>
      <c r="E1738" s="952">
        <v>5100</v>
      </c>
      <c r="F1738" s="945">
        <v>1</v>
      </c>
      <c r="G1738" s="946">
        <v>114</v>
      </c>
      <c r="H1738" s="946">
        <v>104.5</v>
      </c>
    </row>
    <row r="1739" spans="1:9" s="26" customFormat="1">
      <c r="A1739" s="947" t="s">
        <v>81</v>
      </c>
      <c r="B1739" s="948">
        <v>685</v>
      </c>
      <c r="C1739" s="948" t="s">
        <v>396</v>
      </c>
      <c r="D1739" s="947" t="s">
        <v>4</v>
      </c>
      <c r="E1739" s="949">
        <v>3803</v>
      </c>
      <c r="F1739" s="950">
        <v>10</v>
      </c>
      <c r="G1739" s="951">
        <v>1500</v>
      </c>
      <c r="H1739" s="951">
        <v>1434.34</v>
      </c>
      <c r="I1739" s="18"/>
    </row>
    <row r="1740" spans="1:9">
      <c r="A1740" s="943" t="s">
        <v>81</v>
      </c>
      <c r="B1740" s="944">
        <v>685.2</v>
      </c>
      <c r="C1740" s="944" t="s">
        <v>2507</v>
      </c>
      <c r="D1740" s="943" t="s">
        <v>2</v>
      </c>
      <c r="E1740" s="945">
        <v>12</v>
      </c>
      <c r="F1740" s="945">
        <v>1</v>
      </c>
      <c r="G1740" s="946">
        <v>2000</v>
      </c>
      <c r="H1740" s="946">
        <v>2033.33</v>
      </c>
    </row>
    <row r="1741" spans="1:9" s="26" customFormat="1">
      <c r="A1741" s="947" t="s">
        <v>81</v>
      </c>
      <c r="B1741" s="948">
        <v>690</v>
      </c>
      <c r="C1741" s="948" t="s">
        <v>397</v>
      </c>
      <c r="D1741" s="947" t="s">
        <v>4</v>
      </c>
      <c r="E1741" s="949">
        <v>1285</v>
      </c>
      <c r="F1741" s="950">
        <v>3</v>
      </c>
      <c r="G1741" s="951">
        <v>1425</v>
      </c>
      <c r="H1741" s="951">
        <v>1399.67</v>
      </c>
      <c r="I1741" s="18"/>
    </row>
    <row r="1742" spans="1:9">
      <c r="A1742" s="943" t="s">
        <v>81</v>
      </c>
      <c r="B1742" s="944">
        <v>690.1</v>
      </c>
      <c r="C1742" s="944" t="s">
        <v>398</v>
      </c>
      <c r="D1742" s="943" t="s">
        <v>4</v>
      </c>
      <c r="E1742" s="945">
        <v>450</v>
      </c>
      <c r="F1742" s="945">
        <v>2</v>
      </c>
      <c r="G1742" s="946">
        <v>1200</v>
      </c>
      <c r="H1742" s="946">
        <v>1192.75</v>
      </c>
    </row>
    <row r="1743" spans="1:9" s="26" customFormat="1">
      <c r="A1743" s="947" t="s">
        <v>81</v>
      </c>
      <c r="B1743" s="948">
        <v>691</v>
      </c>
      <c r="C1743" s="948" t="s">
        <v>399</v>
      </c>
      <c r="D1743" s="947" t="s">
        <v>17</v>
      </c>
      <c r="E1743" s="949">
        <v>6925</v>
      </c>
      <c r="F1743" s="950">
        <v>5</v>
      </c>
      <c r="G1743" s="951">
        <v>200</v>
      </c>
      <c r="H1743" s="951">
        <v>323.39999999999998</v>
      </c>
      <c r="I1743" s="18"/>
    </row>
    <row r="1744" spans="1:9">
      <c r="A1744" s="943" t="s">
        <v>81</v>
      </c>
      <c r="B1744" s="944">
        <v>697</v>
      </c>
      <c r="C1744" s="944" t="s">
        <v>400</v>
      </c>
      <c r="D1744" s="943" t="s">
        <v>17</v>
      </c>
      <c r="E1744" s="952">
        <v>52342</v>
      </c>
      <c r="F1744" s="945">
        <v>11</v>
      </c>
      <c r="G1744" s="946">
        <v>9</v>
      </c>
      <c r="H1744" s="946">
        <v>8.07</v>
      </c>
    </row>
    <row r="1745" spans="1:9" s="26" customFormat="1">
      <c r="A1745" s="947" t="s">
        <v>81</v>
      </c>
      <c r="B1745" s="948">
        <v>697.1</v>
      </c>
      <c r="C1745" s="948" t="s">
        <v>401</v>
      </c>
      <c r="D1745" s="947" t="s">
        <v>2</v>
      </c>
      <c r="E1745" s="949">
        <v>14262</v>
      </c>
      <c r="F1745" s="950">
        <v>60</v>
      </c>
      <c r="G1745" s="951">
        <v>230</v>
      </c>
      <c r="H1745" s="951">
        <v>230.67</v>
      </c>
      <c r="I1745" s="18"/>
    </row>
    <row r="1746" spans="1:9">
      <c r="A1746" s="943" t="s">
        <v>81</v>
      </c>
      <c r="B1746" s="944">
        <v>697.2</v>
      </c>
      <c r="C1746" s="944" t="s">
        <v>402</v>
      </c>
      <c r="D1746" s="943" t="s">
        <v>17</v>
      </c>
      <c r="E1746" s="952">
        <v>16680</v>
      </c>
      <c r="F1746" s="945">
        <v>8</v>
      </c>
      <c r="G1746" s="946">
        <v>50</v>
      </c>
      <c r="H1746" s="946">
        <v>44.81</v>
      </c>
    </row>
    <row r="1747" spans="1:9" s="26" customFormat="1">
      <c r="A1747" s="947" t="s">
        <v>81</v>
      </c>
      <c r="B1747" s="948">
        <v>698.1</v>
      </c>
      <c r="C1747" s="948" t="s">
        <v>403</v>
      </c>
      <c r="D1747" s="947" t="s">
        <v>1</v>
      </c>
      <c r="E1747" s="949">
        <v>50915</v>
      </c>
      <c r="F1747" s="950">
        <v>9</v>
      </c>
      <c r="G1747" s="951">
        <v>9</v>
      </c>
      <c r="H1747" s="951">
        <v>9.02</v>
      </c>
      <c r="I1747" s="18"/>
    </row>
    <row r="1748" spans="1:9">
      <c r="A1748" s="943" t="s">
        <v>81</v>
      </c>
      <c r="B1748" s="944">
        <v>698.2</v>
      </c>
      <c r="C1748" s="944" t="s">
        <v>63</v>
      </c>
      <c r="D1748" s="943" t="s">
        <v>1</v>
      </c>
      <c r="E1748" s="952">
        <v>5400</v>
      </c>
      <c r="F1748" s="945">
        <v>2</v>
      </c>
      <c r="G1748" s="946">
        <v>7</v>
      </c>
      <c r="H1748" s="946">
        <v>6</v>
      </c>
    </row>
    <row r="1749" spans="1:9" s="26" customFormat="1">
      <c r="A1749" s="947" t="s">
        <v>81</v>
      </c>
      <c r="B1749" s="948">
        <v>698.3</v>
      </c>
      <c r="C1749" s="948" t="s">
        <v>404</v>
      </c>
      <c r="D1749" s="947" t="s">
        <v>1</v>
      </c>
      <c r="E1749" s="949">
        <v>26777</v>
      </c>
      <c r="F1749" s="950">
        <v>24</v>
      </c>
      <c r="G1749" s="951">
        <v>10</v>
      </c>
      <c r="H1749" s="951">
        <v>9.65</v>
      </c>
      <c r="I1749" s="18"/>
    </row>
    <row r="1750" spans="1:9">
      <c r="A1750" s="943" t="s">
        <v>81</v>
      </c>
      <c r="B1750" s="944">
        <v>698.4</v>
      </c>
      <c r="C1750" s="944" t="s">
        <v>405</v>
      </c>
      <c r="D1750" s="943" t="s">
        <v>1</v>
      </c>
      <c r="E1750" s="952">
        <v>21335</v>
      </c>
      <c r="F1750" s="945">
        <v>17</v>
      </c>
      <c r="G1750" s="946">
        <v>8.6</v>
      </c>
      <c r="H1750" s="946">
        <v>8.33</v>
      </c>
    </row>
    <row r="1751" spans="1:9" s="26" customFormat="1">
      <c r="A1751" s="947" t="s">
        <v>81</v>
      </c>
      <c r="B1751" s="948">
        <v>701</v>
      </c>
      <c r="C1751" s="948" t="s">
        <v>406</v>
      </c>
      <c r="D1751" s="947" t="s">
        <v>1</v>
      </c>
      <c r="E1751" s="949">
        <v>425648</v>
      </c>
      <c r="F1751" s="950">
        <v>57</v>
      </c>
      <c r="G1751" s="951">
        <v>100</v>
      </c>
      <c r="H1751" s="951">
        <v>99.07</v>
      </c>
      <c r="I1751" s="18"/>
    </row>
    <row r="1752" spans="1:9">
      <c r="A1752" s="943" t="s">
        <v>81</v>
      </c>
      <c r="B1752" s="944">
        <v>701.1</v>
      </c>
      <c r="C1752" s="944" t="s">
        <v>407</v>
      </c>
      <c r="D1752" s="943" t="s">
        <v>1</v>
      </c>
      <c r="E1752" s="952">
        <v>151815</v>
      </c>
      <c r="F1752" s="945">
        <v>36</v>
      </c>
      <c r="G1752" s="946">
        <v>109.5</v>
      </c>
      <c r="H1752" s="946">
        <v>108.07</v>
      </c>
    </row>
    <row r="1753" spans="1:9" s="26" customFormat="1">
      <c r="A1753" s="947" t="s">
        <v>81</v>
      </c>
      <c r="B1753" s="948">
        <v>701.2</v>
      </c>
      <c r="C1753" s="948" t="s">
        <v>1422</v>
      </c>
      <c r="D1753" s="947" t="s">
        <v>1</v>
      </c>
      <c r="E1753" s="949">
        <v>117891</v>
      </c>
      <c r="F1753" s="950">
        <v>55</v>
      </c>
      <c r="G1753" s="951">
        <v>135</v>
      </c>
      <c r="H1753" s="951">
        <v>134.77000000000001</v>
      </c>
      <c r="I1753" s="18"/>
    </row>
    <row r="1754" spans="1:9">
      <c r="A1754" s="943" t="s">
        <v>81</v>
      </c>
      <c r="B1754" s="944">
        <v>702</v>
      </c>
      <c r="C1754" s="944" t="s">
        <v>1423</v>
      </c>
      <c r="D1754" s="943" t="s">
        <v>7</v>
      </c>
      <c r="E1754" s="952">
        <v>79158</v>
      </c>
      <c r="F1754" s="945">
        <v>65</v>
      </c>
      <c r="G1754" s="946">
        <v>300</v>
      </c>
      <c r="H1754" s="946">
        <v>292.27</v>
      </c>
    </row>
    <row r="1755" spans="1:9" s="26" customFormat="1">
      <c r="A1755" s="947" t="s">
        <v>81</v>
      </c>
      <c r="B1755" s="948">
        <v>703.1</v>
      </c>
      <c r="C1755" s="948" t="s">
        <v>408</v>
      </c>
      <c r="D1755" s="947" t="s">
        <v>2</v>
      </c>
      <c r="E1755" s="950">
        <v>56</v>
      </c>
      <c r="F1755" s="950">
        <v>3</v>
      </c>
      <c r="G1755" s="951">
        <v>500</v>
      </c>
      <c r="H1755" s="951">
        <v>477.5</v>
      </c>
      <c r="I1755" s="18"/>
    </row>
    <row r="1756" spans="1:9">
      <c r="A1756" s="943" t="s">
        <v>81</v>
      </c>
      <c r="B1756" s="944">
        <v>704.1</v>
      </c>
      <c r="C1756" s="944" t="s">
        <v>2509</v>
      </c>
      <c r="D1756" s="943" t="s">
        <v>7</v>
      </c>
      <c r="E1756" s="945">
        <v>59</v>
      </c>
      <c r="F1756" s="945">
        <v>3</v>
      </c>
      <c r="G1756" s="946">
        <v>137.5</v>
      </c>
      <c r="H1756" s="946">
        <v>156.66999999999999</v>
      </c>
    </row>
    <row r="1757" spans="1:9" s="26" customFormat="1">
      <c r="A1757" s="947" t="s">
        <v>81</v>
      </c>
      <c r="B1757" s="948">
        <v>705.1</v>
      </c>
      <c r="C1757" s="948" t="s">
        <v>409</v>
      </c>
      <c r="D1757" s="947" t="s">
        <v>1</v>
      </c>
      <c r="E1757" s="950">
        <v>277</v>
      </c>
      <c r="F1757" s="950">
        <v>5</v>
      </c>
      <c r="G1757" s="951">
        <v>550</v>
      </c>
      <c r="H1757" s="951">
        <v>531.95000000000005</v>
      </c>
      <c r="I1757" s="18"/>
    </row>
    <row r="1758" spans="1:9">
      <c r="A1758" s="943" t="s">
        <v>81</v>
      </c>
      <c r="B1758" s="944">
        <v>706</v>
      </c>
      <c r="C1758" s="944" t="s">
        <v>410</v>
      </c>
      <c r="D1758" s="943" t="s">
        <v>1</v>
      </c>
      <c r="E1758" s="945">
        <v>100</v>
      </c>
      <c r="F1758" s="945">
        <v>1</v>
      </c>
      <c r="G1758" s="946">
        <v>575</v>
      </c>
      <c r="H1758" s="946">
        <v>521</v>
      </c>
    </row>
    <row r="1759" spans="1:9" s="26" customFormat="1">
      <c r="A1759" s="947" t="s">
        <v>81</v>
      </c>
      <c r="B1759" s="948">
        <v>706.1</v>
      </c>
      <c r="C1759" s="948" t="s">
        <v>411</v>
      </c>
      <c r="D1759" s="947" t="s">
        <v>1</v>
      </c>
      <c r="E1759" s="950">
        <v>783</v>
      </c>
      <c r="F1759" s="950">
        <v>8</v>
      </c>
      <c r="G1759" s="951">
        <v>475</v>
      </c>
      <c r="H1759" s="951">
        <v>465.5</v>
      </c>
      <c r="I1759" s="18"/>
    </row>
    <row r="1760" spans="1:9">
      <c r="A1760" s="943" t="s">
        <v>81</v>
      </c>
      <c r="B1760" s="944">
        <v>707.1</v>
      </c>
      <c r="C1760" s="944" t="s">
        <v>60</v>
      </c>
      <c r="D1760" s="943" t="s">
        <v>2</v>
      </c>
      <c r="E1760" s="945">
        <v>69</v>
      </c>
      <c r="F1760" s="945">
        <v>6</v>
      </c>
      <c r="G1760" s="946">
        <v>4650</v>
      </c>
      <c r="H1760" s="946">
        <v>4636.1400000000003</v>
      </c>
    </row>
    <row r="1761" spans="1:9" s="26" customFormat="1">
      <c r="A1761" s="947" t="s">
        <v>81</v>
      </c>
      <c r="B1761" s="948">
        <v>707.15</v>
      </c>
      <c r="C1761" s="948" t="s">
        <v>414</v>
      </c>
      <c r="D1761" s="947" t="s">
        <v>2</v>
      </c>
      <c r="E1761" s="950">
        <v>12</v>
      </c>
      <c r="F1761" s="950">
        <v>2</v>
      </c>
      <c r="G1761" s="951">
        <v>1500</v>
      </c>
      <c r="H1761" s="951">
        <v>1225</v>
      </c>
      <c r="I1761" s="18"/>
    </row>
    <row r="1762" spans="1:9">
      <c r="A1762" s="943" t="s">
        <v>81</v>
      </c>
      <c r="B1762" s="944">
        <v>707.2</v>
      </c>
      <c r="C1762" s="944" t="s">
        <v>415</v>
      </c>
      <c r="D1762" s="943" t="s">
        <v>2</v>
      </c>
      <c r="E1762" s="945">
        <v>42</v>
      </c>
      <c r="F1762" s="945">
        <v>3</v>
      </c>
      <c r="G1762" s="946">
        <v>4100</v>
      </c>
      <c r="H1762" s="946">
        <v>3979.17</v>
      </c>
    </row>
    <row r="1763" spans="1:9" s="26" customFormat="1">
      <c r="A1763" s="947" t="s">
        <v>81</v>
      </c>
      <c r="B1763" s="948">
        <v>707.8</v>
      </c>
      <c r="C1763" s="948" t="s">
        <v>416</v>
      </c>
      <c r="D1763" s="947" t="s">
        <v>2</v>
      </c>
      <c r="E1763" s="950">
        <v>54</v>
      </c>
      <c r="F1763" s="950">
        <v>3</v>
      </c>
      <c r="G1763" s="951">
        <v>1985</v>
      </c>
      <c r="H1763" s="951">
        <v>1835.63</v>
      </c>
      <c r="I1763" s="18"/>
    </row>
    <row r="1764" spans="1:9">
      <c r="A1764" s="943" t="s">
        <v>81</v>
      </c>
      <c r="B1764" s="944">
        <v>707.9</v>
      </c>
      <c r="C1764" s="944" t="s">
        <v>61</v>
      </c>
      <c r="D1764" s="943" t="s">
        <v>2</v>
      </c>
      <c r="E1764" s="945">
        <v>59</v>
      </c>
      <c r="F1764" s="945">
        <v>4</v>
      </c>
      <c r="G1764" s="946">
        <v>2000</v>
      </c>
      <c r="H1764" s="946">
        <v>1941.18</v>
      </c>
    </row>
    <row r="1765" spans="1:9" s="26" customFormat="1">
      <c r="A1765" s="947" t="s">
        <v>81</v>
      </c>
      <c r="B1765" s="948">
        <v>710.3</v>
      </c>
      <c r="C1765" s="948" t="s">
        <v>48</v>
      </c>
      <c r="D1765" s="947" t="s">
        <v>2</v>
      </c>
      <c r="E1765" s="949">
        <v>1135</v>
      </c>
      <c r="F1765" s="950">
        <v>8</v>
      </c>
      <c r="G1765" s="951">
        <v>800</v>
      </c>
      <c r="H1765" s="951">
        <v>736.09</v>
      </c>
      <c r="I1765" s="18"/>
    </row>
    <row r="1766" spans="1:9">
      <c r="A1766" s="943" t="s">
        <v>81</v>
      </c>
      <c r="B1766" s="944">
        <v>710.4</v>
      </c>
      <c r="C1766" s="944" t="s">
        <v>417</v>
      </c>
      <c r="D1766" s="943" t="s">
        <v>2</v>
      </c>
      <c r="E1766" s="945">
        <v>716</v>
      </c>
      <c r="F1766" s="945">
        <v>15</v>
      </c>
      <c r="G1766" s="946">
        <v>925</v>
      </c>
      <c r="H1766" s="946">
        <v>921.59</v>
      </c>
    </row>
    <row r="1767" spans="1:9" s="26" customFormat="1">
      <c r="A1767" s="947" t="s">
        <v>81</v>
      </c>
      <c r="B1767" s="948">
        <v>711</v>
      </c>
      <c r="C1767" s="948" t="s">
        <v>418</v>
      </c>
      <c r="D1767" s="947" t="s">
        <v>2</v>
      </c>
      <c r="E1767" s="950">
        <v>395</v>
      </c>
      <c r="F1767" s="950">
        <v>22</v>
      </c>
      <c r="G1767" s="951">
        <v>712.5</v>
      </c>
      <c r="H1767" s="951">
        <v>711.83</v>
      </c>
      <c r="I1767" s="18"/>
    </row>
    <row r="1768" spans="1:9">
      <c r="A1768" s="943" t="s">
        <v>81</v>
      </c>
      <c r="B1768" s="944">
        <v>711.1</v>
      </c>
      <c r="C1768" s="944" t="s">
        <v>419</v>
      </c>
      <c r="D1768" s="943" t="s">
        <v>2</v>
      </c>
      <c r="E1768" s="945">
        <v>25</v>
      </c>
      <c r="F1768" s="945">
        <v>1</v>
      </c>
      <c r="G1768" s="946">
        <v>800</v>
      </c>
      <c r="H1768" s="946">
        <v>720</v>
      </c>
    </row>
    <row r="1769" spans="1:9" s="26" customFormat="1">
      <c r="A1769" s="947" t="s">
        <v>81</v>
      </c>
      <c r="B1769" s="948">
        <v>712</v>
      </c>
      <c r="C1769" s="948" t="s">
        <v>44</v>
      </c>
      <c r="D1769" s="947" t="s">
        <v>2</v>
      </c>
      <c r="E1769" s="950">
        <v>21</v>
      </c>
      <c r="F1769" s="950">
        <v>3</v>
      </c>
      <c r="G1769" s="951">
        <v>307.5</v>
      </c>
      <c r="H1769" s="951">
        <v>319</v>
      </c>
      <c r="I1769" s="18"/>
    </row>
    <row r="1770" spans="1:9">
      <c r="A1770" s="943" t="s">
        <v>81</v>
      </c>
      <c r="B1770" s="944">
        <v>714</v>
      </c>
      <c r="C1770" s="944" t="s">
        <v>420</v>
      </c>
      <c r="D1770" s="943" t="s">
        <v>2</v>
      </c>
      <c r="E1770" s="945">
        <v>11</v>
      </c>
      <c r="F1770" s="945">
        <v>4</v>
      </c>
      <c r="G1770" s="946">
        <v>5000</v>
      </c>
      <c r="H1770" s="946">
        <v>4518.18</v>
      </c>
    </row>
    <row r="1771" spans="1:9" s="26" customFormat="1">
      <c r="A1771" s="947" t="s">
        <v>81</v>
      </c>
      <c r="B1771" s="948">
        <v>714.1</v>
      </c>
      <c r="C1771" s="948" t="s">
        <v>421</v>
      </c>
      <c r="D1771" s="947" t="s">
        <v>22</v>
      </c>
      <c r="E1771" s="950">
        <v>2</v>
      </c>
      <c r="F1771" s="950">
        <v>1</v>
      </c>
      <c r="G1771" s="951">
        <v>2350</v>
      </c>
      <c r="H1771" s="951">
        <v>2175</v>
      </c>
      <c r="I1771" s="18"/>
    </row>
    <row r="1772" spans="1:9">
      <c r="A1772" s="943" t="s">
        <v>81</v>
      </c>
      <c r="B1772" s="944">
        <v>715</v>
      </c>
      <c r="C1772" s="944" t="s">
        <v>422</v>
      </c>
      <c r="D1772" s="943" t="s">
        <v>2</v>
      </c>
      <c r="E1772" s="952">
        <v>1596</v>
      </c>
      <c r="F1772" s="945">
        <v>21</v>
      </c>
      <c r="G1772" s="946">
        <v>267.5</v>
      </c>
      <c r="H1772" s="946">
        <v>292.2</v>
      </c>
    </row>
    <row r="1773" spans="1:9" s="26" customFormat="1">
      <c r="A1773" s="947" t="s">
        <v>81</v>
      </c>
      <c r="B1773" s="948">
        <v>715.1</v>
      </c>
      <c r="C1773" s="948" t="s">
        <v>423</v>
      </c>
      <c r="D1773" s="947" t="s">
        <v>2</v>
      </c>
      <c r="E1773" s="950">
        <v>15</v>
      </c>
      <c r="F1773" s="950">
        <v>5</v>
      </c>
      <c r="G1773" s="951">
        <v>500</v>
      </c>
      <c r="H1773" s="951">
        <v>415.33</v>
      </c>
      <c r="I1773" s="18"/>
    </row>
    <row r="1774" spans="1:9">
      <c r="A1774" s="943" t="s">
        <v>81</v>
      </c>
      <c r="B1774" s="944">
        <v>718.1</v>
      </c>
      <c r="C1774" s="944" t="s">
        <v>425</v>
      </c>
      <c r="D1774" s="943" t="s">
        <v>22</v>
      </c>
      <c r="E1774" s="945">
        <v>9</v>
      </c>
      <c r="F1774" s="945">
        <v>2</v>
      </c>
      <c r="G1774" s="946">
        <v>7195</v>
      </c>
      <c r="H1774" s="946">
        <v>6767.22</v>
      </c>
    </row>
    <row r="1775" spans="1:9" s="26" customFormat="1">
      <c r="A1775" s="947" t="s">
        <v>81</v>
      </c>
      <c r="B1775" s="948">
        <v>734</v>
      </c>
      <c r="C1775" s="948" t="s">
        <v>426</v>
      </c>
      <c r="D1775" s="947" t="s">
        <v>2</v>
      </c>
      <c r="E1775" s="950">
        <v>28</v>
      </c>
      <c r="F1775" s="950">
        <v>3</v>
      </c>
      <c r="G1775" s="951">
        <v>700</v>
      </c>
      <c r="H1775" s="951">
        <v>668.75</v>
      </c>
      <c r="I1775" s="18"/>
    </row>
    <row r="1776" spans="1:9">
      <c r="A1776" s="943" t="s">
        <v>81</v>
      </c>
      <c r="B1776" s="944">
        <v>734.52</v>
      </c>
      <c r="C1776" s="944" t="s">
        <v>623</v>
      </c>
      <c r="D1776" s="943" t="s">
        <v>2</v>
      </c>
      <c r="E1776" s="945">
        <v>2</v>
      </c>
      <c r="F1776" s="945">
        <v>1</v>
      </c>
      <c r="G1776" s="946">
        <v>250</v>
      </c>
      <c r="H1776" s="946">
        <v>225</v>
      </c>
    </row>
    <row r="1777" spans="1:9" s="26" customFormat="1">
      <c r="A1777" s="947" t="s">
        <v>81</v>
      </c>
      <c r="B1777" s="948">
        <v>740</v>
      </c>
      <c r="C1777" s="948" t="s">
        <v>4023</v>
      </c>
      <c r="D1777" s="947" t="s">
        <v>428</v>
      </c>
      <c r="E1777" s="949">
        <v>10865</v>
      </c>
      <c r="F1777" s="950">
        <v>101</v>
      </c>
      <c r="G1777" s="951">
        <v>3500</v>
      </c>
      <c r="H1777" s="951">
        <v>3412.86</v>
      </c>
      <c r="I1777" s="18"/>
    </row>
    <row r="1778" spans="1:9">
      <c r="A1778" s="943" t="s">
        <v>81</v>
      </c>
      <c r="B1778" s="944">
        <v>741</v>
      </c>
      <c r="C1778" s="944" t="s">
        <v>2524</v>
      </c>
      <c r="D1778" s="943" t="s">
        <v>428</v>
      </c>
      <c r="E1778" s="945">
        <v>72</v>
      </c>
      <c r="F1778" s="945">
        <v>2</v>
      </c>
      <c r="G1778" s="946">
        <v>2100</v>
      </c>
      <c r="H1778" s="946">
        <v>2375</v>
      </c>
    </row>
    <row r="1779" spans="1:9" s="26" customFormat="1">
      <c r="A1779" s="947" t="s">
        <v>81</v>
      </c>
      <c r="B1779" s="948">
        <v>745</v>
      </c>
      <c r="C1779" s="948" t="s">
        <v>1426</v>
      </c>
      <c r="D1779" s="947" t="s">
        <v>2</v>
      </c>
      <c r="E1779" s="950">
        <v>10</v>
      </c>
      <c r="F1779" s="950">
        <v>2</v>
      </c>
      <c r="G1779" s="951">
        <v>47500</v>
      </c>
      <c r="H1779" s="951">
        <v>51666.67</v>
      </c>
      <c r="I1779" s="18"/>
    </row>
    <row r="1780" spans="1:9">
      <c r="A1780" s="943" t="s">
        <v>81</v>
      </c>
      <c r="B1780" s="944">
        <v>747</v>
      </c>
      <c r="C1780" s="944" t="s">
        <v>429</v>
      </c>
      <c r="D1780" s="943" t="s">
        <v>22</v>
      </c>
      <c r="E1780" s="945">
        <v>22</v>
      </c>
      <c r="F1780" s="945">
        <v>9</v>
      </c>
      <c r="G1780" s="946">
        <v>8500</v>
      </c>
      <c r="H1780" s="946">
        <v>8216.73</v>
      </c>
    </row>
    <row r="1781" spans="1:9" s="26" customFormat="1">
      <c r="A1781" s="947" t="s">
        <v>81</v>
      </c>
      <c r="B1781" s="948">
        <v>748</v>
      </c>
      <c r="C1781" s="948" t="s">
        <v>430</v>
      </c>
      <c r="D1781" s="947" t="s">
        <v>22</v>
      </c>
      <c r="E1781" s="950">
        <v>244</v>
      </c>
      <c r="F1781" s="950">
        <v>70</v>
      </c>
      <c r="G1781" s="951">
        <v>134250</v>
      </c>
      <c r="H1781" s="951">
        <v>118920.64</v>
      </c>
      <c r="I1781" s="18"/>
    </row>
    <row r="1782" spans="1:9">
      <c r="A1782" s="943" t="s">
        <v>81</v>
      </c>
      <c r="B1782" s="944">
        <v>748.1</v>
      </c>
      <c r="C1782" s="944" t="s">
        <v>431</v>
      </c>
      <c r="D1782" s="943" t="s">
        <v>2</v>
      </c>
      <c r="E1782" s="945">
        <v>736</v>
      </c>
      <c r="F1782" s="945">
        <v>56</v>
      </c>
      <c r="G1782" s="946">
        <v>555</v>
      </c>
      <c r="H1782" s="946">
        <v>645.15</v>
      </c>
    </row>
    <row r="1783" spans="1:9" s="26" customFormat="1">
      <c r="A1783" s="947" t="s">
        <v>81</v>
      </c>
      <c r="B1783" s="948">
        <v>751</v>
      </c>
      <c r="C1783" s="948" t="s">
        <v>3902</v>
      </c>
      <c r="D1783" s="947" t="s">
        <v>4</v>
      </c>
      <c r="E1783" s="949">
        <v>159573</v>
      </c>
      <c r="F1783" s="950">
        <v>75</v>
      </c>
      <c r="G1783" s="951">
        <v>89</v>
      </c>
      <c r="H1783" s="951">
        <v>88.37</v>
      </c>
      <c r="I1783" s="18"/>
    </row>
    <row r="1784" spans="1:9">
      <c r="A1784" s="943" t="s">
        <v>81</v>
      </c>
      <c r="B1784" s="944">
        <v>751.1</v>
      </c>
      <c r="C1784" s="944" t="s">
        <v>4004</v>
      </c>
      <c r="D1784" s="943" t="s">
        <v>4</v>
      </c>
      <c r="E1784" s="952">
        <v>49883</v>
      </c>
      <c r="F1784" s="945">
        <v>29</v>
      </c>
      <c r="G1784" s="946">
        <v>85</v>
      </c>
      <c r="H1784" s="946">
        <v>87.25</v>
      </c>
    </row>
    <row r="1785" spans="1:9" s="26" customFormat="1">
      <c r="A1785" s="947" t="s">
        <v>81</v>
      </c>
      <c r="B1785" s="948">
        <v>751.7</v>
      </c>
      <c r="C1785" s="948" t="s">
        <v>4005</v>
      </c>
      <c r="D1785" s="947" t="s">
        <v>4</v>
      </c>
      <c r="E1785" s="949">
        <v>5890</v>
      </c>
      <c r="F1785" s="950">
        <v>15</v>
      </c>
      <c r="G1785" s="951">
        <v>100</v>
      </c>
      <c r="H1785" s="951">
        <v>94.54</v>
      </c>
      <c r="I1785" s="18"/>
    </row>
    <row r="1786" spans="1:9">
      <c r="A1786" s="943" t="s">
        <v>81</v>
      </c>
      <c r="B1786" s="944">
        <v>755.35</v>
      </c>
      <c r="C1786" s="944" t="s">
        <v>1428</v>
      </c>
      <c r="D1786" s="943" t="s">
        <v>22</v>
      </c>
      <c r="E1786" s="945">
        <v>44</v>
      </c>
      <c r="F1786" s="945">
        <v>14</v>
      </c>
      <c r="G1786" s="946">
        <v>15000</v>
      </c>
      <c r="H1786" s="946">
        <v>13107.39</v>
      </c>
    </row>
    <row r="1787" spans="1:9" s="26" customFormat="1">
      <c r="A1787" s="947" t="s">
        <v>81</v>
      </c>
      <c r="B1787" s="948">
        <v>755.45</v>
      </c>
      <c r="C1787" s="948" t="s">
        <v>1429</v>
      </c>
      <c r="D1787" s="947" t="s">
        <v>1</v>
      </c>
      <c r="E1787" s="949">
        <v>2930</v>
      </c>
      <c r="F1787" s="950">
        <v>4</v>
      </c>
      <c r="G1787" s="951">
        <v>105</v>
      </c>
      <c r="H1787" s="951">
        <v>108.07</v>
      </c>
      <c r="I1787" s="18"/>
    </row>
    <row r="1788" spans="1:9">
      <c r="A1788" s="943" t="s">
        <v>81</v>
      </c>
      <c r="B1788" s="944">
        <v>755.75</v>
      </c>
      <c r="C1788" s="944" t="s">
        <v>1430</v>
      </c>
      <c r="D1788" s="943" t="s">
        <v>24</v>
      </c>
      <c r="E1788" s="952">
        <v>1909</v>
      </c>
      <c r="F1788" s="945">
        <v>13</v>
      </c>
      <c r="G1788" s="946">
        <v>195</v>
      </c>
      <c r="H1788" s="946">
        <v>193.52</v>
      </c>
    </row>
    <row r="1789" spans="1:9" s="26" customFormat="1">
      <c r="A1789" s="947" t="s">
        <v>81</v>
      </c>
      <c r="B1789" s="948">
        <v>755.76</v>
      </c>
      <c r="C1789" s="948" t="s">
        <v>1431</v>
      </c>
      <c r="D1789" s="947" t="s">
        <v>22</v>
      </c>
      <c r="E1789" s="950">
        <v>39</v>
      </c>
      <c r="F1789" s="950">
        <v>10</v>
      </c>
      <c r="G1789" s="951">
        <v>7250</v>
      </c>
      <c r="H1789" s="951">
        <v>6940.38</v>
      </c>
      <c r="I1789" s="18"/>
    </row>
    <row r="1790" spans="1:9">
      <c r="A1790" s="943" t="s">
        <v>81</v>
      </c>
      <c r="B1790" s="944">
        <v>756</v>
      </c>
      <c r="C1790" s="944" t="s">
        <v>432</v>
      </c>
      <c r="D1790" s="943" t="s">
        <v>22</v>
      </c>
      <c r="E1790" s="945">
        <v>161</v>
      </c>
      <c r="F1790" s="945">
        <v>43</v>
      </c>
      <c r="G1790" s="946">
        <v>10000</v>
      </c>
      <c r="H1790" s="946">
        <v>9370.76</v>
      </c>
    </row>
    <row r="1791" spans="1:9" s="26" customFormat="1">
      <c r="A1791" s="947" t="s">
        <v>81</v>
      </c>
      <c r="B1791" s="948">
        <v>760</v>
      </c>
      <c r="C1791" s="948" t="s">
        <v>433</v>
      </c>
      <c r="D1791" s="947" t="s">
        <v>4</v>
      </c>
      <c r="E1791" s="949">
        <v>1510</v>
      </c>
      <c r="F1791" s="950">
        <v>2</v>
      </c>
      <c r="G1791" s="951">
        <v>109.5</v>
      </c>
      <c r="H1791" s="951">
        <v>118.35</v>
      </c>
      <c r="I1791" s="18"/>
    </row>
    <row r="1792" spans="1:9">
      <c r="A1792" s="943" t="s">
        <v>81</v>
      </c>
      <c r="B1792" s="944">
        <v>765</v>
      </c>
      <c r="C1792" s="944" t="s">
        <v>34</v>
      </c>
      <c r="D1792" s="943" t="s">
        <v>1</v>
      </c>
      <c r="E1792" s="952">
        <v>1069526</v>
      </c>
      <c r="F1792" s="945">
        <v>70</v>
      </c>
      <c r="G1792" s="946">
        <v>3.5</v>
      </c>
      <c r="H1792" s="946">
        <v>3.27</v>
      </c>
    </row>
    <row r="1793" spans="1:9" s="26" customFormat="1">
      <c r="A1793" s="947" t="s">
        <v>81</v>
      </c>
      <c r="B1793" s="948">
        <v>765.2</v>
      </c>
      <c r="C1793" s="948" t="s">
        <v>2531</v>
      </c>
      <c r="D1793" s="947" t="s">
        <v>1</v>
      </c>
      <c r="E1793" s="949">
        <v>21748</v>
      </c>
      <c r="F1793" s="950">
        <v>3</v>
      </c>
      <c r="G1793" s="951">
        <v>4</v>
      </c>
      <c r="H1793" s="951">
        <v>3.57</v>
      </c>
      <c r="I1793" s="18"/>
    </row>
    <row r="1794" spans="1:9">
      <c r="A1794" s="943" t="s">
        <v>81</v>
      </c>
      <c r="B1794" s="944">
        <v>767.12099999999998</v>
      </c>
      <c r="C1794" s="944" t="s">
        <v>1436</v>
      </c>
      <c r="D1794" s="943" t="s">
        <v>17</v>
      </c>
      <c r="E1794" s="952">
        <v>1161254</v>
      </c>
      <c r="F1794" s="945">
        <v>75</v>
      </c>
      <c r="G1794" s="946">
        <v>8</v>
      </c>
      <c r="H1794" s="946">
        <v>7.36</v>
      </c>
    </row>
    <row r="1795" spans="1:9" s="26" customFormat="1">
      <c r="A1795" s="947" t="s">
        <v>81</v>
      </c>
      <c r="B1795" s="948">
        <v>767.2</v>
      </c>
      <c r="C1795" s="948" t="s">
        <v>438</v>
      </c>
      <c r="D1795" s="947" t="s">
        <v>1</v>
      </c>
      <c r="E1795" s="950">
        <v>300</v>
      </c>
      <c r="F1795" s="950">
        <v>2</v>
      </c>
      <c r="G1795" s="951">
        <v>10</v>
      </c>
      <c r="H1795" s="951">
        <v>10</v>
      </c>
      <c r="I1795" s="18"/>
    </row>
    <row r="1796" spans="1:9">
      <c r="A1796" s="943" t="s">
        <v>81</v>
      </c>
      <c r="B1796" s="944">
        <v>767.31</v>
      </c>
      <c r="C1796" s="944" t="s">
        <v>439</v>
      </c>
      <c r="D1796" s="943" t="s">
        <v>1</v>
      </c>
      <c r="E1796" s="952">
        <v>47865</v>
      </c>
      <c r="F1796" s="945">
        <v>4</v>
      </c>
      <c r="G1796" s="946">
        <v>3.5</v>
      </c>
      <c r="H1796" s="946">
        <v>8.68</v>
      </c>
    </row>
    <row r="1797" spans="1:9" s="26" customFormat="1">
      <c r="A1797" s="947" t="s">
        <v>81</v>
      </c>
      <c r="B1797" s="948">
        <v>767.4</v>
      </c>
      <c r="C1797" s="948" t="s">
        <v>440</v>
      </c>
      <c r="D1797" s="947" t="s">
        <v>4</v>
      </c>
      <c r="E1797" s="950">
        <v>418</v>
      </c>
      <c r="F1797" s="950">
        <v>4</v>
      </c>
      <c r="G1797" s="951">
        <v>88</v>
      </c>
      <c r="H1797" s="951">
        <v>94.32</v>
      </c>
      <c r="I1797" s="18"/>
    </row>
    <row r="1798" spans="1:9">
      <c r="A1798" s="943" t="s">
        <v>81</v>
      </c>
      <c r="B1798" s="944">
        <v>767.6</v>
      </c>
      <c r="C1798" s="944" t="s">
        <v>441</v>
      </c>
      <c r="D1798" s="943" t="s">
        <v>4</v>
      </c>
      <c r="E1798" s="952">
        <v>5353</v>
      </c>
      <c r="F1798" s="945">
        <v>25</v>
      </c>
      <c r="G1798" s="946">
        <v>100</v>
      </c>
      <c r="H1798" s="946">
        <v>101.32</v>
      </c>
    </row>
    <row r="1799" spans="1:9" s="26" customFormat="1">
      <c r="A1799" s="947" t="s">
        <v>81</v>
      </c>
      <c r="B1799" s="948">
        <v>767.9</v>
      </c>
      <c r="C1799" s="948" t="s">
        <v>1437</v>
      </c>
      <c r="D1799" s="947" t="s">
        <v>1</v>
      </c>
      <c r="E1799" s="949">
        <v>42664</v>
      </c>
      <c r="F1799" s="950">
        <v>15</v>
      </c>
      <c r="G1799" s="951">
        <v>8</v>
      </c>
      <c r="H1799" s="951">
        <v>8.09</v>
      </c>
      <c r="I1799" s="18"/>
    </row>
    <row r="1800" spans="1:9">
      <c r="A1800" s="943" t="s">
        <v>81</v>
      </c>
      <c r="B1800" s="944">
        <v>769</v>
      </c>
      <c r="C1800" s="944" t="s">
        <v>443</v>
      </c>
      <c r="D1800" s="943" t="s">
        <v>17</v>
      </c>
      <c r="E1800" s="952">
        <v>1042060</v>
      </c>
      <c r="F1800" s="945">
        <v>48</v>
      </c>
      <c r="G1800" s="946">
        <v>11.5</v>
      </c>
      <c r="H1800" s="946">
        <v>11.03</v>
      </c>
    </row>
    <row r="1801" spans="1:9" s="26" customFormat="1">
      <c r="A1801" s="947" t="s">
        <v>81</v>
      </c>
      <c r="B1801" s="948">
        <v>772.03599999999994</v>
      </c>
      <c r="C1801" s="948" t="s">
        <v>4011</v>
      </c>
      <c r="D1801" s="947" t="s">
        <v>2</v>
      </c>
      <c r="E1801" s="950">
        <v>90</v>
      </c>
      <c r="F1801" s="950">
        <v>1</v>
      </c>
      <c r="G1801" s="951">
        <v>430</v>
      </c>
      <c r="H1801" s="951">
        <v>403.4</v>
      </c>
      <c r="I1801" s="18"/>
    </row>
    <row r="1802" spans="1:9">
      <c r="A1802" s="943" t="s">
        <v>81</v>
      </c>
      <c r="B1802" s="944">
        <v>772.33299999999997</v>
      </c>
      <c r="C1802" s="944" t="s">
        <v>1470</v>
      </c>
      <c r="D1802" s="943" t="s">
        <v>2</v>
      </c>
      <c r="E1802" s="945">
        <v>56</v>
      </c>
      <c r="F1802" s="945">
        <v>1</v>
      </c>
      <c r="G1802" s="946">
        <v>160.5</v>
      </c>
      <c r="H1802" s="946">
        <v>159.43</v>
      </c>
    </row>
    <row r="1803" spans="1:9" s="26" customFormat="1">
      <c r="A1803" s="947" t="s">
        <v>81</v>
      </c>
      <c r="B1803" s="948">
        <v>773.22400000000005</v>
      </c>
      <c r="C1803" s="948" t="s">
        <v>1471</v>
      </c>
      <c r="D1803" s="947" t="s">
        <v>2</v>
      </c>
      <c r="E1803" s="950">
        <v>6</v>
      </c>
      <c r="F1803" s="950">
        <v>1</v>
      </c>
      <c r="G1803" s="951">
        <v>660</v>
      </c>
      <c r="H1803" s="951">
        <v>660</v>
      </c>
      <c r="I1803" s="18"/>
    </row>
    <row r="1804" spans="1:9">
      <c r="A1804" s="943" t="s">
        <v>81</v>
      </c>
      <c r="B1804" s="944">
        <v>773.43600000000004</v>
      </c>
      <c r="C1804" s="944" t="s">
        <v>445</v>
      </c>
      <c r="D1804" s="943" t="s">
        <v>2</v>
      </c>
      <c r="E1804" s="945">
        <v>45</v>
      </c>
      <c r="F1804" s="945">
        <v>2</v>
      </c>
      <c r="G1804" s="946">
        <v>700</v>
      </c>
      <c r="H1804" s="946">
        <v>681.31</v>
      </c>
    </row>
    <row r="1805" spans="1:9" s="26" customFormat="1">
      <c r="A1805" s="947" t="s">
        <v>81</v>
      </c>
      <c r="B1805" s="948">
        <v>775.14</v>
      </c>
      <c r="C1805" s="948" t="s">
        <v>2592</v>
      </c>
      <c r="D1805" s="947" t="s">
        <v>2</v>
      </c>
      <c r="E1805" s="950">
        <v>50</v>
      </c>
      <c r="F1805" s="950">
        <v>1</v>
      </c>
      <c r="G1805" s="951">
        <v>900</v>
      </c>
      <c r="H1805" s="951">
        <v>1040</v>
      </c>
      <c r="I1805" s="18"/>
    </row>
    <row r="1806" spans="1:9">
      <c r="A1806" s="943" t="s">
        <v>81</v>
      </c>
      <c r="B1806" s="944">
        <v>775.14700000000005</v>
      </c>
      <c r="C1806" s="944" t="s">
        <v>1438</v>
      </c>
      <c r="D1806" s="943" t="s">
        <v>2</v>
      </c>
      <c r="E1806" s="945">
        <v>14</v>
      </c>
      <c r="F1806" s="945">
        <v>1</v>
      </c>
      <c r="G1806" s="946">
        <v>800</v>
      </c>
      <c r="H1806" s="946">
        <v>833.57</v>
      </c>
    </row>
    <row r="1807" spans="1:9" s="26" customFormat="1">
      <c r="A1807" s="947" t="s">
        <v>81</v>
      </c>
      <c r="B1807" s="948">
        <v>775.43100000000004</v>
      </c>
      <c r="C1807" s="948" t="s">
        <v>4041</v>
      </c>
      <c r="D1807" s="947" t="s">
        <v>2</v>
      </c>
      <c r="E1807" s="950">
        <v>24</v>
      </c>
      <c r="F1807" s="950">
        <v>2</v>
      </c>
      <c r="G1807" s="951">
        <v>820</v>
      </c>
      <c r="H1807" s="951">
        <v>802.13</v>
      </c>
      <c r="I1807" s="18"/>
    </row>
    <row r="1808" spans="1:9">
      <c r="A1808" s="943" t="s">
        <v>81</v>
      </c>
      <c r="B1808" s="944">
        <v>775.43700000000001</v>
      </c>
      <c r="C1808" s="944" t="s">
        <v>4070</v>
      </c>
      <c r="D1808" s="943" t="s">
        <v>2</v>
      </c>
      <c r="E1808" s="945">
        <v>18</v>
      </c>
      <c r="F1808" s="945">
        <v>1</v>
      </c>
      <c r="G1808" s="946">
        <v>850</v>
      </c>
      <c r="H1808" s="946">
        <v>862.5</v>
      </c>
    </row>
    <row r="1809" spans="1:9" s="26" customFormat="1">
      <c r="A1809" s="947" t="s">
        <v>81</v>
      </c>
      <c r="B1809" s="948">
        <v>776.52300000000002</v>
      </c>
      <c r="C1809" s="948" t="s">
        <v>4012</v>
      </c>
      <c r="D1809" s="947" t="s">
        <v>2</v>
      </c>
      <c r="E1809" s="950">
        <v>105</v>
      </c>
      <c r="F1809" s="950">
        <v>3</v>
      </c>
      <c r="G1809" s="951">
        <v>802.5</v>
      </c>
      <c r="H1809" s="951">
        <v>772.44</v>
      </c>
      <c r="I1809" s="18"/>
    </row>
    <row r="1810" spans="1:9">
      <c r="A1810" s="943" t="s">
        <v>81</v>
      </c>
      <c r="B1810" s="944">
        <v>776.524</v>
      </c>
      <c r="C1810" s="944" t="s">
        <v>4071</v>
      </c>
      <c r="D1810" s="943" t="s">
        <v>2</v>
      </c>
      <c r="E1810" s="945">
        <v>51</v>
      </c>
      <c r="F1810" s="945">
        <v>1</v>
      </c>
      <c r="G1810" s="946">
        <v>825</v>
      </c>
      <c r="H1810" s="946">
        <v>825</v>
      </c>
    </row>
    <row r="1811" spans="1:9" s="26" customFormat="1">
      <c r="A1811" s="947" t="s">
        <v>81</v>
      </c>
      <c r="B1811" s="948">
        <v>776.53800000000001</v>
      </c>
      <c r="C1811" s="948" t="s">
        <v>4042</v>
      </c>
      <c r="D1811" s="947" t="s">
        <v>2</v>
      </c>
      <c r="E1811" s="950">
        <v>1</v>
      </c>
      <c r="F1811" s="950">
        <v>1</v>
      </c>
      <c r="G1811" s="951">
        <v>1300</v>
      </c>
      <c r="H1811" s="951">
        <v>1300</v>
      </c>
      <c r="I1811" s="18"/>
    </row>
    <row r="1812" spans="1:9">
      <c r="A1812" s="943" t="s">
        <v>81</v>
      </c>
      <c r="B1812" s="944">
        <v>776.54300000000001</v>
      </c>
      <c r="C1812" s="944" t="s">
        <v>4072</v>
      </c>
      <c r="D1812" s="943" t="s">
        <v>2</v>
      </c>
      <c r="E1812" s="945">
        <v>13</v>
      </c>
      <c r="F1812" s="945">
        <v>2</v>
      </c>
      <c r="G1812" s="946">
        <v>900</v>
      </c>
      <c r="H1812" s="946">
        <v>925</v>
      </c>
    </row>
    <row r="1813" spans="1:9" s="26" customFormat="1">
      <c r="A1813" s="947" t="s">
        <v>81</v>
      </c>
      <c r="B1813" s="948">
        <v>776.55700000000002</v>
      </c>
      <c r="C1813" s="948" t="s">
        <v>4013</v>
      </c>
      <c r="D1813" s="947" t="s">
        <v>2</v>
      </c>
      <c r="E1813" s="950">
        <v>8</v>
      </c>
      <c r="F1813" s="950">
        <v>1</v>
      </c>
      <c r="G1813" s="951">
        <v>931.5</v>
      </c>
      <c r="H1813" s="951">
        <v>902.25</v>
      </c>
      <c r="I1813" s="18"/>
    </row>
    <row r="1814" spans="1:9">
      <c r="A1814" s="943" t="s">
        <v>81</v>
      </c>
      <c r="B1814" s="944">
        <v>776.83600000000001</v>
      </c>
      <c r="C1814" s="944" t="s">
        <v>1477</v>
      </c>
      <c r="D1814" s="943" t="s">
        <v>2</v>
      </c>
      <c r="E1814" s="945">
        <v>34</v>
      </c>
      <c r="F1814" s="945">
        <v>2</v>
      </c>
      <c r="G1814" s="946">
        <v>1000</v>
      </c>
      <c r="H1814" s="946">
        <v>1003.23</v>
      </c>
    </row>
    <row r="1815" spans="1:9" s="26" customFormat="1">
      <c r="A1815" s="947" t="s">
        <v>81</v>
      </c>
      <c r="B1815" s="948">
        <v>776.84100000000001</v>
      </c>
      <c r="C1815" s="948" t="s">
        <v>4044</v>
      </c>
      <c r="D1815" s="947" t="s">
        <v>2</v>
      </c>
      <c r="E1815" s="950">
        <v>15</v>
      </c>
      <c r="F1815" s="950">
        <v>1</v>
      </c>
      <c r="G1815" s="951">
        <v>971.57</v>
      </c>
      <c r="H1815" s="951">
        <v>964.63</v>
      </c>
      <c r="I1815" s="18"/>
    </row>
    <row r="1816" spans="1:9">
      <c r="A1816" s="943" t="s">
        <v>81</v>
      </c>
      <c r="B1816" s="944">
        <v>777.13800000000003</v>
      </c>
      <c r="C1816" s="944" t="s">
        <v>453</v>
      </c>
      <c r="D1816" s="943" t="s">
        <v>2</v>
      </c>
      <c r="E1816" s="945">
        <v>120</v>
      </c>
      <c r="F1816" s="945">
        <v>1</v>
      </c>
      <c r="G1816" s="946">
        <v>800</v>
      </c>
      <c r="H1816" s="946">
        <v>793.3</v>
      </c>
    </row>
    <row r="1817" spans="1:9" s="26" customFormat="1">
      <c r="A1817" s="947" t="s">
        <v>81</v>
      </c>
      <c r="B1817" s="948">
        <v>777.26099999999997</v>
      </c>
      <c r="C1817" s="948" t="s">
        <v>454</v>
      </c>
      <c r="D1817" s="947" t="s">
        <v>2</v>
      </c>
      <c r="E1817" s="950">
        <v>20</v>
      </c>
      <c r="F1817" s="950">
        <v>1</v>
      </c>
      <c r="G1817" s="951">
        <v>691.25</v>
      </c>
      <c r="H1817" s="951">
        <v>690.5</v>
      </c>
      <c r="I1817" s="18"/>
    </row>
    <row r="1818" spans="1:9">
      <c r="A1818" s="943" t="s">
        <v>81</v>
      </c>
      <c r="B1818" s="944">
        <v>777.32799999999997</v>
      </c>
      <c r="C1818" s="944" t="s">
        <v>4046</v>
      </c>
      <c r="D1818" s="943" t="s">
        <v>2</v>
      </c>
      <c r="E1818" s="945">
        <v>55</v>
      </c>
      <c r="F1818" s="945">
        <v>3</v>
      </c>
      <c r="G1818" s="946">
        <v>1138</v>
      </c>
      <c r="H1818" s="946">
        <v>1228.46</v>
      </c>
    </row>
    <row r="1819" spans="1:9" s="26" customFormat="1">
      <c r="A1819" s="947" t="s">
        <v>81</v>
      </c>
      <c r="B1819" s="948">
        <v>777.67200000000003</v>
      </c>
      <c r="C1819" s="948" t="s">
        <v>4047</v>
      </c>
      <c r="D1819" s="947" t="s">
        <v>2</v>
      </c>
      <c r="E1819" s="950">
        <v>25</v>
      </c>
      <c r="F1819" s="950">
        <v>1</v>
      </c>
      <c r="G1819" s="951">
        <v>700</v>
      </c>
      <c r="H1819" s="951">
        <v>744.5</v>
      </c>
      <c r="I1819" s="18"/>
    </row>
    <row r="1820" spans="1:9">
      <c r="A1820" s="943" t="s">
        <v>81</v>
      </c>
      <c r="B1820" s="944">
        <v>777.673</v>
      </c>
      <c r="C1820" s="944" t="s">
        <v>4006</v>
      </c>
      <c r="D1820" s="943" t="s">
        <v>2</v>
      </c>
      <c r="E1820" s="945">
        <v>25</v>
      </c>
      <c r="F1820" s="945">
        <v>3</v>
      </c>
      <c r="G1820" s="946">
        <v>914.5</v>
      </c>
      <c r="H1820" s="946">
        <v>929.22</v>
      </c>
    </row>
    <row r="1821" spans="1:9" s="26" customFormat="1">
      <c r="A1821" s="947" t="s">
        <v>81</v>
      </c>
      <c r="B1821" s="948">
        <v>778.16</v>
      </c>
      <c r="C1821" s="948" t="s">
        <v>4048</v>
      </c>
      <c r="D1821" s="947" t="s">
        <v>2</v>
      </c>
      <c r="E1821" s="950">
        <v>24</v>
      </c>
      <c r="F1821" s="950">
        <v>1</v>
      </c>
      <c r="G1821" s="951">
        <v>200</v>
      </c>
      <c r="H1821" s="951">
        <v>216.67</v>
      </c>
      <c r="I1821" s="18"/>
    </row>
    <row r="1822" spans="1:9">
      <c r="A1822" s="943" t="s">
        <v>81</v>
      </c>
      <c r="B1822" s="944">
        <v>778.38300000000004</v>
      </c>
      <c r="C1822" s="944" t="s">
        <v>2674</v>
      </c>
      <c r="D1822" s="943" t="s">
        <v>2</v>
      </c>
      <c r="E1822" s="945">
        <v>4</v>
      </c>
      <c r="F1822" s="945">
        <v>1</v>
      </c>
      <c r="G1822" s="946">
        <v>1500</v>
      </c>
      <c r="H1822" s="946">
        <v>1347.5</v>
      </c>
    </row>
    <row r="1823" spans="1:9" s="26" customFormat="1">
      <c r="A1823" s="947" t="s">
        <v>81</v>
      </c>
      <c r="B1823" s="948">
        <v>781.28399999999999</v>
      </c>
      <c r="C1823" s="948" t="s">
        <v>4024</v>
      </c>
      <c r="D1823" s="947" t="s">
        <v>2</v>
      </c>
      <c r="E1823" s="950">
        <v>70</v>
      </c>
      <c r="F1823" s="950">
        <v>1</v>
      </c>
      <c r="G1823" s="951">
        <v>700</v>
      </c>
      <c r="H1823" s="951">
        <v>688.5</v>
      </c>
      <c r="I1823" s="18"/>
    </row>
    <row r="1824" spans="1:9">
      <c r="A1824" s="943" t="s">
        <v>81</v>
      </c>
      <c r="B1824" s="944">
        <v>781.57799999999997</v>
      </c>
      <c r="C1824" s="944" t="s">
        <v>4050</v>
      </c>
      <c r="D1824" s="943" t="s">
        <v>2</v>
      </c>
      <c r="E1824" s="945">
        <v>50</v>
      </c>
      <c r="F1824" s="945">
        <v>2</v>
      </c>
      <c r="G1824" s="946">
        <v>850</v>
      </c>
      <c r="H1824" s="946">
        <v>830.8</v>
      </c>
    </row>
    <row r="1825" spans="1:9" s="26" customFormat="1">
      <c r="A1825" s="947" t="s">
        <v>81</v>
      </c>
      <c r="B1825" s="948">
        <v>782.53300000000002</v>
      </c>
      <c r="C1825" s="948" t="s">
        <v>4051</v>
      </c>
      <c r="D1825" s="947" t="s">
        <v>2</v>
      </c>
      <c r="E1825" s="950">
        <v>12</v>
      </c>
      <c r="F1825" s="950">
        <v>1</v>
      </c>
      <c r="G1825" s="951">
        <v>795</v>
      </c>
      <c r="H1825" s="951">
        <v>751.75</v>
      </c>
      <c r="I1825" s="18"/>
    </row>
    <row r="1826" spans="1:9">
      <c r="A1826" s="943" t="s">
        <v>81</v>
      </c>
      <c r="B1826" s="944">
        <v>782.53499999999997</v>
      </c>
      <c r="C1826" s="944" t="s">
        <v>4052</v>
      </c>
      <c r="D1826" s="943" t="s">
        <v>2</v>
      </c>
      <c r="E1826" s="945">
        <v>112</v>
      </c>
      <c r="F1826" s="945">
        <v>1</v>
      </c>
      <c r="G1826" s="946">
        <v>759.5</v>
      </c>
      <c r="H1826" s="946">
        <v>751.24</v>
      </c>
    </row>
    <row r="1827" spans="1:9" s="26" customFormat="1">
      <c r="A1827" s="947" t="s">
        <v>81</v>
      </c>
      <c r="B1827" s="948">
        <v>782.53599999999994</v>
      </c>
      <c r="C1827" s="948" t="s">
        <v>4053</v>
      </c>
      <c r="D1827" s="947" t="s">
        <v>2</v>
      </c>
      <c r="E1827" s="950">
        <v>36</v>
      </c>
      <c r="F1827" s="950">
        <v>1</v>
      </c>
      <c r="G1827" s="951">
        <v>900</v>
      </c>
      <c r="H1827" s="951">
        <v>883.75</v>
      </c>
      <c r="I1827" s="18"/>
    </row>
    <row r="1828" spans="1:9">
      <c r="A1828" s="943" t="s">
        <v>81</v>
      </c>
      <c r="B1828" s="944">
        <v>783.03599999999994</v>
      </c>
      <c r="C1828" s="944" t="s">
        <v>4054</v>
      </c>
      <c r="D1828" s="943" t="s">
        <v>2</v>
      </c>
      <c r="E1828" s="945">
        <v>51</v>
      </c>
      <c r="F1828" s="945">
        <v>3</v>
      </c>
      <c r="G1828" s="946">
        <v>460</v>
      </c>
      <c r="H1828" s="946">
        <v>444.33</v>
      </c>
    </row>
    <row r="1829" spans="1:9" s="26" customFormat="1">
      <c r="A1829" s="947" t="s">
        <v>81</v>
      </c>
      <c r="B1829" s="948">
        <v>783.03899999999999</v>
      </c>
      <c r="C1829" s="948" t="s">
        <v>4055</v>
      </c>
      <c r="D1829" s="947" t="s">
        <v>2</v>
      </c>
      <c r="E1829" s="950">
        <v>8</v>
      </c>
      <c r="F1829" s="950">
        <v>2</v>
      </c>
      <c r="G1829" s="951">
        <v>1270</v>
      </c>
      <c r="H1829" s="951">
        <v>1270</v>
      </c>
      <c r="I1829" s="18"/>
    </row>
    <row r="1830" spans="1:9">
      <c r="A1830" s="943" t="s">
        <v>81</v>
      </c>
      <c r="B1830" s="944">
        <v>783.44100000000003</v>
      </c>
      <c r="C1830" s="944" t="s">
        <v>4056</v>
      </c>
      <c r="D1830" s="943" t="s">
        <v>2</v>
      </c>
      <c r="E1830" s="945">
        <v>2</v>
      </c>
      <c r="F1830" s="945">
        <v>1</v>
      </c>
      <c r="G1830" s="946">
        <v>902.5</v>
      </c>
      <c r="H1830" s="946">
        <v>902.5</v>
      </c>
    </row>
    <row r="1831" spans="1:9" s="26" customFormat="1">
      <c r="A1831" s="947" t="s">
        <v>81</v>
      </c>
      <c r="B1831" s="948">
        <v>783.46500000000003</v>
      </c>
      <c r="C1831" s="948" t="s">
        <v>1491</v>
      </c>
      <c r="D1831" s="947" t="s">
        <v>2</v>
      </c>
      <c r="E1831" s="950">
        <v>30</v>
      </c>
      <c r="F1831" s="950">
        <v>1</v>
      </c>
      <c r="G1831" s="951">
        <v>875.63</v>
      </c>
      <c r="H1831" s="951">
        <v>941.88</v>
      </c>
      <c r="I1831" s="18"/>
    </row>
    <row r="1832" spans="1:9">
      <c r="A1832" s="943" t="s">
        <v>81</v>
      </c>
      <c r="B1832" s="944">
        <v>783.46699999999998</v>
      </c>
      <c r="C1832" s="944" t="s">
        <v>463</v>
      </c>
      <c r="D1832" s="943" t="s">
        <v>2</v>
      </c>
      <c r="E1832" s="945">
        <v>46</v>
      </c>
      <c r="F1832" s="945">
        <v>4</v>
      </c>
      <c r="G1832" s="946">
        <v>1000</v>
      </c>
      <c r="H1832" s="946">
        <v>973.81</v>
      </c>
    </row>
    <row r="1833" spans="1:9" s="26" customFormat="1">
      <c r="A1833" s="947" t="s">
        <v>81</v>
      </c>
      <c r="B1833" s="948">
        <v>783.64499999999998</v>
      </c>
      <c r="C1833" s="948" t="s">
        <v>4073</v>
      </c>
      <c r="D1833" s="947" t="s">
        <v>2</v>
      </c>
      <c r="E1833" s="950">
        <v>3</v>
      </c>
      <c r="F1833" s="950">
        <v>1</v>
      </c>
      <c r="G1833" s="951">
        <v>850</v>
      </c>
      <c r="H1833" s="951">
        <v>858.33</v>
      </c>
      <c r="I1833" s="18"/>
    </row>
    <row r="1834" spans="1:9">
      <c r="A1834" s="943" t="s">
        <v>81</v>
      </c>
      <c r="B1834" s="944">
        <v>785.73099999999999</v>
      </c>
      <c r="C1834" s="944" t="s">
        <v>4014</v>
      </c>
      <c r="D1834" s="943" t="s">
        <v>2</v>
      </c>
      <c r="E1834" s="945">
        <v>68</v>
      </c>
      <c r="F1834" s="945">
        <v>1</v>
      </c>
      <c r="G1834" s="946">
        <v>95</v>
      </c>
      <c r="H1834" s="946">
        <v>80</v>
      </c>
    </row>
    <row r="1835" spans="1:9" s="26" customFormat="1">
      <c r="A1835" s="947" t="s">
        <v>81</v>
      </c>
      <c r="B1835" s="948">
        <v>786.46199999999999</v>
      </c>
      <c r="C1835" s="948" t="s">
        <v>4078</v>
      </c>
      <c r="D1835" s="947" t="s">
        <v>2</v>
      </c>
      <c r="E1835" s="950">
        <v>216</v>
      </c>
      <c r="F1835" s="950">
        <v>1</v>
      </c>
      <c r="G1835" s="951">
        <v>127.5</v>
      </c>
      <c r="H1835" s="951">
        <v>132</v>
      </c>
      <c r="I1835" s="18"/>
    </row>
    <row r="1836" spans="1:9">
      <c r="A1836" s="943" t="s">
        <v>81</v>
      </c>
      <c r="B1836" s="944">
        <v>787.25099999999998</v>
      </c>
      <c r="C1836" s="944" t="s">
        <v>4079</v>
      </c>
      <c r="D1836" s="943" t="s">
        <v>2</v>
      </c>
      <c r="E1836" s="945">
        <v>138</v>
      </c>
      <c r="F1836" s="945">
        <v>1</v>
      </c>
      <c r="G1836" s="946">
        <v>300</v>
      </c>
      <c r="H1836" s="946">
        <v>283.33</v>
      </c>
    </row>
    <row r="1837" spans="1:9" s="26" customFormat="1">
      <c r="A1837" s="947" t="s">
        <v>81</v>
      </c>
      <c r="B1837" s="948">
        <v>789.33299999999997</v>
      </c>
      <c r="C1837" s="948" t="s">
        <v>4015</v>
      </c>
      <c r="D1837" s="947" t="s">
        <v>2</v>
      </c>
      <c r="E1837" s="950">
        <v>128</v>
      </c>
      <c r="F1837" s="950">
        <v>3</v>
      </c>
      <c r="G1837" s="951">
        <v>141</v>
      </c>
      <c r="H1837" s="951">
        <v>135.82</v>
      </c>
      <c r="I1837" s="18"/>
    </row>
    <row r="1838" spans="1:9">
      <c r="A1838" s="943" t="s">
        <v>81</v>
      </c>
      <c r="B1838" s="944">
        <v>789.43299999999999</v>
      </c>
      <c r="C1838" s="944" t="s">
        <v>4057</v>
      </c>
      <c r="D1838" s="943" t="s">
        <v>2</v>
      </c>
      <c r="E1838" s="945">
        <v>10</v>
      </c>
      <c r="F1838" s="945">
        <v>1</v>
      </c>
      <c r="G1838" s="946">
        <v>135</v>
      </c>
      <c r="H1838" s="946">
        <v>135</v>
      </c>
    </row>
    <row r="1839" spans="1:9" s="26" customFormat="1">
      <c r="A1839" s="947" t="s">
        <v>81</v>
      </c>
      <c r="B1839" s="948">
        <v>789.63300000000004</v>
      </c>
      <c r="C1839" s="948" t="s">
        <v>4008</v>
      </c>
      <c r="D1839" s="947" t="s">
        <v>2</v>
      </c>
      <c r="E1839" s="950">
        <v>312</v>
      </c>
      <c r="F1839" s="950">
        <v>1</v>
      </c>
      <c r="G1839" s="951">
        <v>122.5</v>
      </c>
      <c r="H1839" s="951">
        <v>118</v>
      </c>
      <c r="I1839" s="18"/>
    </row>
    <row r="1840" spans="1:9">
      <c r="A1840" s="943" t="s">
        <v>81</v>
      </c>
      <c r="B1840" s="944">
        <v>790.63099999999997</v>
      </c>
      <c r="C1840" s="944" t="s">
        <v>4026</v>
      </c>
      <c r="D1840" s="943" t="s">
        <v>2</v>
      </c>
      <c r="E1840" s="945">
        <v>120</v>
      </c>
      <c r="F1840" s="945">
        <v>1</v>
      </c>
      <c r="G1840" s="946">
        <v>67.5</v>
      </c>
      <c r="H1840" s="946">
        <v>69.17</v>
      </c>
    </row>
    <row r="1841" spans="1:9" s="26" customFormat="1">
      <c r="A1841" s="947" t="s">
        <v>81</v>
      </c>
      <c r="B1841" s="948">
        <v>790.63300000000004</v>
      </c>
      <c r="C1841" s="948" t="s">
        <v>4058</v>
      </c>
      <c r="D1841" s="947" t="s">
        <v>2</v>
      </c>
      <c r="E1841" s="950">
        <v>36</v>
      </c>
      <c r="F1841" s="950">
        <v>1</v>
      </c>
      <c r="G1841" s="951">
        <v>105</v>
      </c>
      <c r="H1841" s="951">
        <v>106.25</v>
      </c>
      <c r="I1841" s="18"/>
    </row>
    <row r="1842" spans="1:9">
      <c r="A1842" s="943" t="s">
        <v>81</v>
      </c>
      <c r="B1842" s="944">
        <v>790.71699999999998</v>
      </c>
      <c r="C1842" s="944" t="s">
        <v>4059</v>
      </c>
      <c r="D1842" s="943" t="s">
        <v>2</v>
      </c>
      <c r="E1842" s="945">
        <v>176</v>
      </c>
      <c r="F1842" s="945">
        <v>1</v>
      </c>
      <c r="G1842" s="946">
        <v>69</v>
      </c>
      <c r="H1842" s="946">
        <v>64</v>
      </c>
    </row>
    <row r="1843" spans="1:9" s="26" customFormat="1">
      <c r="A1843" s="947" t="s">
        <v>81</v>
      </c>
      <c r="B1843" s="948">
        <v>790.71900000000005</v>
      </c>
      <c r="C1843" s="948" t="s">
        <v>4009</v>
      </c>
      <c r="D1843" s="947" t="s">
        <v>2</v>
      </c>
      <c r="E1843" s="950">
        <v>84</v>
      </c>
      <c r="F1843" s="950">
        <v>2</v>
      </c>
      <c r="G1843" s="951">
        <v>90</v>
      </c>
      <c r="H1843" s="951">
        <v>77.489999999999995</v>
      </c>
      <c r="I1843" s="18"/>
    </row>
    <row r="1844" spans="1:9">
      <c r="A1844" s="943" t="s">
        <v>81</v>
      </c>
      <c r="B1844" s="944">
        <v>791.03300000000002</v>
      </c>
      <c r="C1844" s="944" t="s">
        <v>4016</v>
      </c>
      <c r="D1844" s="943" t="s">
        <v>2</v>
      </c>
      <c r="E1844" s="945">
        <v>72</v>
      </c>
      <c r="F1844" s="945">
        <v>1</v>
      </c>
      <c r="G1844" s="946">
        <v>78</v>
      </c>
      <c r="H1844" s="946">
        <v>80.17</v>
      </c>
    </row>
    <row r="1845" spans="1:9" s="26" customFormat="1">
      <c r="A1845" s="947" t="s">
        <v>81</v>
      </c>
      <c r="B1845" s="948">
        <v>793.44500000000005</v>
      </c>
      <c r="C1845" s="948" t="s">
        <v>4060</v>
      </c>
      <c r="D1845" s="947" t="s">
        <v>2</v>
      </c>
      <c r="E1845" s="950">
        <v>14</v>
      </c>
      <c r="F1845" s="950">
        <v>1</v>
      </c>
      <c r="G1845" s="951">
        <v>110</v>
      </c>
      <c r="H1845" s="951">
        <v>110</v>
      </c>
      <c r="I1845" s="18"/>
    </row>
    <row r="1846" spans="1:9">
      <c r="A1846" s="943" t="s">
        <v>81</v>
      </c>
      <c r="B1846" s="944">
        <v>794.33100000000002</v>
      </c>
      <c r="C1846" s="944" t="s">
        <v>4061</v>
      </c>
      <c r="D1846" s="943" t="s">
        <v>2</v>
      </c>
      <c r="E1846" s="952">
        <v>1168</v>
      </c>
      <c r="F1846" s="945">
        <v>3</v>
      </c>
      <c r="G1846" s="946">
        <v>100</v>
      </c>
      <c r="H1846" s="946">
        <v>85.71</v>
      </c>
    </row>
    <row r="1847" spans="1:9" s="26" customFormat="1">
      <c r="A1847" s="947" t="s">
        <v>81</v>
      </c>
      <c r="B1847" s="948">
        <v>794.73699999999997</v>
      </c>
      <c r="C1847" s="948" t="s">
        <v>4010</v>
      </c>
      <c r="D1847" s="947" t="s">
        <v>2</v>
      </c>
      <c r="E1847" s="950">
        <v>90</v>
      </c>
      <c r="F1847" s="950">
        <v>1</v>
      </c>
      <c r="G1847" s="951">
        <v>55</v>
      </c>
      <c r="H1847" s="951">
        <v>55</v>
      </c>
      <c r="I1847" s="18"/>
    </row>
    <row r="1848" spans="1:9">
      <c r="A1848" s="943" t="s">
        <v>81</v>
      </c>
      <c r="B1848" s="944">
        <v>795.00900000000001</v>
      </c>
      <c r="C1848" s="944" t="s">
        <v>4018</v>
      </c>
      <c r="D1848" s="943" t="s">
        <v>2</v>
      </c>
      <c r="E1848" s="945">
        <v>115</v>
      </c>
      <c r="F1848" s="945">
        <v>2</v>
      </c>
      <c r="G1848" s="946">
        <v>85</v>
      </c>
      <c r="H1848" s="946">
        <v>103.89</v>
      </c>
    </row>
    <row r="1849" spans="1:9" s="26" customFormat="1">
      <c r="A1849" s="947" t="s">
        <v>81</v>
      </c>
      <c r="B1849" s="948">
        <v>795.15099999999995</v>
      </c>
      <c r="C1849" s="948" t="s">
        <v>4019</v>
      </c>
      <c r="D1849" s="947" t="s">
        <v>2</v>
      </c>
      <c r="E1849" s="950">
        <v>16</v>
      </c>
      <c r="F1849" s="950">
        <v>1</v>
      </c>
      <c r="G1849" s="951">
        <v>69</v>
      </c>
      <c r="H1849" s="951">
        <v>64.63</v>
      </c>
      <c r="I1849" s="18"/>
    </row>
    <row r="1850" spans="1:9">
      <c r="A1850" s="943" t="s">
        <v>81</v>
      </c>
      <c r="B1850" s="944">
        <v>795.15300000000002</v>
      </c>
      <c r="C1850" s="944" t="s">
        <v>4062</v>
      </c>
      <c r="D1850" s="943" t="s">
        <v>2</v>
      </c>
      <c r="E1850" s="945">
        <v>4</v>
      </c>
      <c r="F1850" s="945">
        <v>1</v>
      </c>
      <c r="G1850" s="946">
        <v>114</v>
      </c>
      <c r="H1850" s="946">
        <v>122.62</v>
      </c>
    </row>
    <row r="1851" spans="1:9" s="26" customFormat="1">
      <c r="A1851" s="947" t="s">
        <v>81</v>
      </c>
      <c r="B1851" s="948">
        <v>795.15499999999997</v>
      </c>
      <c r="C1851" s="948" t="s">
        <v>4020</v>
      </c>
      <c r="D1851" s="947" t="s">
        <v>2</v>
      </c>
      <c r="E1851" s="950">
        <v>104</v>
      </c>
      <c r="F1851" s="950">
        <v>1</v>
      </c>
      <c r="G1851" s="951">
        <v>69</v>
      </c>
      <c r="H1851" s="951">
        <v>65.25</v>
      </c>
      <c r="I1851" s="18"/>
    </row>
    <row r="1852" spans="1:9">
      <c r="A1852" s="943" t="s">
        <v>81</v>
      </c>
      <c r="B1852" s="944">
        <v>795.15700000000004</v>
      </c>
      <c r="C1852" s="944" t="s">
        <v>4063</v>
      </c>
      <c r="D1852" s="943" t="s">
        <v>2</v>
      </c>
      <c r="E1852" s="945">
        <v>16</v>
      </c>
      <c r="F1852" s="945">
        <v>1</v>
      </c>
      <c r="G1852" s="946">
        <v>114</v>
      </c>
      <c r="H1852" s="946">
        <v>122.62</v>
      </c>
    </row>
    <row r="1853" spans="1:9" s="26" customFormat="1">
      <c r="A1853" s="947" t="s">
        <v>81</v>
      </c>
      <c r="B1853" s="948">
        <v>795.18899999999996</v>
      </c>
      <c r="C1853" s="948" t="s">
        <v>4064</v>
      </c>
      <c r="D1853" s="947" t="s">
        <v>2</v>
      </c>
      <c r="E1853" s="950">
        <v>32</v>
      </c>
      <c r="F1853" s="950">
        <v>1</v>
      </c>
      <c r="G1853" s="951">
        <v>95</v>
      </c>
      <c r="H1853" s="951">
        <v>95</v>
      </c>
      <c r="I1853" s="18"/>
    </row>
    <row r="1854" spans="1:9">
      <c r="A1854" s="943" t="s">
        <v>81</v>
      </c>
      <c r="B1854" s="944">
        <v>795.43299999999999</v>
      </c>
      <c r="C1854" s="944" t="s">
        <v>4065</v>
      </c>
      <c r="D1854" s="943" t="s">
        <v>2</v>
      </c>
      <c r="E1854" s="945">
        <v>126</v>
      </c>
      <c r="F1854" s="945">
        <v>1</v>
      </c>
      <c r="G1854" s="946">
        <v>102.5</v>
      </c>
      <c r="H1854" s="946">
        <v>102</v>
      </c>
    </row>
    <row r="1855" spans="1:9" s="26" customFormat="1">
      <c r="A1855" s="947" t="s">
        <v>81</v>
      </c>
      <c r="B1855" s="948">
        <v>801.22</v>
      </c>
      <c r="C1855" s="948" t="s">
        <v>3054</v>
      </c>
      <c r="D1855" s="947" t="s">
        <v>17</v>
      </c>
      <c r="E1855" s="949">
        <v>16620</v>
      </c>
      <c r="F1855" s="950">
        <v>1</v>
      </c>
      <c r="G1855" s="951">
        <v>60</v>
      </c>
      <c r="H1855" s="951">
        <v>61.67</v>
      </c>
      <c r="I1855" s="18"/>
    </row>
    <row r="1856" spans="1:9">
      <c r="A1856" s="943" t="s">
        <v>81</v>
      </c>
      <c r="B1856" s="944">
        <v>801.24</v>
      </c>
      <c r="C1856" s="944" t="s">
        <v>3055</v>
      </c>
      <c r="D1856" s="943" t="s">
        <v>17</v>
      </c>
      <c r="E1856" s="952">
        <v>12400</v>
      </c>
      <c r="F1856" s="945">
        <v>1</v>
      </c>
      <c r="G1856" s="946">
        <v>70</v>
      </c>
      <c r="H1856" s="946">
        <v>62.5</v>
      </c>
    </row>
    <row r="1857" spans="1:9" s="26" customFormat="1">
      <c r="A1857" s="947" t="s">
        <v>81</v>
      </c>
      <c r="B1857" s="948">
        <v>801.32</v>
      </c>
      <c r="C1857" s="948" t="s">
        <v>483</v>
      </c>
      <c r="D1857" s="947" t="s">
        <v>17</v>
      </c>
      <c r="E1857" s="949">
        <v>1830</v>
      </c>
      <c r="F1857" s="950">
        <v>2</v>
      </c>
      <c r="G1857" s="951">
        <v>110</v>
      </c>
      <c r="H1857" s="951">
        <v>109.27</v>
      </c>
      <c r="I1857" s="18"/>
    </row>
    <row r="1858" spans="1:9">
      <c r="A1858" s="943" t="s">
        <v>81</v>
      </c>
      <c r="B1858" s="944">
        <v>801.34</v>
      </c>
      <c r="C1858" s="944" t="s">
        <v>1510</v>
      </c>
      <c r="D1858" s="943" t="s">
        <v>17</v>
      </c>
      <c r="E1858" s="945">
        <v>960</v>
      </c>
      <c r="F1858" s="945">
        <v>1</v>
      </c>
      <c r="G1858" s="946">
        <v>180</v>
      </c>
      <c r="H1858" s="946">
        <v>175</v>
      </c>
    </row>
    <row r="1859" spans="1:9" s="26" customFormat="1">
      <c r="A1859" s="947" t="s">
        <v>81</v>
      </c>
      <c r="B1859" s="948">
        <v>801.42</v>
      </c>
      <c r="C1859" s="948" t="s">
        <v>484</v>
      </c>
      <c r="D1859" s="947" t="s">
        <v>17</v>
      </c>
      <c r="E1859" s="949">
        <v>6040</v>
      </c>
      <c r="F1859" s="950">
        <v>3</v>
      </c>
      <c r="G1859" s="951">
        <v>115</v>
      </c>
      <c r="H1859" s="951">
        <v>101.5</v>
      </c>
      <c r="I1859" s="18"/>
    </row>
    <row r="1860" spans="1:9">
      <c r="A1860" s="943" t="s">
        <v>81</v>
      </c>
      <c r="B1860" s="944">
        <v>801.44</v>
      </c>
      <c r="C1860" s="944" t="s">
        <v>1511</v>
      </c>
      <c r="D1860" s="943" t="s">
        <v>17</v>
      </c>
      <c r="E1860" s="952">
        <v>1032</v>
      </c>
      <c r="F1860" s="945">
        <v>1</v>
      </c>
      <c r="G1860" s="946">
        <v>200</v>
      </c>
      <c r="H1860" s="946">
        <v>187.17</v>
      </c>
    </row>
    <row r="1861" spans="1:9" s="26" customFormat="1">
      <c r="A1861" s="947" t="s">
        <v>81</v>
      </c>
      <c r="B1861" s="948">
        <v>801.46</v>
      </c>
      <c r="C1861" s="948" t="s">
        <v>1512</v>
      </c>
      <c r="D1861" s="947" t="s">
        <v>17</v>
      </c>
      <c r="E1861" s="949">
        <v>2250</v>
      </c>
      <c r="F1861" s="950">
        <v>2</v>
      </c>
      <c r="G1861" s="951">
        <v>237.5</v>
      </c>
      <c r="H1861" s="951">
        <v>237.78</v>
      </c>
      <c r="I1861" s="18"/>
    </row>
    <row r="1862" spans="1:9">
      <c r="A1862" s="943" t="s">
        <v>81</v>
      </c>
      <c r="B1862" s="944">
        <v>804.1</v>
      </c>
      <c r="C1862" s="944" t="s">
        <v>486</v>
      </c>
      <c r="D1862" s="943" t="s">
        <v>17</v>
      </c>
      <c r="E1862" s="952">
        <v>2160</v>
      </c>
      <c r="F1862" s="945">
        <v>4</v>
      </c>
      <c r="G1862" s="946">
        <v>52.5</v>
      </c>
      <c r="H1862" s="946">
        <v>51.77</v>
      </c>
    </row>
    <row r="1863" spans="1:9" s="26" customFormat="1">
      <c r="A1863" s="947" t="s">
        <v>81</v>
      </c>
      <c r="B1863" s="948">
        <v>804.2</v>
      </c>
      <c r="C1863" s="948" t="s">
        <v>487</v>
      </c>
      <c r="D1863" s="947" t="s">
        <v>17</v>
      </c>
      <c r="E1863" s="949">
        <v>97410</v>
      </c>
      <c r="F1863" s="950">
        <v>15</v>
      </c>
      <c r="G1863" s="951">
        <v>50</v>
      </c>
      <c r="H1863" s="951">
        <v>47.56</v>
      </c>
      <c r="I1863" s="18"/>
    </row>
    <row r="1864" spans="1:9">
      <c r="A1864" s="943" t="s">
        <v>81</v>
      </c>
      <c r="B1864" s="944">
        <v>804.3</v>
      </c>
      <c r="C1864" s="944" t="s">
        <v>488</v>
      </c>
      <c r="D1864" s="943" t="s">
        <v>17</v>
      </c>
      <c r="E1864" s="952">
        <v>176442</v>
      </c>
      <c r="F1864" s="945">
        <v>40</v>
      </c>
      <c r="G1864" s="946">
        <v>75</v>
      </c>
      <c r="H1864" s="946">
        <v>74.930000000000007</v>
      </c>
    </row>
    <row r="1865" spans="1:9" s="26" customFormat="1">
      <c r="A1865" s="947" t="s">
        <v>81</v>
      </c>
      <c r="B1865" s="948">
        <v>804.4</v>
      </c>
      <c r="C1865" s="948" t="s">
        <v>489</v>
      </c>
      <c r="D1865" s="947" t="s">
        <v>17</v>
      </c>
      <c r="E1865" s="949">
        <v>3630</v>
      </c>
      <c r="F1865" s="950">
        <v>4</v>
      </c>
      <c r="G1865" s="951">
        <v>70</v>
      </c>
      <c r="H1865" s="951">
        <v>72.790000000000006</v>
      </c>
      <c r="I1865" s="18"/>
    </row>
    <row r="1866" spans="1:9">
      <c r="A1866" s="943" t="s">
        <v>81</v>
      </c>
      <c r="B1866" s="944">
        <v>806.1</v>
      </c>
      <c r="C1866" s="944" t="s">
        <v>1441</v>
      </c>
      <c r="D1866" s="943" t="s">
        <v>17</v>
      </c>
      <c r="E1866" s="952">
        <v>3410</v>
      </c>
      <c r="F1866" s="945">
        <v>2</v>
      </c>
      <c r="G1866" s="946">
        <v>47.74</v>
      </c>
      <c r="H1866" s="946">
        <v>46.62</v>
      </c>
    </row>
    <row r="1867" spans="1:9" s="26" customFormat="1">
      <c r="A1867" s="947" t="s">
        <v>81</v>
      </c>
      <c r="B1867" s="948">
        <v>806.15</v>
      </c>
      <c r="C1867" s="948" t="s">
        <v>1442</v>
      </c>
      <c r="D1867" s="947" t="s">
        <v>17</v>
      </c>
      <c r="E1867" s="949">
        <v>1570</v>
      </c>
      <c r="F1867" s="950">
        <v>1</v>
      </c>
      <c r="G1867" s="951">
        <v>63</v>
      </c>
      <c r="H1867" s="951">
        <v>54</v>
      </c>
      <c r="I1867" s="18"/>
    </row>
    <row r="1868" spans="1:9">
      <c r="A1868" s="943" t="s">
        <v>81</v>
      </c>
      <c r="B1868" s="944">
        <v>806.2</v>
      </c>
      <c r="C1868" s="944" t="s">
        <v>490</v>
      </c>
      <c r="D1868" s="943" t="s">
        <v>17</v>
      </c>
      <c r="E1868" s="952">
        <v>5226</v>
      </c>
      <c r="F1868" s="945">
        <v>4</v>
      </c>
      <c r="G1868" s="946">
        <v>77</v>
      </c>
      <c r="H1868" s="946">
        <v>100.4</v>
      </c>
    </row>
    <row r="1869" spans="1:9" s="26" customFormat="1">
      <c r="A1869" s="947" t="s">
        <v>81</v>
      </c>
      <c r="B1869" s="948">
        <v>806.3</v>
      </c>
      <c r="C1869" s="948" t="s">
        <v>491</v>
      </c>
      <c r="D1869" s="947" t="s">
        <v>17</v>
      </c>
      <c r="E1869" s="949">
        <v>6178</v>
      </c>
      <c r="F1869" s="950">
        <v>5</v>
      </c>
      <c r="G1869" s="951">
        <v>110</v>
      </c>
      <c r="H1869" s="951">
        <v>106.46</v>
      </c>
      <c r="I1869" s="18"/>
    </row>
    <row r="1870" spans="1:9">
      <c r="A1870" s="943" t="s">
        <v>81</v>
      </c>
      <c r="B1870" s="944">
        <v>806.4</v>
      </c>
      <c r="C1870" s="944" t="s">
        <v>492</v>
      </c>
      <c r="D1870" s="943" t="s">
        <v>17</v>
      </c>
      <c r="E1870" s="952">
        <v>9738</v>
      </c>
      <c r="F1870" s="945">
        <v>4</v>
      </c>
      <c r="G1870" s="946">
        <v>170</v>
      </c>
      <c r="H1870" s="946">
        <v>171.12</v>
      </c>
    </row>
    <row r="1871" spans="1:9" s="26" customFormat="1">
      <c r="A1871" s="947" t="s">
        <v>81</v>
      </c>
      <c r="B1871" s="948">
        <v>809.07500000000005</v>
      </c>
      <c r="C1871" s="948" t="s">
        <v>3067</v>
      </c>
      <c r="D1871" s="947" t="s">
        <v>17</v>
      </c>
      <c r="E1871" s="949">
        <v>65814</v>
      </c>
      <c r="F1871" s="950">
        <v>1</v>
      </c>
      <c r="G1871" s="951">
        <v>29</v>
      </c>
      <c r="H1871" s="951">
        <v>29</v>
      </c>
      <c r="I1871" s="18"/>
    </row>
    <row r="1872" spans="1:9">
      <c r="A1872" s="943" t="s">
        <v>81</v>
      </c>
      <c r="B1872" s="944">
        <v>811.22</v>
      </c>
      <c r="C1872" s="944" t="s">
        <v>496</v>
      </c>
      <c r="D1872" s="943" t="s">
        <v>2</v>
      </c>
      <c r="E1872" s="952">
        <v>1316</v>
      </c>
      <c r="F1872" s="945">
        <v>27</v>
      </c>
      <c r="G1872" s="946">
        <v>1857.5</v>
      </c>
      <c r="H1872" s="946">
        <v>1847.18</v>
      </c>
    </row>
    <row r="1873" spans="1:9" s="26" customFormat="1">
      <c r="A1873" s="947" t="s">
        <v>81</v>
      </c>
      <c r="B1873" s="948">
        <v>811.23</v>
      </c>
      <c r="C1873" s="948" t="s">
        <v>497</v>
      </c>
      <c r="D1873" s="947" t="s">
        <v>2</v>
      </c>
      <c r="E1873" s="950">
        <v>105</v>
      </c>
      <c r="F1873" s="950">
        <v>4</v>
      </c>
      <c r="G1873" s="951">
        <v>2725</v>
      </c>
      <c r="H1873" s="951">
        <v>2587.2600000000002</v>
      </c>
      <c r="I1873" s="18"/>
    </row>
    <row r="1874" spans="1:9">
      <c r="A1874" s="943" t="s">
        <v>81</v>
      </c>
      <c r="B1874" s="944">
        <v>811.27</v>
      </c>
      <c r="C1874" s="944" t="s">
        <v>499</v>
      </c>
      <c r="D1874" s="943" t="s">
        <v>2</v>
      </c>
      <c r="E1874" s="945">
        <v>259</v>
      </c>
      <c r="F1874" s="945">
        <v>2</v>
      </c>
      <c r="G1874" s="946">
        <v>2500</v>
      </c>
      <c r="H1874" s="946">
        <v>2263.84</v>
      </c>
    </row>
    <row r="1875" spans="1:9" s="26" customFormat="1">
      <c r="A1875" s="947" t="s">
        <v>81</v>
      </c>
      <c r="B1875" s="948">
        <v>811.3</v>
      </c>
      <c r="C1875" s="948" t="s">
        <v>500</v>
      </c>
      <c r="D1875" s="947" t="s">
        <v>2</v>
      </c>
      <c r="E1875" s="950">
        <v>37</v>
      </c>
      <c r="F1875" s="950">
        <v>4</v>
      </c>
      <c r="G1875" s="951">
        <v>600</v>
      </c>
      <c r="H1875" s="951">
        <v>449.09</v>
      </c>
      <c r="I1875" s="18"/>
    </row>
    <row r="1876" spans="1:9">
      <c r="A1876" s="943" t="s">
        <v>81</v>
      </c>
      <c r="B1876" s="944">
        <v>811.31</v>
      </c>
      <c r="C1876" s="944" t="s">
        <v>501</v>
      </c>
      <c r="D1876" s="943" t="s">
        <v>2</v>
      </c>
      <c r="E1876" s="952">
        <v>1324</v>
      </c>
      <c r="F1876" s="945">
        <v>31</v>
      </c>
      <c r="G1876" s="946">
        <v>1436</v>
      </c>
      <c r="H1876" s="946">
        <v>1372.56</v>
      </c>
    </row>
    <row r="1877" spans="1:9" s="26" customFormat="1">
      <c r="A1877" s="947" t="s">
        <v>81</v>
      </c>
      <c r="B1877" s="948">
        <v>811.35</v>
      </c>
      <c r="C1877" s="948" t="s">
        <v>502</v>
      </c>
      <c r="D1877" s="947" t="s">
        <v>2</v>
      </c>
      <c r="E1877" s="950">
        <v>86</v>
      </c>
      <c r="F1877" s="950">
        <v>5</v>
      </c>
      <c r="G1877" s="951">
        <v>350</v>
      </c>
      <c r="H1877" s="951">
        <v>344.29</v>
      </c>
      <c r="I1877" s="18"/>
    </row>
    <row r="1878" spans="1:9">
      <c r="A1878" s="943" t="s">
        <v>81</v>
      </c>
      <c r="B1878" s="944">
        <v>811.36</v>
      </c>
      <c r="C1878" s="944" t="s">
        <v>503</v>
      </c>
      <c r="D1878" s="943" t="s">
        <v>2</v>
      </c>
      <c r="E1878" s="945">
        <v>29</v>
      </c>
      <c r="F1878" s="945">
        <v>4</v>
      </c>
      <c r="G1878" s="946">
        <v>600</v>
      </c>
      <c r="H1878" s="946">
        <v>541.42999999999995</v>
      </c>
    </row>
    <row r="1879" spans="1:9" s="26" customFormat="1">
      <c r="A1879" s="947" t="s">
        <v>81</v>
      </c>
      <c r="B1879" s="948">
        <v>811.37</v>
      </c>
      <c r="C1879" s="948" t="s">
        <v>504</v>
      </c>
      <c r="D1879" s="947" t="s">
        <v>2</v>
      </c>
      <c r="E1879" s="950">
        <v>783</v>
      </c>
      <c r="F1879" s="950">
        <v>10</v>
      </c>
      <c r="G1879" s="951">
        <v>400</v>
      </c>
      <c r="H1879" s="951">
        <v>360.93</v>
      </c>
      <c r="I1879" s="18"/>
    </row>
    <row r="1880" spans="1:9">
      <c r="A1880" s="943" t="s">
        <v>81</v>
      </c>
      <c r="B1880" s="944">
        <v>811.38</v>
      </c>
      <c r="C1880" s="944" t="s">
        <v>3090</v>
      </c>
      <c r="D1880" s="943" t="s">
        <v>2</v>
      </c>
      <c r="E1880" s="945">
        <v>53</v>
      </c>
      <c r="F1880" s="945">
        <v>2</v>
      </c>
      <c r="G1880" s="946">
        <v>925</v>
      </c>
      <c r="H1880" s="946">
        <v>872.29</v>
      </c>
    </row>
    <row r="1881" spans="1:9" s="26" customFormat="1">
      <c r="A1881" s="947" t="s">
        <v>81</v>
      </c>
      <c r="B1881" s="948">
        <v>811.39</v>
      </c>
      <c r="C1881" s="948" t="s">
        <v>505</v>
      </c>
      <c r="D1881" s="947" t="s">
        <v>2</v>
      </c>
      <c r="E1881" s="950">
        <v>39</v>
      </c>
      <c r="F1881" s="950">
        <v>3</v>
      </c>
      <c r="G1881" s="951">
        <v>300</v>
      </c>
      <c r="H1881" s="951">
        <v>297.73</v>
      </c>
      <c r="I1881" s="18"/>
    </row>
    <row r="1882" spans="1:9">
      <c r="A1882" s="943" t="s">
        <v>81</v>
      </c>
      <c r="B1882" s="944">
        <v>811.4</v>
      </c>
      <c r="C1882" s="944" t="s">
        <v>4080</v>
      </c>
      <c r="D1882" s="943" t="s">
        <v>2</v>
      </c>
      <c r="E1882" s="945">
        <v>30</v>
      </c>
      <c r="F1882" s="945">
        <v>1</v>
      </c>
      <c r="G1882" s="946">
        <v>667.5</v>
      </c>
      <c r="H1882" s="946">
        <v>595</v>
      </c>
    </row>
    <row r="1883" spans="1:9" s="26" customFormat="1">
      <c r="A1883" s="947" t="s">
        <v>81</v>
      </c>
      <c r="B1883" s="948">
        <v>811.61</v>
      </c>
      <c r="C1883" s="948" t="s">
        <v>4081</v>
      </c>
      <c r="D1883" s="947" t="s">
        <v>2</v>
      </c>
      <c r="E1883" s="950">
        <v>8</v>
      </c>
      <c r="F1883" s="950">
        <v>1</v>
      </c>
      <c r="G1883" s="951">
        <v>2175</v>
      </c>
      <c r="H1883" s="951">
        <v>2175</v>
      </c>
      <c r="I1883" s="18"/>
    </row>
    <row r="1884" spans="1:9">
      <c r="A1884" s="943" t="s">
        <v>81</v>
      </c>
      <c r="B1884" s="944">
        <v>811.87</v>
      </c>
      <c r="C1884" s="944" t="s">
        <v>4066</v>
      </c>
      <c r="D1884" s="943" t="s">
        <v>2</v>
      </c>
      <c r="E1884" s="945">
        <v>14</v>
      </c>
      <c r="F1884" s="945">
        <v>2</v>
      </c>
      <c r="G1884" s="946">
        <v>2550</v>
      </c>
      <c r="H1884" s="946">
        <v>2315.1799999999998</v>
      </c>
    </row>
    <row r="1885" spans="1:9" s="26" customFormat="1">
      <c r="A1885" s="947" t="s">
        <v>81</v>
      </c>
      <c r="B1885" s="948">
        <v>812.09</v>
      </c>
      <c r="C1885" s="948" t="s">
        <v>506</v>
      </c>
      <c r="D1885" s="947" t="s">
        <v>2</v>
      </c>
      <c r="E1885" s="950">
        <v>812</v>
      </c>
      <c r="F1885" s="950">
        <v>5</v>
      </c>
      <c r="G1885" s="951">
        <v>3400</v>
      </c>
      <c r="H1885" s="951">
        <v>2722.26</v>
      </c>
      <c r="I1885" s="18"/>
    </row>
    <row r="1886" spans="1:9">
      <c r="A1886" s="943" t="s">
        <v>81</v>
      </c>
      <c r="B1886" s="944">
        <v>812.1</v>
      </c>
      <c r="C1886" s="944" t="s">
        <v>507</v>
      </c>
      <c r="D1886" s="943" t="s">
        <v>2</v>
      </c>
      <c r="E1886" s="945">
        <v>105</v>
      </c>
      <c r="F1886" s="945">
        <v>2</v>
      </c>
      <c r="G1886" s="946">
        <v>2989</v>
      </c>
      <c r="H1886" s="946">
        <v>3067.8</v>
      </c>
    </row>
    <row r="1887" spans="1:9" s="26" customFormat="1">
      <c r="A1887" s="947" t="s">
        <v>81</v>
      </c>
      <c r="B1887" s="948">
        <v>812.11</v>
      </c>
      <c r="C1887" s="948" t="s">
        <v>3110</v>
      </c>
      <c r="D1887" s="947" t="s">
        <v>2</v>
      </c>
      <c r="E1887" s="950">
        <v>7</v>
      </c>
      <c r="F1887" s="950">
        <v>1</v>
      </c>
      <c r="G1887" s="951">
        <v>4450</v>
      </c>
      <c r="H1887" s="951">
        <v>4450</v>
      </c>
      <c r="I1887" s="18"/>
    </row>
    <row r="1888" spans="1:9">
      <c r="A1888" s="943" t="s">
        <v>81</v>
      </c>
      <c r="B1888" s="944">
        <v>812.13</v>
      </c>
      <c r="C1888" s="944" t="s">
        <v>508</v>
      </c>
      <c r="D1888" s="943" t="s">
        <v>2</v>
      </c>
      <c r="E1888" s="945">
        <v>96</v>
      </c>
      <c r="F1888" s="945">
        <v>3</v>
      </c>
      <c r="G1888" s="946">
        <v>4000</v>
      </c>
      <c r="H1888" s="946">
        <v>3850</v>
      </c>
    </row>
    <row r="1889" spans="1:9" s="26" customFormat="1">
      <c r="A1889" s="947" t="s">
        <v>81</v>
      </c>
      <c r="B1889" s="948">
        <v>812.14</v>
      </c>
      <c r="C1889" s="948" t="s">
        <v>1443</v>
      </c>
      <c r="D1889" s="947" t="s">
        <v>2</v>
      </c>
      <c r="E1889" s="950">
        <v>274</v>
      </c>
      <c r="F1889" s="950">
        <v>2</v>
      </c>
      <c r="G1889" s="951">
        <v>4000</v>
      </c>
      <c r="H1889" s="951">
        <v>4581.3</v>
      </c>
      <c r="I1889" s="18"/>
    </row>
    <row r="1890" spans="1:9">
      <c r="A1890" s="943" t="s">
        <v>81</v>
      </c>
      <c r="B1890" s="944">
        <v>812.2</v>
      </c>
      <c r="C1890" s="944" t="s">
        <v>509</v>
      </c>
      <c r="D1890" s="943" t="s">
        <v>2</v>
      </c>
      <c r="E1890" s="945">
        <v>22</v>
      </c>
      <c r="F1890" s="945">
        <v>2</v>
      </c>
      <c r="G1890" s="946">
        <v>7500</v>
      </c>
      <c r="H1890" s="946">
        <v>6058.33</v>
      </c>
    </row>
    <row r="1891" spans="1:9" s="26" customFormat="1">
      <c r="A1891" s="947" t="s">
        <v>81</v>
      </c>
      <c r="B1891" s="948">
        <v>812.3</v>
      </c>
      <c r="C1891" s="948" t="s">
        <v>3113</v>
      </c>
      <c r="D1891" s="947" t="s">
        <v>2</v>
      </c>
      <c r="E1891" s="950">
        <v>154</v>
      </c>
      <c r="F1891" s="950">
        <v>6</v>
      </c>
      <c r="G1891" s="951">
        <v>1200</v>
      </c>
      <c r="H1891" s="951">
        <v>1433.53</v>
      </c>
      <c r="I1891" s="18"/>
    </row>
    <row r="1892" spans="1:9">
      <c r="A1892" s="943" t="s">
        <v>81</v>
      </c>
      <c r="B1892" s="944">
        <v>812.31</v>
      </c>
      <c r="C1892" s="944" t="s">
        <v>3114</v>
      </c>
      <c r="D1892" s="943" t="s">
        <v>2</v>
      </c>
      <c r="E1892" s="945">
        <v>4</v>
      </c>
      <c r="F1892" s="945">
        <v>1</v>
      </c>
      <c r="G1892" s="946">
        <v>2165</v>
      </c>
      <c r="H1892" s="946">
        <v>2165</v>
      </c>
    </row>
    <row r="1893" spans="1:9" s="26" customFormat="1">
      <c r="A1893" s="947" t="s">
        <v>81</v>
      </c>
      <c r="B1893" s="948">
        <v>813.22</v>
      </c>
      <c r="C1893" s="948" t="s">
        <v>3118</v>
      </c>
      <c r="D1893" s="947" t="s">
        <v>17</v>
      </c>
      <c r="E1893" s="950">
        <v>40</v>
      </c>
      <c r="F1893" s="950">
        <v>1</v>
      </c>
      <c r="G1893" s="951">
        <v>7.5</v>
      </c>
      <c r="H1893" s="951">
        <v>8.75</v>
      </c>
      <c r="I1893" s="18"/>
    </row>
    <row r="1894" spans="1:9">
      <c r="A1894" s="943" t="s">
        <v>81</v>
      </c>
      <c r="B1894" s="944">
        <v>813.3</v>
      </c>
      <c r="C1894" s="944" t="s">
        <v>511</v>
      </c>
      <c r="D1894" s="943" t="s">
        <v>17</v>
      </c>
      <c r="E1894" s="952">
        <v>47040</v>
      </c>
      <c r="F1894" s="945">
        <v>5</v>
      </c>
      <c r="G1894" s="946">
        <v>2.08</v>
      </c>
      <c r="H1894" s="946">
        <v>2.0499999999999998</v>
      </c>
    </row>
    <row r="1895" spans="1:9" s="26" customFormat="1">
      <c r="A1895" s="947" t="s">
        <v>81</v>
      </c>
      <c r="B1895" s="948">
        <v>813.31</v>
      </c>
      <c r="C1895" s="948" t="s">
        <v>512</v>
      </c>
      <c r="D1895" s="947" t="s">
        <v>17</v>
      </c>
      <c r="E1895" s="949">
        <v>4200</v>
      </c>
      <c r="F1895" s="950">
        <v>1</v>
      </c>
      <c r="G1895" s="951">
        <v>3</v>
      </c>
      <c r="H1895" s="951">
        <v>2.82</v>
      </c>
      <c r="I1895" s="18"/>
    </row>
    <row r="1896" spans="1:9">
      <c r="A1896" s="943" t="s">
        <v>81</v>
      </c>
      <c r="B1896" s="944">
        <v>813.32</v>
      </c>
      <c r="C1896" s="944" t="s">
        <v>513</v>
      </c>
      <c r="D1896" s="943" t="s">
        <v>17</v>
      </c>
      <c r="E1896" s="952">
        <v>127650</v>
      </c>
      <c r="F1896" s="945">
        <v>5</v>
      </c>
      <c r="G1896" s="946">
        <v>3</v>
      </c>
      <c r="H1896" s="946">
        <v>2.98</v>
      </c>
    </row>
    <row r="1897" spans="1:9" s="26" customFormat="1">
      <c r="A1897" s="947" t="s">
        <v>81</v>
      </c>
      <c r="B1897" s="948">
        <v>813.4</v>
      </c>
      <c r="C1897" s="948" t="s">
        <v>64</v>
      </c>
      <c r="D1897" s="947" t="s">
        <v>17</v>
      </c>
      <c r="E1897" s="949">
        <v>729770</v>
      </c>
      <c r="F1897" s="950">
        <v>3</v>
      </c>
      <c r="G1897" s="951">
        <v>2</v>
      </c>
      <c r="H1897" s="951">
        <v>2</v>
      </c>
      <c r="I1897" s="18"/>
    </row>
    <row r="1898" spans="1:9">
      <c r="A1898" s="943" t="s">
        <v>81</v>
      </c>
      <c r="B1898" s="944">
        <v>813.41</v>
      </c>
      <c r="C1898" s="944" t="s">
        <v>518</v>
      </c>
      <c r="D1898" s="943" t="s">
        <v>17</v>
      </c>
      <c r="E1898" s="952">
        <v>223300</v>
      </c>
      <c r="F1898" s="945">
        <v>2</v>
      </c>
      <c r="G1898" s="946">
        <v>2.25</v>
      </c>
      <c r="H1898" s="946">
        <v>2.2400000000000002</v>
      </c>
    </row>
    <row r="1899" spans="1:9" s="26" customFormat="1">
      <c r="A1899" s="947" t="s">
        <v>81</v>
      </c>
      <c r="B1899" s="948">
        <v>813.42</v>
      </c>
      <c r="C1899" s="948" t="s">
        <v>519</v>
      </c>
      <c r="D1899" s="947" t="s">
        <v>17</v>
      </c>
      <c r="E1899" s="949">
        <v>525150</v>
      </c>
      <c r="F1899" s="950">
        <v>5</v>
      </c>
      <c r="G1899" s="951">
        <v>2.97</v>
      </c>
      <c r="H1899" s="951">
        <v>2.61</v>
      </c>
      <c r="I1899" s="18"/>
    </row>
    <row r="1900" spans="1:9">
      <c r="A1900" s="943" t="s">
        <v>81</v>
      </c>
      <c r="B1900" s="944">
        <v>813.43</v>
      </c>
      <c r="C1900" s="944" t="s">
        <v>65</v>
      </c>
      <c r="D1900" s="943" t="s">
        <v>17</v>
      </c>
      <c r="E1900" s="952">
        <v>1772100</v>
      </c>
      <c r="F1900" s="945">
        <v>3</v>
      </c>
      <c r="G1900" s="946">
        <v>3.4</v>
      </c>
      <c r="H1900" s="946">
        <v>3.37</v>
      </c>
    </row>
    <row r="1901" spans="1:9" s="26" customFormat="1">
      <c r="A1901" s="947" t="s">
        <v>81</v>
      </c>
      <c r="B1901" s="948">
        <v>813.44</v>
      </c>
      <c r="C1901" s="948" t="s">
        <v>520</v>
      </c>
      <c r="D1901" s="947" t="s">
        <v>17</v>
      </c>
      <c r="E1901" s="949">
        <v>1223200</v>
      </c>
      <c r="F1901" s="950">
        <v>3</v>
      </c>
      <c r="G1901" s="951">
        <v>4.3</v>
      </c>
      <c r="H1901" s="951">
        <v>4.1500000000000004</v>
      </c>
      <c r="I1901" s="18"/>
    </row>
    <row r="1902" spans="1:9">
      <c r="A1902" s="943" t="s">
        <v>81</v>
      </c>
      <c r="B1902" s="944">
        <v>813.45</v>
      </c>
      <c r="C1902" s="944" t="s">
        <v>3126</v>
      </c>
      <c r="D1902" s="943" t="s">
        <v>17</v>
      </c>
      <c r="E1902" s="952">
        <v>1675</v>
      </c>
      <c r="F1902" s="945">
        <v>2</v>
      </c>
      <c r="G1902" s="946">
        <v>7</v>
      </c>
      <c r="H1902" s="946">
        <v>7.22</v>
      </c>
    </row>
    <row r="1903" spans="1:9" s="26" customFormat="1">
      <c r="A1903" s="947" t="s">
        <v>81</v>
      </c>
      <c r="B1903" s="948">
        <v>813.49</v>
      </c>
      <c r="C1903" s="948" t="s">
        <v>3129</v>
      </c>
      <c r="D1903" s="947" t="s">
        <v>17</v>
      </c>
      <c r="E1903" s="950">
        <v>700</v>
      </c>
      <c r="F1903" s="950">
        <v>1</v>
      </c>
      <c r="G1903" s="951">
        <v>15.88</v>
      </c>
      <c r="H1903" s="951">
        <v>15.88</v>
      </c>
      <c r="I1903" s="18"/>
    </row>
    <row r="1904" spans="1:9">
      <c r="A1904" s="943" t="s">
        <v>81</v>
      </c>
      <c r="B1904" s="944">
        <v>813.52</v>
      </c>
      <c r="C1904" s="944" t="s">
        <v>521</v>
      </c>
      <c r="D1904" s="943" t="s">
        <v>17</v>
      </c>
      <c r="E1904" s="952">
        <v>23840</v>
      </c>
      <c r="F1904" s="945">
        <v>5</v>
      </c>
      <c r="G1904" s="946">
        <v>4.75</v>
      </c>
      <c r="H1904" s="946">
        <v>4.63</v>
      </c>
    </row>
    <row r="1905" spans="1:9" s="26" customFormat="1">
      <c r="A1905" s="947" t="s">
        <v>81</v>
      </c>
      <c r="B1905" s="948">
        <v>813.53</v>
      </c>
      <c r="C1905" s="948" t="s">
        <v>3132</v>
      </c>
      <c r="D1905" s="947" t="s">
        <v>17</v>
      </c>
      <c r="E1905" s="949">
        <v>13520</v>
      </c>
      <c r="F1905" s="950">
        <v>6</v>
      </c>
      <c r="G1905" s="951">
        <v>4</v>
      </c>
      <c r="H1905" s="951">
        <v>3.24</v>
      </c>
      <c r="I1905" s="18"/>
    </row>
    <row r="1906" spans="1:9">
      <c r="A1906" s="943" t="s">
        <v>81</v>
      </c>
      <c r="B1906" s="944">
        <v>813.55</v>
      </c>
      <c r="C1906" s="944" t="s">
        <v>3134</v>
      </c>
      <c r="D1906" s="943" t="s">
        <v>17</v>
      </c>
      <c r="E1906" s="945">
        <v>60</v>
      </c>
      <c r="F1906" s="945">
        <v>1</v>
      </c>
      <c r="G1906" s="946">
        <v>10</v>
      </c>
      <c r="H1906" s="946">
        <v>10</v>
      </c>
    </row>
    <row r="1907" spans="1:9" s="26" customFormat="1">
      <c r="A1907" s="947" t="s">
        <v>81</v>
      </c>
      <c r="B1907" s="948">
        <v>813.6</v>
      </c>
      <c r="C1907" s="948" t="s">
        <v>522</v>
      </c>
      <c r="D1907" s="947" t="s">
        <v>22</v>
      </c>
      <c r="E1907" s="950">
        <v>7</v>
      </c>
      <c r="F1907" s="950">
        <v>2</v>
      </c>
      <c r="G1907" s="951">
        <v>29000</v>
      </c>
      <c r="H1907" s="951">
        <v>24012.400000000001</v>
      </c>
      <c r="I1907" s="18"/>
    </row>
    <row r="1908" spans="1:9">
      <c r="A1908" s="943" t="s">
        <v>81</v>
      </c>
      <c r="B1908" s="944">
        <v>813.7</v>
      </c>
      <c r="C1908" s="944" t="s">
        <v>3135</v>
      </c>
      <c r="D1908" s="943" t="s">
        <v>17</v>
      </c>
      <c r="E1908" s="945">
        <v>49</v>
      </c>
      <c r="F1908" s="945">
        <v>2</v>
      </c>
      <c r="G1908" s="946">
        <v>100</v>
      </c>
      <c r="H1908" s="946">
        <v>146.43</v>
      </c>
    </row>
    <row r="1909" spans="1:9" s="26" customFormat="1">
      <c r="A1909" s="947" t="s">
        <v>81</v>
      </c>
      <c r="B1909" s="948">
        <v>813.71</v>
      </c>
      <c r="C1909" s="948" t="s">
        <v>3136</v>
      </c>
      <c r="D1909" s="947" t="s">
        <v>2</v>
      </c>
      <c r="E1909" s="950">
        <v>600</v>
      </c>
      <c r="F1909" s="950">
        <v>1</v>
      </c>
      <c r="G1909" s="951">
        <v>206</v>
      </c>
      <c r="H1909" s="951">
        <v>220.33</v>
      </c>
      <c r="I1909" s="18"/>
    </row>
    <row r="1910" spans="1:9">
      <c r="A1910" s="943" t="s">
        <v>81</v>
      </c>
      <c r="B1910" s="944">
        <v>813.79</v>
      </c>
      <c r="C1910" s="944" t="s">
        <v>524</v>
      </c>
      <c r="D1910" s="943" t="s">
        <v>22</v>
      </c>
      <c r="E1910" s="945">
        <v>5</v>
      </c>
      <c r="F1910" s="945">
        <v>1</v>
      </c>
      <c r="G1910" s="946">
        <v>15000</v>
      </c>
      <c r="H1910" s="946">
        <v>14880</v>
      </c>
    </row>
    <row r="1911" spans="1:9" s="26" customFormat="1">
      <c r="A1911" s="947" t="s">
        <v>81</v>
      </c>
      <c r="B1911" s="948">
        <v>813.8</v>
      </c>
      <c r="C1911" s="948" t="s">
        <v>1445</v>
      </c>
      <c r="D1911" s="947" t="s">
        <v>22</v>
      </c>
      <c r="E1911" s="950">
        <v>26</v>
      </c>
      <c r="F1911" s="950">
        <v>8</v>
      </c>
      <c r="G1911" s="951">
        <v>6000</v>
      </c>
      <c r="H1911" s="951">
        <v>5965.48</v>
      </c>
      <c r="I1911" s="18"/>
    </row>
    <row r="1912" spans="1:9">
      <c r="A1912" s="943" t="s">
        <v>81</v>
      </c>
      <c r="B1912" s="944">
        <v>813.81</v>
      </c>
      <c r="C1912" s="944" t="s">
        <v>525</v>
      </c>
      <c r="D1912" s="943" t="s">
        <v>22</v>
      </c>
      <c r="E1912" s="945">
        <v>8</v>
      </c>
      <c r="F1912" s="945">
        <v>3</v>
      </c>
      <c r="G1912" s="946">
        <v>4250</v>
      </c>
      <c r="H1912" s="946">
        <v>4087.5</v>
      </c>
    </row>
    <row r="1913" spans="1:9" s="26" customFormat="1">
      <c r="A1913" s="947" t="s">
        <v>81</v>
      </c>
      <c r="B1913" s="948">
        <v>815.1</v>
      </c>
      <c r="C1913" s="948" t="s">
        <v>526</v>
      </c>
      <c r="D1913" s="947" t="s">
        <v>22</v>
      </c>
      <c r="E1913" s="950">
        <v>43</v>
      </c>
      <c r="F1913" s="950">
        <v>10</v>
      </c>
      <c r="G1913" s="951">
        <v>351000</v>
      </c>
      <c r="H1913" s="951">
        <v>355576.98</v>
      </c>
      <c r="I1913" s="18"/>
    </row>
    <row r="1914" spans="1:9">
      <c r="A1914" s="943" t="s">
        <v>81</v>
      </c>
      <c r="B1914" s="944">
        <v>815.2</v>
      </c>
      <c r="C1914" s="944" t="s">
        <v>527</v>
      </c>
      <c r="D1914" s="943" t="s">
        <v>22</v>
      </c>
      <c r="E1914" s="945">
        <v>12</v>
      </c>
      <c r="F1914" s="945">
        <v>2</v>
      </c>
      <c r="G1914" s="946">
        <v>336000</v>
      </c>
      <c r="H1914" s="946">
        <v>365420.83</v>
      </c>
    </row>
    <row r="1915" spans="1:9" s="26" customFormat="1">
      <c r="A1915" s="947" t="s">
        <v>81</v>
      </c>
      <c r="B1915" s="948">
        <v>816.01</v>
      </c>
      <c r="C1915" s="948" t="s">
        <v>531</v>
      </c>
      <c r="D1915" s="947" t="s">
        <v>22</v>
      </c>
      <c r="E1915" s="950">
        <v>38</v>
      </c>
      <c r="F1915" s="950">
        <v>11</v>
      </c>
      <c r="G1915" s="951">
        <v>292476</v>
      </c>
      <c r="H1915" s="951">
        <v>314524.13</v>
      </c>
      <c r="I1915" s="18"/>
    </row>
    <row r="1916" spans="1:9">
      <c r="A1916" s="943" t="s">
        <v>81</v>
      </c>
      <c r="B1916" s="944">
        <v>816.02</v>
      </c>
      <c r="C1916" s="944" t="s">
        <v>532</v>
      </c>
      <c r="D1916" s="943" t="s">
        <v>22</v>
      </c>
      <c r="E1916" s="945">
        <v>48</v>
      </c>
      <c r="F1916" s="945">
        <v>13</v>
      </c>
      <c r="G1916" s="946">
        <v>314750</v>
      </c>
      <c r="H1916" s="946">
        <v>332899.59999999998</v>
      </c>
    </row>
    <row r="1917" spans="1:9" s="26" customFormat="1">
      <c r="A1917" s="947" t="s">
        <v>81</v>
      </c>
      <c r="B1917" s="948">
        <v>816.03</v>
      </c>
      <c r="C1917" s="948" t="s">
        <v>533</v>
      </c>
      <c r="D1917" s="947" t="s">
        <v>22</v>
      </c>
      <c r="E1917" s="950">
        <v>20</v>
      </c>
      <c r="F1917" s="950">
        <v>6</v>
      </c>
      <c r="G1917" s="951">
        <v>267000</v>
      </c>
      <c r="H1917" s="951">
        <v>308724.65000000002</v>
      </c>
      <c r="I1917" s="18"/>
    </row>
    <row r="1918" spans="1:9">
      <c r="A1918" s="943" t="s">
        <v>81</v>
      </c>
      <c r="B1918" s="944">
        <v>816.8</v>
      </c>
      <c r="C1918" s="944" t="s">
        <v>534</v>
      </c>
      <c r="D1918" s="943" t="s">
        <v>22</v>
      </c>
      <c r="E1918" s="945">
        <v>11</v>
      </c>
      <c r="F1918" s="945">
        <v>4</v>
      </c>
      <c r="G1918" s="946">
        <v>12250</v>
      </c>
      <c r="H1918" s="946">
        <v>10636.36</v>
      </c>
    </row>
    <row r="1919" spans="1:9" s="26" customFormat="1">
      <c r="A1919" s="947" t="s">
        <v>81</v>
      </c>
      <c r="B1919" s="948">
        <v>816.81</v>
      </c>
      <c r="C1919" s="948" t="s">
        <v>535</v>
      </c>
      <c r="D1919" s="947" t="s">
        <v>22</v>
      </c>
      <c r="E1919" s="950">
        <v>20</v>
      </c>
      <c r="F1919" s="950">
        <v>5</v>
      </c>
      <c r="G1919" s="951">
        <v>115000</v>
      </c>
      <c r="H1919" s="951">
        <v>112295.58</v>
      </c>
      <c r="I1919" s="18"/>
    </row>
    <row r="1920" spans="1:9">
      <c r="A1920" s="943" t="s">
        <v>81</v>
      </c>
      <c r="B1920" s="944">
        <v>816.9</v>
      </c>
      <c r="C1920" s="944" t="s">
        <v>536</v>
      </c>
      <c r="D1920" s="943" t="s">
        <v>22</v>
      </c>
      <c r="E1920" s="945">
        <v>11</v>
      </c>
      <c r="F1920" s="945">
        <v>2</v>
      </c>
      <c r="G1920" s="946">
        <v>10000</v>
      </c>
      <c r="H1920" s="946">
        <v>9864.27</v>
      </c>
    </row>
    <row r="1921" spans="1:9" s="26" customFormat="1">
      <c r="A1921" s="947" t="s">
        <v>81</v>
      </c>
      <c r="B1921" s="948">
        <v>817.1</v>
      </c>
      <c r="C1921" s="948" t="s">
        <v>537</v>
      </c>
      <c r="D1921" s="947" t="s">
        <v>2</v>
      </c>
      <c r="E1921" s="950">
        <v>498</v>
      </c>
      <c r="F1921" s="950">
        <v>6</v>
      </c>
      <c r="G1921" s="951">
        <v>750</v>
      </c>
      <c r="H1921" s="951">
        <v>981.47</v>
      </c>
      <c r="I1921" s="18"/>
    </row>
    <row r="1922" spans="1:9">
      <c r="A1922" s="943" t="s">
        <v>81</v>
      </c>
      <c r="B1922" s="944">
        <v>817.11</v>
      </c>
      <c r="C1922" s="944" t="s">
        <v>538</v>
      </c>
      <c r="D1922" s="943" t="s">
        <v>2</v>
      </c>
      <c r="E1922" s="945">
        <v>615</v>
      </c>
      <c r="F1922" s="945">
        <v>5</v>
      </c>
      <c r="G1922" s="946">
        <v>750</v>
      </c>
      <c r="H1922" s="946">
        <v>839.38</v>
      </c>
    </row>
    <row r="1923" spans="1:9" s="26" customFormat="1">
      <c r="A1923" s="947" t="s">
        <v>81</v>
      </c>
      <c r="B1923" s="948">
        <v>817.2</v>
      </c>
      <c r="C1923" s="948" t="s">
        <v>3139</v>
      </c>
      <c r="D1923" s="947" t="s">
        <v>2</v>
      </c>
      <c r="E1923" s="950">
        <v>105</v>
      </c>
      <c r="F1923" s="950">
        <v>5</v>
      </c>
      <c r="G1923" s="951">
        <v>800</v>
      </c>
      <c r="H1923" s="951">
        <v>854.38</v>
      </c>
      <c r="I1923" s="18"/>
    </row>
    <row r="1924" spans="1:9">
      <c r="A1924" s="943" t="s">
        <v>81</v>
      </c>
      <c r="B1924" s="944">
        <v>817.21</v>
      </c>
      <c r="C1924" s="944" t="s">
        <v>3140</v>
      </c>
      <c r="D1924" s="943" t="s">
        <v>2</v>
      </c>
      <c r="E1924" s="945">
        <v>85</v>
      </c>
      <c r="F1924" s="945">
        <v>4</v>
      </c>
      <c r="G1924" s="946">
        <v>875</v>
      </c>
      <c r="H1924" s="946">
        <v>810.36</v>
      </c>
    </row>
    <row r="1925" spans="1:9" s="26" customFormat="1">
      <c r="A1925" s="947" t="s">
        <v>81</v>
      </c>
      <c r="B1925" s="948">
        <v>817.4</v>
      </c>
      <c r="C1925" s="948" t="s">
        <v>3141</v>
      </c>
      <c r="D1925" s="947" t="s">
        <v>2</v>
      </c>
      <c r="E1925" s="950">
        <v>68</v>
      </c>
      <c r="F1925" s="950">
        <v>2</v>
      </c>
      <c r="G1925" s="951">
        <v>450</v>
      </c>
      <c r="H1925" s="951">
        <v>426.88</v>
      </c>
      <c r="I1925" s="18"/>
    </row>
    <row r="1926" spans="1:9">
      <c r="A1926" s="943" t="s">
        <v>81</v>
      </c>
      <c r="B1926" s="944">
        <v>817.41</v>
      </c>
      <c r="C1926" s="944" t="s">
        <v>3142</v>
      </c>
      <c r="D1926" s="943" t="s">
        <v>2</v>
      </c>
      <c r="E1926" s="945">
        <v>66</v>
      </c>
      <c r="F1926" s="945">
        <v>3</v>
      </c>
      <c r="G1926" s="946">
        <v>425</v>
      </c>
      <c r="H1926" s="946">
        <v>409.55</v>
      </c>
    </row>
    <row r="1927" spans="1:9" s="26" customFormat="1">
      <c r="A1927" s="947" t="s">
        <v>81</v>
      </c>
      <c r="B1927" s="948">
        <v>818.11</v>
      </c>
      <c r="C1927" s="948" t="s">
        <v>3160</v>
      </c>
      <c r="D1927" s="947" t="s">
        <v>2</v>
      </c>
      <c r="E1927" s="950">
        <v>6</v>
      </c>
      <c r="F1927" s="950">
        <v>2</v>
      </c>
      <c r="G1927" s="951">
        <v>740</v>
      </c>
      <c r="H1927" s="951">
        <v>1152</v>
      </c>
      <c r="I1927" s="18"/>
    </row>
    <row r="1928" spans="1:9">
      <c r="A1928" s="943" t="s">
        <v>81</v>
      </c>
      <c r="B1928" s="944">
        <v>818.42</v>
      </c>
      <c r="C1928" s="944" t="s">
        <v>3172</v>
      </c>
      <c r="D1928" s="943" t="s">
        <v>2</v>
      </c>
      <c r="E1928" s="945">
        <v>718</v>
      </c>
      <c r="F1928" s="945">
        <v>5</v>
      </c>
      <c r="G1928" s="946">
        <v>720</v>
      </c>
      <c r="H1928" s="946">
        <v>726.95</v>
      </c>
    </row>
    <row r="1929" spans="1:9" s="26" customFormat="1">
      <c r="A1929" s="947" t="s">
        <v>81</v>
      </c>
      <c r="B1929" s="948">
        <v>818.81</v>
      </c>
      <c r="C1929" s="948" t="s">
        <v>3192</v>
      </c>
      <c r="D1929" s="947" t="s">
        <v>2</v>
      </c>
      <c r="E1929" s="950">
        <v>5</v>
      </c>
      <c r="F1929" s="950">
        <v>1</v>
      </c>
      <c r="G1929" s="951">
        <v>267.5</v>
      </c>
      <c r="H1929" s="951">
        <v>247</v>
      </c>
      <c r="I1929" s="18"/>
    </row>
    <row r="1930" spans="1:9">
      <c r="A1930" s="943" t="s">
        <v>81</v>
      </c>
      <c r="B1930" s="944">
        <v>819.83</v>
      </c>
      <c r="C1930" s="944" t="s">
        <v>3213</v>
      </c>
      <c r="D1930" s="943" t="s">
        <v>2</v>
      </c>
      <c r="E1930" s="945">
        <v>80</v>
      </c>
      <c r="F1930" s="945">
        <v>4</v>
      </c>
      <c r="G1930" s="946">
        <v>150</v>
      </c>
      <c r="H1930" s="946">
        <v>186.5</v>
      </c>
    </row>
    <row r="1931" spans="1:9" s="26" customFormat="1">
      <c r="A1931" s="947" t="s">
        <v>81</v>
      </c>
      <c r="B1931" s="948">
        <v>819.83100000000002</v>
      </c>
      <c r="C1931" s="948" t="s">
        <v>540</v>
      </c>
      <c r="D1931" s="947" t="s">
        <v>17</v>
      </c>
      <c r="E1931" s="949">
        <v>74843</v>
      </c>
      <c r="F1931" s="950">
        <v>14</v>
      </c>
      <c r="G1931" s="951">
        <v>15</v>
      </c>
      <c r="H1931" s="951">
        <v>14.93</v>
      </c>
      <c r="I1931" s="18"/>
    </row>
    <row r="1932" spans="1:9">
      <c r="A1932" s="943" t="s">
        <v>81</v>
      </c>
      <c r="B1932" s="944">
        <v>819.85</v>
      </c>
      <c r="C1932" s="944" t="s">
        <v>3215</v>
      </c>
      <c r="D1932" s="943" t="s">
        <v>2</v>
      </c>
      <c r="E1932" s="945">
        <v>302</v>
      </c>
      <c r="F1932" s="945">
        <v>5</v>
      </c>
      <c r="G1932" s="946">
        <v>200</v>
      </c>
      <c r="H1932" s="946">
        <v>197</v>
      </c>
    </row>
    <row r="1933" spans="1:9" s="26" customFormat="1">
      <c r="A1933" s="947" t="s">
        <v>81</v>
      </c>
      <c r="B1933" s="948">
        <v>820.1</v>
      </c>
      <c r="C1933" s="948" t="s">
        <v>541</v>
      </c>
      <c r="D1933" s="947" t="s">
        <v>22</v>
      </c>
      <c r="E1933" s="950">
        <v>2</v>
      </c>
      <c r="F1933" s="950">
        <v>1</v>
      </c>
      <c r="G1933" s="951">
        <v>4000000</v>
      </c>
      <c r="H1933" s="951">
        <v>3800000</v>
      </c>
      <c r="I1933" s="18"/>
    </row>
    <row r="1934" spans="1:9">
      <c r="A1934" s="943" t="s">
        <v>81</v>
      </c>
      <c r="B1934" s="944">
        <v>821.11</v>
      </c>
      <c r="C1934" s="944" t="s">
        <v>3221</v>
      </c>
      <c r="D1934" s="943" t="s">
        <v>2</v>
      </c>
      <c r="E1934" s="945">
        <v>179</v>
      </c>
      <c r="F1934" s="945">
        <v>2</v>
      </c>
      <c r="G1934" s="946">
        <v>7777.77</v>
      </c>
      <c r="H1934" s="946">
        <v>7384.52</v>
      </c>
    </row>
    <row r="1935" spans="1:9" s="26" customFormat="1">
      <c r="A1935" s="947" t="s">
        <v>81</v>
      </c>
      <c r="B1935" s="948">
        <v>821.12</v>
      </c>
      <c r="C1935" s="948" t="s">
        <v>3222</v>
      </c>
      <c r="D1935" s="947" t="s">
        <v>2</v>
      </c>
      <c r="E1935" s="950">
        <v>7</v>
      </c>
      <c r="F1935" s="950">
        <v>1</v>
      </c>
      <c r="G1935" s="951">
        <v>9150</v>
      </c>
      <c r="H1935" s="951">
        <v>9150</v>
      </c>
      <c r="I1935" s="18"/>
    </row>
    <row r="1936" spans="1:9">
      <c r="A1936" s="943" t="s">
        <v>81</v>
      </c>
      <c r="B1936" s="944">
        <v>821.13</v>
      </c>
      <c r="C1936" s="944" t="s">
        <v>3223</v>
      </c>
      <c r="D1936" s="943" t="s">
        <v>2</v>
      </c>
      <c r="E1936" s="945">
        <v>85</v>
      </c>
      <c r="F1936" s="945">
        <v>1</v>
      </c>
      <c r="G1936" s="946">
        <v>8200</v>
      </c>
      <c r="H1936" s="946">
        <v>8295.5499999999993</v>
      </c>
    </row>
    <row r="1937" spans="1:9" s="26" customFormat="1">
      <c r="A1937" s="947" t="s">
        <v>81</v>
      </c>
      <c r="B1937" s="948">
        <v>823.6</v>
      </c>
      <c r="C1937" s="948" t="s">
        <v>544</v>
      </c>
      <c r="D1937" s="947" t="s">
        <v>22</v>
      </c>
      <c r="E1937" s="950">
        <v>3</v>
      </c>
      <c r="F1937" s="950">
        <v>1</v>
      </c>
      <c r="G1937" s="951">
        <v>30351.73</v>
      </c>
      <c r="H1937" s="951">
        <v>29977.15</v>
      </c>
      <c r="I1937" s="18"/>
    </row>
    <row r="1938" spans="1:9">
      <c r="A1938" s="943" t="s">
        <v>81</v>
      </c>
      <c r="B1938" s="944">
        <v>823.61</v>
      </c>
      <c r="C1938" s="944" t="s">
        <v>545</v>
      </c>
      <c r="D1938" s="943" t="s">
        <v>22</v>
      </c>
      <c r="E1938" s="945">
        <v>15</v>
      </c>
      <c r="F1938" s="945">
        <v>5</v>
      </c>
      <c r="G1938" s="946">
        <v>28000</v>
      </c>
      <c r="H1938" s="946">
        <v>27915.07</v>
      </c>
    </row>
    <row r="1939" spans="1:9" s="26" customFormat="1">
      <c r="A1939" s="947" t="s">
        <v>81</v>
      </c>
      <c r="B1939" s="948">
        <v>823.62</v>
      </c>
      <c r="C1939" s="948" t="s">
        <v>546</v>
      </c>
      <c r="D1939" s="947" t="s">
        <v>22</v>
      </c>
      <c r="E1939" s="950">
        <v>9</v>
      </c>
      <c r="F1939" s="950">
        <v>3</v>
      </c>
      <c r="G1939" s="951">
        <v>29000</v>
      </c>
      <c r="H1939" s="951">
        <v>28658.44</v>
      </c>
      <c r="I1939" s="18"/>
    </row>
    <row r="1940" spans="1:9">
      <c r="A1940" s="943" t="s">
        <v>81</v>
      </c>
      <c r="B1940" s="944">
        <v>823.7</v>
      </c>
      <c r="C1940" s="944" t="s">
        <v>547</v>
      </c>
      <c r="D1940" s="943" t="s">
        <v>2</v>
      </c>
      <c r="E1940" s="945">
        <v>135</v>
      </c>
      <c r="F1940" s="945">
        <v>4</v>
      </c>
      <c r="G1940" s="946">
        <v>4000</v>
      </c>
      <c r="H1940" s="946">
        <v>3544.18</v>
      </c>
    </row>
    <row r="1941" spans="1:9" s="26" customFormat="1">
      <c r="A1941" s="947" t="s">
        <v>81</v>
      </c>
      <c r="B1941" s="948">
        <v>823.71</v>
      </c>
      <c r="C1941" s="948" t="s">
        <v>548</v>
      </c>
      <c r="D1941" s="947" t="s">
        <v>2</v>
      </c>
      <c r="E1941" s="950">
        <v>394</v>
      </c>
      <c r="F1941" s="950">
        <v>4</v>
      </c>
      <c r="G1941" s="951">
        <v>666.76</v>
      </c>
      <c r="H1941" s="951">
        <v>809.69</v>
      </c>
      <c r="I1941" s="18"/>
    </row>
    <row r="1942" spans="1:9">
      <c r="A1942" s="943" t="s">
        <v>81</v>
      </c>
      <c r="B1942" s="944">
        <v>824.4</v>
      </c>
      <c r="C1942" s="944" t="s">
        <v>3290</v>
      </c>
      <c r="D1942" s="943" t="s">
        <v>22</v>
      </c>
      <c r="E1942" s="945">
        <v>4</v>
      </c>
      <c r="F1942" s="945">
        <v>1</v>
      </c>
      <c r="G1942" s="946">
        <v>9825</v>
      </c>
      <c r="H1942" s="946">
        <v>8912.5</v>
      </c>
    </row>
    <row r="1943" spans="1:9" s="26" customFormat="1">
      <c r="A1943" s="947" t="s">
        <v>81</v>
      </c>
      <c r="B1943" s="948">
        <v>824.5</v>
      </c>
      <c r="C1943" s="948" t="s">
        <v>3291</v>
      </c>
      <c r="D1943" s="947" t="s">
        <v>22</v>
      </c>
      <c r="E1943" s="950">
        <v>11</v>
      </c>
      <c r="F1943" s="950">
        <v>3</v>
      </c>
      <c r="G1943" s="951">
        <v>7000</v>
      </c>
      <c r="H1943" s="951">
        <v>5930.73</v>
      </c>
      <c r="I1943" s="18"/>
    </row>
    <row r="1944" spans="1:9">
      <c r="A1944" s="943" t="s">
        <v>81</v>
      </c>
      <c r="B1944" s="944">
        <v>824.51</v>
      </c>
      <c r="C1944" s="944" t="s">
        <v>550</v>
      </c>
      <c r="D1944" s="943" t="s">
        <v>22</v>
      </c>
      <c r="E1944" s="945">
        <v>19</v>
      </c>
      <c r="F1944" s="945">
        <v>5</v>
      </c>
      <c r="G1944" s="946">
        <v>4600</v>
      </c>
      <c r="H1944" s="946">
        <v>4480.78</v>
      </c>
    </row>
    <row r="1945" spans="1:9" s="26" customFormat="1">
      <c r="A1945" s="947" t="s">
        <v>81</v>
      </c>
      <c r="B1945" s="948">
        <v>824.6</v>
      </c>
      <c r="C1945" s="948" t="s">
        <v>3293</v>
      </c>
      <c r="D1945" s="947" t="s">
        <v>2</v>
      </c>
      <c r="E1945" s="950">
        <v>4</v>
      </c>
      <c r="F1945" s="950">
        <v>1</v>
      </c>
      <c r="G1945" s="951">
        <v>1500</v>
      </c>
      <c r="H1945" s="951">
        <v>1500</v>
      </c>
      <c r="I1945" s="18"/>
    </row>
    <row r="1946" spans="1:9">
      <c r="A1946" s="943" t="s">
        <v>81</v>
      </c>
      <c r="B1946" s="944">
        <v>826.51</v>
      </c>
      <c r="C1946" s="944" t="s">
        <v>3301</v>
      </c>
      <c r="D1946" s="943" t="s">
        <v>2</v>
      </c>
      <c r="E1946" s="945">
        <v>23</v>
      </c>
      <c r="F1946" s="945">
        <v>2</v>
      </c>
      <c r="G1946" s="946">
        <v>4400</v>
      </c>
      <c r="H1946" s="946">
        <v>3640</v>
      </c>
    </row>
    <row r="1947" spans="1:9" s="26" customFormat="1">
      <c r="A1947" s="947" t="s">
        <v>81</v>
      </c>
      <c r="B1947" s="948">
        <v>826.52</v>
      </c>
      <c r="C1947" s="948" t="s">
        <v>3302</v>
      </c>
      <c r="D1947" s="947" t="s">
        <v>2</v>
      </c>
      <c r="E1947" s="950">
        <v>6</v>
      </c>
      <c r="F1947" s="950">
        <v>1</v>
      </c>
      <c r="G1947" s="951">
        <v>1500</v>
      </c>
      <c r="H1947" s="951">
        <v>1566.67</v>
      </c>
      <c r="I1947" s="18"/>
    </row>
    <row r="1948" spans="1:9">
      <c r="A1948" s="943" t="s">
        <v>81</v>
      </c>
      <c r="B1948" s="944">
        <v>827.21</v>
      </c>
      <c r="C1948" s="944" t="s">
        <v>551</v>
      </c>
      <c r="D1948" s="943" t="s">
        <v>2</v>
      </c>
      <c r="E1948" s="945">
        <v>210</v>
      </c>
      <c r="F1948" s="945">
        <v>2</v>
      </c>
      <c r="G1948" s="946">
        <v>205</v>
      </c>
      <c r="H1948" s="946">
        <v>225</v>
      </c>
    </row>
    <row r="1949" spans="1:9" s="26" customFormat="1">
      <c r="A1949" s="947" t="s">
        <v>81</v>
      </c>
      <c r="B1949" s="948">
        <v>827.22</v>
      </c>
      <c r="C1949" s="948" t="s">
        <v>3307</v>
      </c>
      <c r="D1949" s="947" t="s">
        <v>2</v>
      </c>
      <c r="E1949" s="950">
        <v>779</v>
      </c>
      <c r="F1949" s="950">
        <v>3</v>
      </c>
      <c r="G1949" s="951">
        <v>300</v>
      </c>
      <c r="H1949" s="951">
        <v>298.88</v>
      </c>
      <c r="I1949" s="18"/>
    </row>
    <row r="1950" spans="1:9">
      <c r="A1950" s="943" t="s">
        <v>81</v>
      </c>
      <c r="B1950" s="944">
        <v>828.01</v>
      </c>
      <c r="C1950" s="944" t="s">
        <v>1521</v>
      </c>
      <c r="D1950" s="943" t="s">
        <v>3</v>
      </c>
      <c r="E1950" s="952">
        <v>1340</v>
      </c>
      <c r="F1950" s="945">
        <v>3</v>
      </c>
      <c r="G1950" s="946">
        <v>21.75</v>
      </c>
      <c r="H1950" s="946">
        <v>21.58</v>
      </c>
    </row>
    <row r="1951" spans="1:9" s="26" customFormat="1">
      <c r="A1951" s="947" t="s">
        <v>81</v>
      </c>
      <c r="B1951" s="948">
        <v>828.1</v>
      </c>
      <c r="C1951" s="948" t="s">
        <v>553</v>
      </c>
      <c r="D1951" s="947" t="s">
        <v>3</v>
      </c>
      <c r="E1951" s="954">
        <v>73015.5</v>
      </c>
      <c r="F1951" s="950">
        <v>7</v>
      </c>
      <c r="G1951" s="951">
        <v>30</v>
      </c>
      <c r="H1951" s="951">
        <v>30.43</v>
      </c>
      <c r="I1951" s="18"/>
    </row>
    <row r="1952" spans="1:9">
      <c r="A1952" s="943" t="s">
        <v>81</v>
      </c>
      <c r="B1952" s="944">
        <v>829</v>
      </c>
      <c r="C1952" s="944" t="s">
        <v>554</v>
      </c>
      <c r="D1952" s="943" t="s">
        <v>3</v>
      </c>
      <c r="E1952" s="952">
        <v>30592</v>
      </c>
      <c r="F1952" s="945">
        <v>11</v>
      </c>
      <c r="G1952" s="946">
        <v>30</v>
      </c>
      <c r="H1952" s="946">
        <v>32.08</v>
      </c>
    </row>
    <row r="1953" spans="1:9" s="26" customFormat="1">
      <c r="A1953" s="947" t="s">
        <v>81</v>
      </c>
      <c r="B1953" s="948">
        <v>831</v>
      </c>
      <c r="C1953" s="948" t="s">
        <v>555</v>
      </c>
      <c r="D1953" s="947" t="s">
        <v>3</v>
      </c>
      <c r="E1953" s="949">
        <v>8248</v>
      </c>
      <c r="F1953" s="950">
        <v>13</v>
      </c>
      <c r="G1953" s="951">
        <v>39.6</v>
      </c>
      <c r="H1953" s="951">
        <v>39.57</v>
      </c>
      <c r="I1953" s="18"/>
    </row>
    <row r="1954" spans="1:9">
      <c r="A1954" s="943" t="s">
        <v>81</v>
      </c>
      <c r="B1954" s="944">
        <v>832</v>
      </c>
      <c r="C1954" s="944" t="s">
        <v>556</v>
      </c>
      <c r="D1954" s="943" t="s">
        <v>3</v>
      </c>
      <c r="E1954" s="952">
        <v>129983</v>
      </c>
      <c r="F1954" s="945">
        <v>70</v>
      </c>
      <c r="G1954" s="946">
        <v>16</v>
      </c>
      <c r="H1954" s="946">
        <v>16.11</v>
      </c>
    </row>
    <row r="1955" spans="1:9" s="26" customFormat="1">
      <c r="A1955" s="947" t="s">
        <v>81</v>
      </c>
      <c r="B1955" s="948">
        <v>833.5</v>
      </c>
      <c r="C1955" s="948" t="s">
        <v>557</v>
      </c>
      <c r="D1955" s="947" t="s">
        <v>2</v>
      </c>
      <c r="E1955" s="949">
        <v>8389</v>
      </c>
      <c r="F1955" s="950">
        <v>11</v>
      </c>
      <c r="G1955" s="951">
        <v>9</v>
      </c>
      <c r="H1955" s="951">
        <v>9.17</v>
      </c>
      <c r="I1955" s="18"/>
    </row>
    <row r="1956" spans="1:9">
      <c r="A1956" s="943" t="s">
        <v>81</v>
      </c>
      <c r="B1956" s="944">
        <v>833.7</v>
      </c>
      <c r="C1956" s="944" t="s">
        <v>558</v>
      </c>
      <c r="D1956" s="943" t="s">
        <v>2</v>
      </c>
      <c r="E1956" s="952">
        <v>3310</v>
      </c>
      <c r="F1956" s="945">
        <v>31</v>
      </c>
      <c r="G1956" s="946">
        <v>90</v>
      </c>
      <c r="H1956" s="946">
        <v>85.53</v>
      </c>
    </row>
    <row r="1957" spans="1:9" s="26" customFormat="1">
      <c r="A1957" s="947" t="s">
        <v>81</v>
      </c>
      <c r="B1957" s="948">
        <v>834</v>
      </c>
      <c r="C1957" s="948" t="s">
        <v>559</v>
      </c>
      <c r="D1957" s="947" t="s">
        <v>2</v>
      </c>
      <c r="E1957" s="950">
        <v>300</v>
      </c>
      <c r="F1957" s="950">
        <v>7</v>
      </c>
      <c r="G1957" s="951">
        <v>280</v>
      </c>
      <c r="H1957" s="951">
        <v>270.08</v>
      </c>
      <c r="I1957" s="18"/>
    </row>
    <row r="1958" spans="1:9">
      <c r="A1958" s="943" t="s">
        <v>81</v>
      </c>
      <c r="B1958" s="944">
        <v>834.17</v>
      </c>
      <c r="C1958" s="944" t="s">
        <v>560</v>
      </c>
      <c r="D1958" s="943" t="s">
        <v>2</v>
      </c>
      <c r="E1958" s="952">
        <v>3869</v>
      </c>
      <c r="F1958" s="945">
        <v>11</v>
      </c>
      <c r="G1958" s="946">
        <v>72.5</v>
      </c>
      <c r="H1958" s="946">
        <v>67.989999999999995</v>
      </c>
    </row>
    <row r="1959" spans="1:9" s="26" customFormat="1">
      <c r="A1959" s="947" t="s">
        <v>81</v>
      </c>
      <c r="B1959" s="948">
        <v>834.18</v>
      </c>
      <c r="C1959" s="948" t="s">
        <v>561</v>
      </c>
      <c r="D1959" s="947" t="s">
        <v>2</v>
      </c>
      <c r="E1959" s="949">
        <v>5982</v>
      </c>
      <c r="F1959" s="950">
        <v>9</v>
      </c>
      <c r="G1959" s="951">
        <v>65</v>
      </c>
      <c r="H1959" s="951">
        <v>66.06</v>
      </c>
      <c r="I1959" s="18"/>
    </row>
    <row r="1960" spans="1:9">
      <c r="A1960" s="943" t="s">
        <v>81</v>
      </c>
      <c r="B1960" s="944">
        <v>836.5</v>
      </c>
      <c r="C1960" s="944" t="s">
        <v>562</v>
      </c>
      <c r="D1960" s="943" t="s">
        <v>2</v>
      </c>
      <c r="E1960" s="945">
        <v>470</v>
      </c>
      <c r="F1960" s="945">
        <v>5</v>
      </c>
      <c r="G1960" s="946">
        <v>60</v>
      </c>
      <c r="H1960" s="946">
        <v>77.5</v>
      </c>
    </row>
    <row r="1961" spans="1:9" s="26" customFormat="1">
      <c r="A1961" s="947" t="s">
        <v>81</v>
      </c>
      <c r="B1961" s="948">
        <v>840.101</v>
      </c>
      <c r="C1961" s="948" t="s">
        <v>1446</v>
      </c>
      <c r="D1961" s="947" t="s">
        <v>22</v>
      </c>
      <c r="E1961" s="950">
        <v>6</v>
      </c>
      <c r="F1961" s="950">
        <v>3</v>
      </c>
      <c r="G1961" s="951">
        <v>107350</v>
      </c>
      <c r="H1961" s="951">
        <v>104341.67</v>
      </c>
      <c r="I1961" s="18"/>
    </row>
    <row r="1962" spans="1:9">
      <c r="A1962" s="943" t="s">
        <v>81</v>
      </c>
      <c r="B1962" s="944">
        <v>840.10199999999998</v>
      </c>
      <c r="C1962" s="944" t="s">
        <v>563</v>
      </c>
      <c r="D1962" s="943" t="s">
        <v>22</v>
      </c>
      <c r="E1962" s="945">
        <v>6</v>
      </c>
      <c r="F1962" s="945">
        <v>3</v>
      </c>
      <c r="G1962" s="946">
        <v>107250</v>
      </c>
      <c r="H1962" s="946">
        <v>104116.67</v>
      </c>
    </row>
    <row r="1963" spans="1:9" s="26" customFormat="1">
      <c r="A1963" s="947" t="s">
        <v>81</v>
      </c>
      <c r="B1963" s="948">
        <v>840.10299999999995</v>
      </c>
      <c r="C1963" s="948" t="s">
        <v>564</v>
      </c>
      <c r="D1963" s="947" t="s">
        <v>22</v>
      </c>
      <c r="E1963" s="950">
        <v>4</v>
      </c>
      <c r="F1963" s="950">
        <v>2</v>
      </c>
      <c r="G1963" s="951">
        <v>70100</v>
      </c>
      <c r="H1963" s="951">
        <v>69900</v>
      </c>
      <c r="I1963" s="18"/>
    </row>
    <row r="1964" spans="1:9">
      <c r="A1964" s="943" t="s">
        <v>81</v>
      </c>
      <c r="B1964" s="944">
        <v>840.10400000000004</v>
      </c>
      <c r="C1964" s="944" t="s">
        <v>565</v>
      </c>
      <c r="D1964" s="943" t="s">
        <v>22</v>
      </c>
      <c r="E1964" s="945">
        <v>4</v>
      </c>
      <c r="F1964" s="945">
        <v>2</v>
      </c>
      <c r="G1964" s="946">
        <v>74000</v>
      </c>
      <c r="H1964" s="946">
        <v>71950</v>
      </c>
    </row>
    <row r="1965" spans="1:9" s="26" customFormat="1">
      <c r="A1965" s="947" t="s">
        <v>81</v>
      </c>
      <c r="B1965" s="948">
        <v>840.10500000000002</v>
      </c>
      <c r="C1965" s="948" t="s">
        <v>1447</v>
      </c>
      <c r="D1965" s="947" t="s">
        <v>22</v>
      </c>
      <c r="E1965" s="950">
        <v>2</v>
      </c>
      <c r="F1965" s="950">
        <v>1</v>
      </c>
      <c r="G1965" s="951">
        <v>68450</v>
      </c>
      <c r="H1965" s="951">
        <v>68450</v>
      </c>
      <c r="I1965" s="18"/>
    </row>
    <row r="1966" spans="1:9">
      <c r="A1966" s="943" t="s">
        <v>81</v>
      </c>
      <c r="B1966" s="944">
        <v>840.10599999999999</v>
      </c>
      <c r="C1966" s="944" t="s">
        <v>1448</v>
      </c>
      <c r="D1966" s="943" t="s">
        <v>22</v>
      </c>
      <c r="E1966" s="945">
        <v>2</v>
      </c>
      <c r="F1966" s="945">
        <v>1</v>
      </c>
      <c r="G1966" s="946">
        <v>68450</v>
      </c>
      <c r="H1966" s="946">
        <v>68450</v>
      </c>
    </row>
    <row r="1967" spans="1:9" s="26" customFormat="1">
      <c r="A1967" s="947" t="s">
        <v>81</v>
      </c>
      <c r="B1967" s="948">
        <v>840.10699999999997</v>
      </c>
      <c r="C1967" s="948" t="s">
        <v>1449</v>
      </c>
      <c r="D1967" s="947" t="s">
        <v>22</v>
      </c>
      <c r="E1967" s="950">
        <v>2</v>
      </c>
      <c r="F1967" s="950">
        <v>1</v>
      </c>
      <c r="G1967" s="951">
        <v>63450</v>
      </c>
      <c r="H1967" s="951">
        <v>63450</v>
      </c>
      <c r="I1967" s="18"/>
    </row>
    <row r="1968" spans="1:9">
      <c r="A1968" s="943" t="s">
        <v>81</v>
      </c>
      <c r="B1968" s="944">
        <v>840.10799999999995</v>
      </c>
      <c r="C1968" s="944" t="s">
        <v>1450</v>
      </c>
      <c r="D1968" s="943" t="s">
        <v>22</v>
      </c>
      <c r="E1968" s="945">
        <v>4</v>
      </c>
      <c r="F1968" s="945">
        <v>2</v>
      </c>
      <c r="G1968" s="946">
        <v>68450</v>
      </c>
      <c r="H1968" s="946">
        <v>71675</v>
      </c>
    </row>
    <row r="1969" spans="1:9" s="26" customFormat="1">
      <c r="A1969" s="947" t="s">
        <v>81</v>
      </c>
      <c r="B1969" s="948">
        <v>840.10900000000004</v>
      </c>
      <c r="C1969" s="948" t="s">
        <v>1451</v>
      </c>
      <c r="D1969" s="947" t="s">
        <v>22</v>
      </c>
      <c r="E1969" s="950">
        <v>4</v>
      </c>
      <c r="F1969" s="950">
        <v>2</v>
      </c>
      <c r="G1969" s="951">
        <v>68450</v>
      </c>
      <c r="H1969" s="951">
        <v>71675</v>
      </c>
      <c r="I1969" s="18"/>
    </row>
    <row r="1970" spans="1:9">
      <c r="A1970" s="943" t="s">
        <v>81</v>
      </c>
      <c r="B1970" s="944">
        <v>840.11</v>
      </c>
      <c r="C1970" s="944" t="s">
        <v>1452</v>
      </c>
      <c r="D1970" s="943" t="s">
        <v>22</v>
      </c>
      <c r="E1970" s="945">
        <v>4</v>
      </c>
      <c r="F1970" s="945">
        <v>2</v>
      </c>
      <c r="G1970" s="946">
        <v>76000</v>
      </c>
      <c r="H1970" s="946">
        <v>73175</v>
      </c>
    </row>
    <row r="1971" spans="1:9" s="26" customFormat="1">
      <c r="A1971" s="947">
        <v>4</v>
      </c>
      <c r="B1971" s="948">
        <v>790.71900000000005</v>
      </c>
      <c r="C1971" s="948" t="s">
        <v>4009</v>
      </c>
      <c r="D1971" s="947" t="s">
        <v>2</v>
      </c>
      <c r="E1971" s="950">
        <v>30</v>
      </c>
      <c r="F1971" s="950">
        <v>1</v>
      </c>
      <c r="G1971" s="951">
        <v>92.94</v>
      </c>
      <c r="H1971" s="951">
        <v>97.65</v>
      </c>
      <c r="I1971" s="18"/>
    </row>
    <row r="1972" spans="1:9">
      <c r="A1972" s="943">
        <v>4</v>
      </c>
      <c r="B1972" s="944">
        <v>794.33100000000002</v>
      </c>
      <c r="C1972" s="944" t="s">
        <v>4061</v>
      </c>
      <c r="D1972" s="943" t="s">
        <v>2</v>
      </c>
      <c r="E1972" s="945">
        <v>96</v>
      </c>
      <c r="F1972" s="945">
        <v>1</v>
      </c>
      <c r="G1972" s="946">
        <v>110</v>
      </c>
      <c r="H1972" s="946">
        <v>115</v>
      </c>
    </row>
    <row r="1973" spans="1:9" s="26" customFormat="1">
      <c r="A1973" s="947">
        <v>4</v>
      </c>
      <c r="B1973" s="948">
        <v>795.18899999999996</v>
      </c>
      <c r="C1973" s="948" t="s">
        <v>4064</v>
      </c>
      <c r="D1973" s="947" t="s">
        <v>2</v>
      </c>
      <c r="E1973" s="950">
        <v>32</v>
      </c>
      <c r="F1973" s="950">
        <v>1</v>
      </c>
      <c r="G1973" s="951">
        <v>95</v>
      </c>
      <c r="H1973" s="951">
        <v>95</v>
      </c>
      <c r="I1973" s="18"/>
    </row>
    <row r="1974" spans="1:9">
      <c r="A1974" s="943">
        <v>4</v>
      </c>
      <c r="B1974" s="944">
        <v>801.32</v>
      </c>
      <c r="C1974" s="944" t="s">
        <v>483</v>
      </c>
      <c r="D1974" s="943" t="s">
        <v>17</v>
      </c>
      <c r="E1974" s="945">
        <v>630</v>
      </c>
      <c r="F1974" s="945">
        <v>1</v>
      </c>
      <c r="G1974" s="946">
        <v>125</v>
      </c>
      <c r="H1974" s="946">
        <v>128.97</v>
      </c>
    </row>
    <row r="1975" spans="1:9" s="26" customFormat="1">
      <c r="A1975" s="947">
        <v>4</v>
      </c>
      <c r="B1975" s="948">
        <v>801.34</v>
      </c>
      <c r="C1975" s="948" t="s">
        <v>1510</v>
      </c>
      <c r="D1975" s="947" t="s">
        <v>17</v>
      </c>
      <c r="E1975" s="950">
        <v>960</v>
      </c>
      <c r="F1975" s="950">
        <v>1</v>
      </c>
      <c r="G1975" s="951">
        <v>180</v>
      </c>
      <c r="H1975" s="951">
        <v>175</v>
      </c>
      <c r="I1975" s="18"/>
    </row>
    <row r="1976" spans="1:9">
      <c r="A1976" s="943">
        <v>4</v>
      </c>
      <c r="B1976" s="944">
        <v>801.42</v>
      </c>
      <c r="C1976" s="944" t="s">
        <v>484</v>
      </c>
      <c r="D1976" s="943" t="s">
        <v>17</v>
      </c>
      <c r="E1976" s="952">
        <v>1240</v>
      </c>
      <c r="F1976" s="945">
        <v>2</v>
      </c>
      <c r="G1976" s="946">
        <v>115</v>
      </c>
      <c r="H1976" s="946">
        <v>116.25</v>
      </c>
    </row>
    <row r="1977" spans="1:9" s="26" customFormat="1">
      <c r="A1977" s="947">
        <v>4</v>
      </c>
      <c r="B1977" s="948">
        <v>801.46</v>
      </c>
      <c r="C1977" s="948" t="s">
        <v>1512</v>
      </c>
      <c r="D1977" s="947" t="s">
        <v>17</v>
      </c>
      <c r="E1977" s="950">
        <v>960</v>
      </c>
      <c r="F1977" s="950">
        <v>1</v>
      </c>
      <c r="G1977" s="951">
        <v>240</v>
      </c>
      <c r="H1977" s="951">
        <v>263.33</v>
      </c>
      <c r="I1977" s="18"/>
    </row>
    <row r="1978" spans="1:9">
      <c r="A1978" s="943">
        <v>4</v>
      </c>
      <c r="B1978" s="944">
        <v>804.1</v>
      </c>
      <c r="C1978" s="944" t="s">
        <v>486</v>
      </c>
      <c r="D1978" s="943" t="s">
        <v>17</v>
      </c>
      <c r="E1978" s="952">
        <v>1900</v>
      </c>
      <c r="F1978" s="945">
        <v>2</v>
      </c>
      <c r="G1978" s="946">
        <v>50</v>
      </c>
      <c r="H1978" s="946">
        <v>49.75</v>
      </c>
    </row>
    <row r="1979" spans="1:9" s="26" customFormat="1">
      <c r="A1979" s="947">
        <v>4</v>
      </c>
      <c r="B1979" s="948">
        <v>804.2</v>
      </c>
      <c r="C1979" s="948" t="s">
        <v>487</v>
      </c>
      <c r="D1979" s="947" t="s">
        <v>17</v>
      </c>
      <c r="E1979" s="949">
        <v>9000</v>
      </c>
      <c r="F1979" s="950">
        <v>2</v>
      </c>
      <c r="G1979" s="951">
        <v>50</v>
      </c>
      <c r="H1979" s="951">
        <v>39.630000000000003</v>
      </c>
      <c r="I1979" s="18"/>
    </row>
    <row r="1980" spans="1:9">
      <c r="A1980" s="943">
        <v>4</v>
      </c>
      <c r="B1980" s="944">
        <v>804.3</v>
      </c>
      <c r="C1980" s="944" t="s">
        <v>488</v>
      </c>
      <c r="D1980" s="943" t="s">
        <v>17</v>
      </c>
      <c r="E1980" s="952">
        <v>63800</v>
      </c>
      <c r="F1980" s="945">
        <v>11</v>
      </c>
      <c r="G1980" s="946">
        <v>88</v>
      </c>
      <c r="H1980" s="946">
        <v>89.31</v>
      </c>
    </row>
    <row r="1981" spans="1:9" s="26" customFormat="1">
      <c r="A1981" s="947">
        <v>4</v>
      </c>
      <c r="B1981" s="948">
        <v>806.2</v>
      </c>
      <c r="C1981" s="948" t="s">
        <v>490</v>
      </c>
      <c r="D1981" s="947" t="s">
        <v>17</v>
      </c>
      <c r="E1981" s="950">
        <v>320</v>
      </c>
      <c r="F1981" s="950">
        <v>1</v>
      </c>
      <c r="G1981" s="951">
        <v>157.5</v>
      </c>
      <c r="H1981" s="951">
        <v>152.5</v>
      </c>
      <c r="I1981" s="18"/>
    </row>
    <row r="1982" spans="1:9">
      <c r="A1982" s="943">
        <v>4</v>
      </c>
      <c r="B1982" s="944">
        <v>806.4</v>
      </c>
      <c r="C1982" s="944" t="s">
        <v>492</v>
      </c>
      <c r="D1982" s="943" t="s">
        <v>17</v>
      </c>
      <c r="E1982" s="952">
        <v>7520</v>
      </c>
      <c r="F1982" s="945">
        <v>1</v>
      </c>
      <c r="G1982" s="946">
        <v>154</v>
      </c>
      <c r="H1982" s="946">
        <v>169.5</v>
      </c>
    </row>
    <row r="1983" spans="1:9" s="26" customFormat="1">
      <c r="A1983" s="947">
        <v>4</v>
      </c>
      <c r="B1983" s="948">
        <v>811.22</v>
      </c>
      <c r="C1983" s="948" t="s">
        <v>496</v>
      </c>
      <c r="D1983" s="947" t="s">
        <v>2</v>
      </c>
      <c r="E1983" s="950">
        <v>654</v>
      </c>
      <c r="F1983" s="950">
        <v>10</v>
      </c>
      <c r="G1983" s="951">
        <v>1850</v>
      </c>
      <c r="H1983" s="951">
        <v>1926.02</v>
      </c>
      <c r="I1983" s="18"/>
    </row>
    <row r="1984" spans="1:9">
      <c r="A1984" s="943">
        <v>4</v>
      </c>
      <c r="B1984" s="944">
        <v>811.23</v>
      </c>
      <c r="C1984" s="944" t="s">
        <v>497</v>
      </c>
      <c r="D1984" s="943" t="s">
        <v>2</v>
      </c>
      <c r="E1984" s="945">
        <v>12</v>
      </c>
      <c r="F1984" s="945">
        <v>2</v>
      </c>
      <c r="G1984" s="946">
        <v>3000</v>
      </c>
      <c r="H1984" s="946">
        <v>3050</v>
      </c>
    </row>
    <row r="1985" spans="1:9" s="26" customFormat="1">
      <c r="A1985" s="947">
        <v>4</v>
      </c>
      <c r="B1985" s="948">
        <v>811.3</v>
      </c>
      <c r="C1985" s="948" t="s">
        <v>500</v>
      </c>
      <c r="D1985" s="947" t="s">
        <v>2</v>
      </c>
      <c r="E1985" s="950">
        <v>9</v>
      </c>
      <c r="F1985" s="950">
        <v>1</v>
      </c>
      <c r="G1985" s="951">
        <v>100</v>
      </c>
      <c r="H1985" s="951">
        <v>83.33</v>
      </c>
      <c r="I1985" s="18"/>
    </row>
    <row r="1986" spans="1:9">
      <c r="A1986" s="943">
        <v>4</v>
      </c>
      <c r="B1986" s="944">
        <v>811.31</v>
      </c>
      <c r="C1986" s="944" t="s">
        <v>501</v>
      </c>
      <c r="D1986" s="943" t="s">
        <v>2</v>
      </c>
      <c r="E1986" s="945">
        <v>497</v>
      </c>
      <c r="F1986" s="945">
        <v>10</v>
      </c>
      <c r="G1986" s="946">
        <v>1400</v>
      </c>
      <c r="H1986" s="946">
        <v>1335</v>
      </c>
    </row>
    <row r="1987" spans="1:9" s="26" customFormat="1">
      <c r="A1987" s="947">
        <v>4</v>
      </c>
      <c r="B1987" s="948">
        <v>811.35</v>
      </c>
      <c r="C1987" s="948" t="s">
        <v>502</v>
      </c>
      <c r="D1987" s="947" t="s">
        <v>2</v>
      </c>
      <c r="E1987" s="950">
        <v>6</v>
      </c>
      <c r="F1987" s="950">
        <v>1</v>
      </c>
      <c r="G1987" s="951">
        <v>425</v>
      </c>
      <c r="H1987" s="951">
        <v>383.33</v>
      </c>
      <c r="I1987" s="18"/>
    </row>
    <row r="1988" spans="1:9">
      <c r="A1988" s="943">
        <v>4</v>
      </c>
      <c r="B1988" s="944">
        <v>811.36</v>
      </c>
      <c r="C1988" s="944" t="s">
        <v>503</v>
      </c>
      <c r="D1988" s="943" t="s">
        <v>2</v>
      </c>
      <c r="E1988" s="945">
        <v>12</v>
      </c>
      <c r="F1988" s="945">
        <v>1</v>
      </c>
      <c r="G1988" s="946">
        <v>690</v>
      </c>
      <c r="H1988" s="946">
        <v>681.67</v>
      </c>
    </row>
    <row r="1989" spans="1:9" s="26" customFormat="1">
      <c r="A1989" s="947">
        <v>4</v>
      </c>
      <c r="B1989" s="948">
        <v>811.37</v>
      </c>
      <c r="C1989" s="948" t="s">
        <v>504</v>
      </c>
      <c r="D1989" s="947" t="s">
        <v>2</v>
      </c>
      <c r="E1989" s="950">
        <v>200</v>
      </c>
      <c r="F1989" s="950">
        <v>3</v>
      </c>
      <c r="G1989" s="951">
        <v>400</v>
      </c>
      <c r="H1989" s="951">
        <v>368.75</v>
      </c>
      <c r="I1989" s="18"/>
    </row>
    <row r="1990" spans="1:9">
      <c r="A1990" s="943">
        <v>4</v>
      </c>
      <c r="B1990" s="944">
        <v>811.38</v>
      </c>
      <c r="C1990" s="944" t="s">
        <v>3090</v>
      </c>
      <c r="D1990" s="943" t="s">
        <v>2</v>
      </c>
      <c r="E1990" s="945">
        <v>33</v>
      </c>
      <c r="F1990" s="945">
        <v>1</v>
      </c>
      <c r="G1990" s="946">
        <v>1372.5</v>
      </c>
      <c r="H1990" s="946">
        <v>1165</v>
      </c>
    </row>
    <row r="1991" spans="1:9" s="26" customFormat="1">
      <c r="A1991" s="947">
        <v>4</v>
      </c>
      <c r="B1991" s="948">
        <v>811.39</v>
      </c>
      <c r="C1991" s="948" t="s">
        <v>505</v>
      </c>
      <c r="D1991" s="947" t="s">
        <v>2</v>
      </c>
      <c r="E1991" s="950">
        <v>3</v>
      </c>
      <c r="F1991" s="950">
        <v>1</v>
      </c>
      <c r="G1991" s="951">
        <v>250</v>
      </c>
      <c r="H1991" s="951">
        <v>250</v>
      </c>
      <c r="I1991" s="18"/>
    </row>
    <row r="1992" spans="1:9">
      <c r="A1992" s="943">
        <v>4</v>
      </c>
      <c r="B1992" s="944">
        <v>811.87</v>
      </c>
      <c r="C1992" s="944" t="s">
        <v>4066</v>
      </c>
      <c r="D1992" s="943" t="s">
        <v>2</v>
      </c>
      <c r="E1992" s="945">
        <v>8</v>
      </c>
      <c r="F1992" s="945">
        <v>1</v>
      </c>
      <c r="G1992" s="946">
        <v>2500</v>
      </c>
      <c r="H1992" s="946">
        <v>2100</v>
      </c>
    </row>
    <row r="1993" spans="1:9" s="26" customFormat="1">
      <c r="A1993" s="947">
        <v>4</v>
      </c>
      <c r="B1993" s="948">
        <v>812.1</v>
      </c>
      <c r="C1993" s="948" t="s">
        <v>507</v>
      </c>
      <c r="D1993" s="947" t="s">
        <v>2</v>
      </c>
      <c r="E1993" s="950">
        <v>90</v>
      </c>
      <c r="F1993" s="950">
        <v>1</v>
      </c>
      <c r="G1993" s="951">
        <v>3200</v>
      </c>
      <c r="H1993" s="951">
        <v>3137</v>
      </c>
      <c r="I1993" s="18"/>
    </row>
    <row r="1994" spans="1:9">
      <c r="A1994" s="943">
        <v>4</v>
      </c>
      <c r="B1994" s="944">
        <v>812.14</v>
      </c>
      <c r="C1994" s="944" t="s">
        <v>1443</v>
      </c>
      <c r="D1994" s="943" t="s">
        <v>2</v>
      </c>
      <c r="E1994" s="945">
        <v>186</v>
      </c>
      <c r="F1994" s="945">
        <v>1</v>
      </c>
      <c r="G1994" s="946">
        <v>5006.5</v>
      </c>
      <c r="H1994" s="946">
        <v>5002.17</v>
      </c>
    </row>
    <row r="1995" spans="1:9" s="26" customFormat="1">
      <c r="A1995" s="947">
        <v>4</v>
      </c>
      <c r="B1995" s="948">
        <v>813.3</v>
      </c>
      <c r="C1995" s="948" t="s">
        <v>511</v>
      </c>
      <c r="D1995" s="947" t="s">
        <v>17</v>
      </c>
      <c r="E1995" s="949">
        <v>27700</v>
      </c>
      <c r="F1995" s="950">
        <v>1</v>
      </c>
      <c r="G1995" s="951">
        <v>1.8</v>
      </c>
      <c r="H1995" s="951">
        <v>1.79</v>
      </c>
      <c r="I1995" s="18"/>
    </row>
    <row r="1996" spans="1:9">
      <c r="A1996" s="943">
        <v>4</v>
      </c>
      <c r="B1996" s="944">
        <v>813.32</v>
      </c>
      <c r="C1996" s="944" t="s">
        <v>513</v>
      </c>
      <c r="D1996" s="943" t="s">
        <v>17</v>
      </c>
      <c r="E1996" s="952">
        <v>78000</v>
      </c>
      <c r="F1996" s="945">
        <v>1</v>
      </c>
      <c r="G1996" s="946">
        <v>3</v>
      </c>
      <c r="H1996" s="946">
        <v>2.97</v>
      </c>
    </row>
    <row r="1997" spans="1:9" s="26" customFormat="1">
      <c r="A1997" s="947">
        <v>4</v>
      </c>
      <c r="B1997" s="948">
        <v>813.4</v>
      </c>
      <c r="C1997" s="948" t="s">
        <v>64</v>
      </c>
      <c r="D1997" s="947" t="s">
        <v>17</v>
      </c>
      <c r="E1997" s="949">
        <v>58500</v>
      </c>
      <c r="F1997" s="950">
        <v>1</v>
      </c>
      <c r="G1997" s="951">
        <v>2</v>
      </c>
      <c r="H1997" s="951">
        <v>1.96</v>
      </c>
      <c r="I1997" s="18"/>
    </row>
    <row r="1998" spans="1:9">
      <c r="A1998" s="943">
        <v>4</v>
      </c>
      <c r="B1998" s="944">
        <v>813.42</v>
      </c>
      <c r="C1998" s="944" t="s">
        <v>519</v>
      </c>
      <c r="D1998" s="943" t="s">
        <v>17</v>
      </c>
      <c r="E1998" s="952">
        <v>3200</v>
      </c>
      <c r="F1998" s="945">
        <v>1</v>
      </c>
      <c r="G1998" s="946">
        <v>3</v>
      </c>
      <c r="H1998" s="946">
        <v>2.63</v>
      </c>
    </row>
    <row r="1999" spans="1:9" s="26" customFormat="1">
      <c r="A1999" s="947">
        <v>4</v>
      </c>
      <c r="B1999" s="948">
        <v>813.52</v>
      </c>
      <c r="C1999" s="948" t="s">
        <v>521</v>
      </c>
      <c r="D1999" s="947" t="s">
        <v>17</v>
      </c>
      <c r="E1999" s="949">
        <v>6000</v>
      </c>
      <c r="F1999" s="950">
        <v>1</v>
      </c>
      <c r="G1999" s="951">
        <v>3</v>
      </c>
      <c r="H1999" s="951">
        <v>3.17</v>
      </c>
      <c r="I1999" s="18"/>
    </row>
    <row r="2000" spans="1:9">
      <c r="A2000" s="943">
        <v>4</v>
      </c>
      <c r="B2000" s="944">
        <v>813.53</v>
      </c>
      <c r="C2000" s="944" t="s">
        <v>3132</v>
      </c>
      <c r="D2000" s="943" t="s">
        <v>17</v>
      </c>
      <c r="E2000" s="952">
        <v>4000</v>
      </c>
      <c r="F2000" s="945">
        <v>1</v>
      </c>
      <c r="G2000" s="946">
        <v>3</v>
      </c>
      <c r="H2000" s="946">
        <v>3.75</v>
      </c>
    </row>
    <row r="2001" spans="1:9" s="26" customFormat="1">
      <c r="A2001" s="947">
        <v>4</v>
      </c>
      <c r="B2001" s="948">
        <v>813.79</v>
      </c>
      <c r="C2001" s="948" t="s">
        <v>524</v>
      </c>
      <c r="D2001" s="947" t="s">
        <v>22</v>
      </c>
      <c r="E2001" s="950">
        <v>5</v>
      </c>
      <c r="F2001" s="950">
        <v>1</v>
      </c>
      <c r="G2001" s="951">
        <v>15000</v>
      </c>
      <c r="H2001" s="951">
        <v>14880</v>
      </c>
      <c r="I2001" s="18"/>
    </row>
    <row r="2002" spans="1:9">
      <c r="A2002" s="943">
        <v>4</v>
      </c>
      <c r="B2002" s="944">
        <v>815.1</v>
      </c>
      <c r="C2002" s="944" t="s">
        <v>526</v>
      </c>
      <c r="D2002" s="943" t="s">
        <v>22</v>
      </c>
      <c r="E2002" s="945">
        <v>16</v>
      </c>
      <c r="F2002" s="945">
        <v>4</v>
      </c>
      <c r="G2002" s="946">
        <v>287115</v>
      </c>
      <c r="H2002" s="946">
        <v>259920.63</v>
      </c>
    </row>
    <row r="2003" spans="1:9" s="26" customFormat="1">
      <c r="A2003" s="947">
        <v>4</v>
      </c>
      <c r="B2003" s="948">
        <v>815.2</v>
      </c>
      <c r="C2003" s="948" t="s">
        <v>527</v>
      </c>
      <c r="D2003" s="947" t="s">
        <v>22</v>
      </c>
      <c r="E2003" s="950">
        <v>12</v>
      </c>
      <c r="F2003" s="950">
        <v>2</v>
      </c>
      <c r="G2003" s="951">
        <v>336000</v>
      </c>
      <c r="H2003" s="951">
        <v>365420.83</v>
      </c>
      <c r="I2003" s="18"/>
    </row>
    <row r="2004" spans="1:9">
      <c r="A2004" s="943">
        <v>4</v>
      </c>
      <c r="B2004" s="944">
        <v>816.01</v>
      </c>
      <c r="C2004" s="944" t="s">
        <v>531</v>
      </c>
      <c r="D2004" s="943" t="s">
        <v>22</v>
      </c>
      <c r="E2004" s="945">
        <v>4</v>
      </c>
      <c r="F2004" s="945">
        <v>2</v>
      </c>
      <c r="G2004" s="946">
        <v>127200</v>
      </c>
      <c r="H2004" s="946">
        <v>98050</v>
      </c>
    </row>
    <row r="2005" spans="1:9" s="26" customFormat="1">
      <c r="A2005" s="947">
        <v>4</v>
      </c>
      <c r="B2005" s="948">
        <v>816.02</v>
      </c>
      <c r="C2005" s="948" t="s">
        <v>532</v>
      </c>
      <c r="D2005" s="947" t="s">
        <v>22</v>
      </c>
      <c r="E2005" s="950">
        <v>12</v>
      </c>
      <c r="F2005" s="950">
        <v>3</v>
      </c>
      <c r="G2005" s="951">
        <v>272500</v>
      </c>
      <c r="H2005" s="951">
        <v>302279.92</v>
      </c>
      <c r="I2005" s="18"/>
    </row>
    <row r="2006" spans="1:9">
      <c r="A2006" s="943">
        <v>4</v>
      </c>
      <c r="B2006" s="944">
        <v>816.03</v>
      </c>
      <c r="C2006" s="944" t="s">
        <v>533</v>
      </c>
      <c r="D2006" s="943" t="s">
        <v>22</v>
      </c>
      <c r="E2006" s="945">
        <v>11</v>
      </c>
      <c r="F2006" s="945">
        <v>3</v>
      </c>
      <c r="G2006" s="946">
        <v>255000</v>
      </c>
      <c r="H2006" s="946">
        <v>280813.90999999997</v>
      </c>
    </row>
    <row r="2007" spans="1:9" s="26" customFormat="1">
      <c r="A2007" s="947">
        <v>4</v>
      </c>
      <c r="B2007" s="948">
        <v>816.8</v>
      </c>
      <c r="C2007" s="948" t="s">
        <v>534</v>
      </c>
      <c r="D2007" s="947" t="s">
        <v>22</v>
      </c>
      <c r="E2007" s="950">
        <v>2</v>
      </c>
      <c r="F2007" s="950">
        <v>1</v>
      </c>
      <c r="G2007" s="951">
        <v>19750</v>
      </c>
      <c r="H2007" s="951">
        <v>19750</v>
      </c>
      <c r="I2007" s="18"/>
    </row>
    <row r="2008" spans="1:9">
      <c r="A2008" s="943">
        <v>4</v>
      </c>
      <c r="B2008" s="944">
        <v>816.81</v>
      </c>
      <c r="C2008" s="944" t="s">
        <v>535</v>
      </c>
      <c r="D2008" s="943" t="s">
        <v>22</v>
      </c>
      <c r="E2008" s="945">
        <v>5</v>
      </c>
      <c r="F2008" s="945">
        <v>2</v>
      </c>
      <c r="G2008" s="946">
        <v>185000</v>
      </c>
      <c r="H2008" s="946">
        <v>179000</v>
      </c>
    </row>
    <row r="2009" spans="1:9" s="26" customFormat="1">
      <c r="A2009" s="947">
        <v>4</v>
      </c>
      <c r="B2009" s="948">
        <v>817.1</v>
      </c>
      <c r="C2009" s="948" t="s">
        <v>537</v>
      </c>
      <c r="D2009" s="947" t="s">
        <v>2</v>
      </c>
      <c r="E2009" s="950">
        <v>375</v>
      </c>
      <c r="F2009" s="950">
        <v>1</v>
      </c>
      <c r="G2009" s="951">
        <v>600</v>
      </c>
      <c r="H2009" s="951">
        <v>600</v>
      </c>
      <c r="I2009" s="18"/>
    </row>
    <row r="2010" spans="1:9">
      <c r="A2010" s="943">
        <v>4</v>
      </c>
      <c r="B2010" s="944">
        <v>817.11</v>
      </c>
      <c r="C2010" s="944" t="s">
        <v>538</v>
      </c>
      <c r="D2010" s="943" t="s">
        <v>2</v>
      </c>
      <c r="E2010" s="945">
        <v>350</v>
      </c>
      <c r="F2010" s="945">
        <v>1</v>
      </c>
      <c r="G2010" s="946">
        <v>700</v>
      </c>
      <c r="H2010" s="946">
        <v>670</v>
      </c>
    </row>
    <row r="2011" spans="1:9" s="26" customFormat="1">
      <c r="A2011" s="947">
        <v>4</v>
      </c>
      <c r="B2011" s="948">
        <v>817.4</v>
      </c>
      <c r="C2011" s="948" t="s">
        <v>3141</v>
      </c>
      <c r="D2011" s="947" t="s">
        <v>2</v>
      </c>
      <c r="E2011" s="950">
        <v>20</v>
      </c>
      <c r="F2011" s="950">
        <v>1</v>
      </c>
      <c r="G2011" s="951">
        <v>500</v>
      </c>
      <c r="H2011" s="951">
        <v>503.75</v>
      </c>
      <c r="I2011" s="18"/>
    </row>
    <row r="2012" spans="1:9">
      <c r="A2012" s="943">
        <v>4</v>
      </c>
      <c r="B2012" s="944">
        <v>817.41</v>
      </c>
      <c r="C2012" s="944" t="s">
        <v>3142</v>
      </c>
      <c r="D2012" s="943" t="s">
        <v>2</v>
      </c>
      <c r="E2012" s="945">
        <v>20</v>
      </c>
      <c r="F2012" s="945">
        <v>1</v>
      </c>
      <c r="G2012" s="946">
        <v>450</v>
      </c>
      <c r="H2012" s="946">
        <v>466.25</v>
      </c>
    </row>
    <row r="2013" spans="1:9" s="26" customFormat="1">
      <c r="A2013" s="947">
        <v>4</v>
      </c>
      <c r="B2013" s="948">
        <v>818.42</v>
      </c>
      <c r="C2013" s="948" t="s">
        <v>3172</v>
      </c>
      <c r="D2013" s="947" t="s">
        <v>2</v>
      </c>
      <c r="E2013" s="950">
        <v>375</v>
      </c>
      <c r="F2013" s="950">
        <v>1</v>
      </c>
      <c r="G2013" s="951">
        <v>600</v>
      </c>
      <c r="H2013" s="951">
        <v>626.6</v>
      </c>
      <c r="I2013" s="18"/>
    </row>
    <row r="2014" spans="1:9">
      <c r="A2014" s="943">
        <v>4</v>
      </c>
      <c r="B2014" s="944">
        <v>819.83100000000002</v>
      </c>
      <c r="C2014" s="944" t="s">
        <v>540</v>
      </c>
      <c r="D2014" s="943" t="s">
        <v>17</v>
      </c>
      <c r="E2014" s="952">
        <v>14800</v>
      </c>
      <c r="F2014" s="945">
        <v>2</v>
      </c>
      <c r="G2014" s="946">
        <v>15</v>
      </c>
      <c r="H2014" s="946">
        <v>14.71</v>
      </c>
    </row>
    <row r="2015" spans="1:9" s="26" customFormat="1">
      <c r="A2015" s="947">
        <v>4</v>
      </c>
      <c r="B2015" s="948">
        <v>820.1</v>
      </c>
      <c r="C2015" s="948" t="s">
        <v>541</v>
      </c>
      <c r="D2015" s="947" t="s">
        <v>22</v>
      </c>
      <c r="E2015" s="950">
        <v>2</v>
      </c>
      <c r="F2015" s="950">
        <v>1</v>
      </c>
      <c r="G2015" s="951">
        <v>4000000</v>
      </c>
      <c r="H2015" s="951">
        <v>3800000</v>
      </c>
      <c r="I2015" s="18"/>
    </row>
    <row r="2016" spans="1:9">
      <c r="A2016" s="943">
        <v>4</v>
      </c>
      <c r="B2016" s="944">
        <v>821.11</v>
      </c>
      <c r="C2016" s="944" t="s">
        <v>3221</v>
      </c>
      <c r="D2016" s="943" t="s">
        <v>2</v>
      </c>
      <c r="E2016" s="945">
        <v>84</v>
      </c>
      <c r="F2016" s="945">
        <v>1</v>
      </c>
      <c r="G2016" s="946">
        <v>8087.5</v>
      </c>
      <c r="H2016" s="946">
        <v>8346.6299999999992</v>
      </c>
    </row>
    <row r="2017" spans="1:9" s="26" customFormat="1">
      <c r="A2017" s="947">
        <v>4</v>
      </c>
      <c r="B2017" s="948">
        <v>821.13</v>
      </c>
      <c r="C2017" s="948" t="s">
        <v>3223</v>
      </c>
      <c r="D2017" s="947" t="s">
        <v>2</v>
      </c>
      <c r="E2017" s="950">
        <v>85</v>
      </c>
      <c r="F2017" s="950">
        <v>1</v>
      </c>
      <c r="G2017" s="951">
        <v>8200</v>
      </c>
      <c r="H2017" s="951">
        <v>8295.5499999999993</v>
      </c>
      <c r="I2017" s="18"/>
    </row>
    <row r="2018" spans="1:9">
      <c r="A2018" s="943">
        <v>4</v>
      </c>
      <c r="B2018" s="944">
        <v>823.61</v>
      </c>
      <c r="C2018" s="944" t="s">
        <v>545</v>
      </c>
      <c r="D2018" s="943" t="s">
        <v>22</v>
      </c>
      <c r="E2018" s="945">
        <v>7</v>
      </c>
      <c r="F2018" s="945">
        <v>2</v>
      </c>
      <c r="G2018" s="946">
        <v>35000</v>
      </c>
      <c r="H2018" s="946">
        <v>37346.57</v>
      </c>
    </row>
    <row r="2019" spans="1:9" s="26" customFormat="1">
      <c r="A2019" s="947">
        <v>4</v>
      </c>
      <c r="B2019" s="948">
        <v>823.62</v>
      </c>
      <c r="C2019" s="948" t="s">
        <v>546</v>
      </c>
      <c r="D2019" s="947" t="s">
        <v>22</v>
      </c>
      <c r="E2019" s="950">
        <v>7</v>
      </c>
      <c r="F2019" s="950">
        <v>2</v>
      </c>
      <c r="G2019" s="951">
        <v>35000</v>
      </c>
      <c r="H2019" s="951">
        <v>37346.57</v>
      </c>
      <c r="I2019" s="18"/>
    </row>
    <row r="2020" spans="1:9">
      <c r="A2020" s="943">
        <v>4</v>
      </c>
      <c r="B2020" s="944">
        <v>824.5</v>
      </c>
      <c r="C2020" s="944" t="s">
        <v>3291</v>
      </c>
      <c r="D2020" s="943" t="s">
        <v>22</v>
      </c>
      <c r="E2020" s="945">
        <v>3</v>
      </c>
      <c r="F2020" s="945">
        <v>1</v>
      </c>
      <c r="G2020" s="946">
        <v>9000</v>
      </c>
      <c r="H2020" s="946">
        <v>8500</v>
      </c>
    </row>
    <row r="2021" spans="1:9" s="26" customFormat="1">
      <c r="A2021" s="947">
        <v>4</v>
      </c>
      <c r="B2021" s="948">
        <v>824.51</v>
      </c>
      <c r="C2021" s="948" t="s">
        <v>550</v>
      </c>
      <c r="D2021" s="947" t="s">
        <v>22</v>
      </c>
      <c r="E2021" s="950">
        <v>6</v>
      </c>
      <c r="F2021" s="950">
        <v>2</v>
      </c>
      <c r="G2021" s="951">
        <v>6500</v>
      </c>
      <c r="H2021" s="951">
        <v>7029.17</v>
      </c>
      <c r="I2021" s="18"/>
    </row>
    <row r="2022" spans="1:9">
      <c r="A2022" s="943">
        <v>4</v>
      </c>
      <c r="B2022" s="944">
        <v>826.51</v>
      </c>
      <c r="C2022" s="944" t="s">
        <v>3301</v>
      </c>
      <c r="D2022" s="943" t="s">
        <v>2</v>
      </c>
      <c r="E2022" s="945">
        <v>2</v>
      </c>
      <c r="F2022" s="945">
        <v>1</v>
      </c>
      <c r="G2022" s="946">
        <v>2900</v>
      </c>
      <c r="H2022" s="946">
        <v>2700</v>
      </c>
    </row>
    <row r="2023" spans="1:9" s="26" customFormat="1">
      <c r="A2023" s="947">
        <v>4</v>
      </c>
      <c r="B2023" s="948">
        <v>828.1</v>
      </c>
      <c r="C2023" s="948" t="s">
        <v>553</v>
      </c>
      <c r="D2023" s="947" t="s">
        <v>3</v>
      </c>
      <c r="E2023" s="949">
        <v>22800</v>
      </c>
      <c r="F2023" s="950">
        <v>1</v>
      </c>
      <c r="G2023" s="951">
        <v>34.130000000000003</v>
      </c>
      <c r="H2023" s="951">
        <v>34.130000000000003</v>
      </c>
      <c r="I2023" s="18"/>
    </row>
    <row r="2024" spans="1:9">
      <c r="A2024" s="943">
        <v>4</v>
      </c>
      <c r="B2024" s="944">
        <v>829</v>
      </c>
      <c r="C2024" s="944" t="s">
        <v>554</v>
      </c>
      <c r="D2024" s="943" t="s">
        <v>3</v>
      </c>
      <c r="E2024" s="952">
        <v>5600</v>
      </c>
      <c r="F2024" s="945">
        <v>1</v>
      </c>
      <c r="G2024" s="946">
        <v>30.75</v>
      </c>
      <c r="H2024" s="946">
        <v>30.75</v>
      </c>
    </row>
    <row r="2025" spans="1:9" s="26" customFormat="1">
      <c r="A2025" s="947">
        <v>4</v>
      </c>
      <c r="B2025" s="948">
        <v>831</v>
      </c>
      <c r="C2025" s="948" t="s">
        <v>555</v>
      </c>
      <c r="D2025" s="947" t="s">
        <v>3</v>
      </c>
      <c r="E2025" s="950">
        <v>800</v>
      </c>
      <c r="F2025" s="950">
        <v>1</v>
      </c>
      <c r="G2025" s="951">
        <v>40</v>
      </c>
      <c r="H2025" s="951">
        <v>41.1</v>
      </c>
      <c r="I2025" s="18"/>
    </row>
    <row r="2026" spans="1:9">
      <c r="A2026" s="943">
        <v>4</v>
      </c>
      <c r="B2026" s="944">
        <v>832</v>
      </c>
      <c r="C2026" s="944" t="s">
        <v>556</v>
      </c>
      <c r="D2026" s="943" t="s">
        <v>3</v>
      </c>
      <c r="E2026" s="952">
        <v>41440</v>
      </c>
      <c r="F2026" s="945">
        <v>14</v>
      </c>
      <c r="G2026" s="946">
        <v>15</v>
      </c>
      <c r="H2026" s="946">
        <v>15.39</v>
      </c>
    </row>
    <row r="2027" spans="1:9" s="26" customFormat="1">
      <c r="A2027" s="947">
        <v>4</v>
      </c>
      <c r="B2027" s="948">
        <v>833.5</v>
      </c>
      <c r="C2027" s="948" t="s">
        <v>557</v>
      </c>
      <c r="D2027" s="947" t="s">
        <v>2</v>
      </c>
      <c r="E2027" s="950">
        <v>600</v>
      </c>
      <c r="F2027" s="950">
        <v>1</v>
      </c>
      <c r="G2027" s="951">
        <v>10</v>
      </c>
      <c r="H2027" s="951">
        <v>9.33</v>
      </c>
      <c r="I2027" s="18"/>
    </row>
    <row r="2028" spans="1:9">
      <c r="A2028" s="943">
        <v>4</v>
      </c>
      <c r="B2028" s="944">
        <v>833.7</v>
      </c>
      <c r="C2028" s="944" t="s">
        <v>558</v>
      </c>
      <c r="D2028" s="943" t="s">
        <v>2</v>
      </c>
      <c r="E2028" s="945">
        <v>412</v>
      </c>
      <c r="F2028" s="945">
        <v>5</v>
      </c>
      <c r="G2028" s="946">
        <v>93.5</v>
      </c>
      <c r="H2028" s="946">
        <v>88.07</v>
      </c>
    </row>
    <row r="2029" spans="1:9" s="26" customFormat="1">
      <c r="A2029" s="947">
        <v>4</v>
      </c>
      <c r="B2029" s="948">
        <v>834.17</v>
      </c>
      <c r="C2029" s="948" t="s">
        <v>560</v>
      </c>
      <c r="D2029" s="947" t="s">
        <v>2</v>
      </c>
      <c r="E2029" s="950">
        <v>42</v>
      </c>
      <c r="F2029" s="950">
        <v>1</v>
      </c>
      <c r="G2029" s="951">
        <v>150</v>
      </c>
      <c r="H2029" s="951">
        <v>150</v>
      </c>
      <c r="I2029" s="18"/>
    </row>
    <row r="2030" spans="1:9">
      <c r="A2030" s="943">
        <v>4</v>
      </c>
      <c r="B2030" s="944">
        <v>841.1</v>
      </c>
      <c r="C2030" s="944" t="s">
        <v>566</v>
      </c>
      <c r="D2030" s="943" t="s">
        <v>2</v>
      </c>
      <c r="E2030" s="945">
        <v>28</v>
      </c>
      <c r="F2030" s="945">
        <v>2</v>
      </c>
      <c r="G2030" s="946">
        <v>3175</v>
      </c>
      <c r="H2030" s="946">
        <v>3150.49</v>
      </c>
    </row>
    <row r="2031" spans="1:9" s="26" customFormat="1">
      <c r="A2031" s="947">
        <v>4</v>
      </c>
      <c r="B2031" s="948">
        <v>841.7</v>
      </c>
      <c r="C2031" s="948" t="s">
        <v>570</v>
      </c>
      <c r="D2031" s="947" t="s">
        <v>2</v>
      </c>
      <c r="E2031" s="950">
        <v>82</v>
      </c>
      <c r="F2031" s="950">
        <v>1</v>
      </c>
      <c r="G2031" s="951">
        <v>3350</v>
      </c>
      <c r="H2031" s="951">
        <v>3350</v>
      </c>
      <c r="I2031" s="18"/>
    </row>
    <row r="2032" spans="1:9">
      <c r="A2032" s="943">
        <v>4</v>
      </c>
      <c r="B2032" s="944">
        <v>847.1</v>
      </c>
      <c r="C2032" s="944" t="s">
        <v>578</v>
      </c>
      <c r="D2032" s="943" t="s">
        <v>2</v>
      </c>
      <c r="E2032" s="952">
        <v>6334</v>
      </c>
      <c r="F2032" s="945">
        <v>14</v>
      </c>
      <c r="G2032" s="946">
        <v>248.75</v>
      </c>
      <c r="H2032" s="946">
        <v>251.79</v>
      </c>
    </row>
    <row r="2033" spans="1:9" s="26" customFormat="1">
      <c r="A2033" s="947">
        <v>4</v>
      </c>
      <c r="B2033" s="948">
        <v>848.1</v>
      </c>
      <c r="C2033" s="948" t="s">
        <v>579</v>
      </c>
      <c r="D2033" s="947" t="s">
        <v>2</v>
      </c>
      <c r="E2033" s="950">
        <v>608</v>
      </c>
      <c r="F2033" s="950">
        <v>6</v>
      </c>
      <c r="G2033" s="951">
        <v>450</v>
      </c>
      <c r="H2033" s="951">
        <v>452.76</v>
      </c>
      <c r="I2033" s="18"/>
    </row>
    <row r="2034" spans="1:9">
      <c r="A2034" s="943">
        <v>4</v>
      </c>
      <c r="B2034" s="944">
        <v>850.41</v>
      </c>
      <c r="C2034" s="944" t="s">
        <v>580</v>
      </c>
      <c r="D2034" s="943" t="s">
        <v>24</v>
      </c>
      <c r="E2034" s="952">
        <v>8022</v>
      </c>
      <c r="F2034" s="945">
        <v>9</v>
      </c>
      <c r="G2034" s="946">
        <v>62</v>
      </c>
      <c r="H2034" s="946">
        <v>64.94</v>
      </c>
    </row>
    <row r="2035" spans="1:9" s="26" customFormat="1">
      <c r="A2035" s="947">
        <v>4</v>
      </c>
      <c r="B2035" s="948">
        <v>851.1</v>
      </c>
      <c r="C2035" s="948" t="s">
        <v>581</v>
      </c>
      <c r="D2035" s="947" t="s">
        <v>42</v>
      </c>
      <c r="E2035" s="949">
        <v>6870</v>
      </c>
      <c r="F2035" s="950">
        <v>13</v>
      </c>
      <c r="G2035" s="951">
        <v>47.5</v>
      </c>
      <c r="H2035" s="951">
        <v>18.329999999999998</v>
      </c>
      <c r="I2035" s="18"/>
    </row>
    <row r="2036" spans="1:9">
      <c r="A2036" s="943">
        <v>4</v>
      </c>
      <c r="B2036" s="944">
        <v>852</v>
      </c>
      <c r="C2036" s="944" t="s">
        <v>49</v>
      </c>
      <c r="D2036" s="943" t="s">
        <v>3</v>
      </c>
      <c r="E2036" s="952">
        <v>51807</v>
      </c>
      <c r="F2036" s="945">
        <v>29</v>
      </c>
      <c r="G2036" s="946">
        <v>25</v>
      </c>
      <c r="H2036" s="946">
        <v>24.92</v>
      </c>
    </row>
    <row r="2037" spans="1:9" s="26" customFormat="1">
      <c r="A2037" s="947">
        <v>4</v>
      </c>
      <c r="B2037" s="948">
        <v>853.1</v>
      </c>
      <c r="C2037" s="948" t="s">
        <v>582</v>
      </c>
      <c r="D2037" s="947" t="s">
        <v>2</v>
      </c>
      <c r="E2037" s="950">
        <v>367</v>
      </c>
      <c r="F2037" s="950">
        <v>17</v>
      </c>
      <c r="G2037" s="951">
        <v>150</v>
      </c>
      <c r="H2037" s="951">
        <v>155.19999999999999</v>
      </c>
      <c r="I2037" s="18"/>
    </row>
    <row r="2038" spans="1:9">
      <c r="A2038" s="943">
        <v>4</v>
      </c>
      <c r="B2038" s="944">
        <v>853.2</v>
      </c>
      <c r="C2038" s="944" t="s">
        <v>1453</v>
      </c>
      <c r="D2038" s="943" t="s">
        <v>17</v>
      </c>
      <c r="E2038" s="952">
        <v>5670</v>
      </c>
      <c r="F2038" s="945">
        <v>5</v>
      </c>
      <c r="G2038" s="946">
        <v>100</v>
      </c>
      <c r="H2038" s="946">
        <v>93.94</v>
      </c>
    </row>
    <row r="2039" spans="1:9" s="26" customFormat="1">
      <c r="A2039" s="947">
        <v>4</v>
      </c>
      <c r="B2039" s="948">
        <v>853.21</v>
      </c>
      <c r="C2039" s="948" t="s">
        <v>583</v>
      </c>
      <c r="D2039" s="947" t="s">
        <v>17</v>
      </c>
      <c r="E2039" s="949">
        <v>46350</v>
      </c>
      <c r="F2039" s="950">
        <v>12</v>
      </c>
      <c r="G2039" s="951">
        <v>16.5</v>
      </c>
      <c r="H2039" s="951">
        <v>17.66</v>
      </c>
      <c r="I2039" s="18"/>
    </row>
    <row r="2040" spans="1:9">
      <c r="A2040" s="943">
        <v>4</v>
      </c>
      <c r="B2040" s="944">
        <v>853.23</v>
      </c>
      <c r="C2040" s="944" t="s">
        <v>584</v>
      </c>
      <c r="D2040" s="943" t="s">
        <v>17</v>
      </c>
      <c r="E2040" s="952">
        <v>4450</v>
      </c>
      <c r="F2040" s="945">
        <v>5</v>
      </c>
      <c r="G2040" s="946">
        <v>67.5</v>
      </c>
      <c r="H2040" s="946">
        <v>89.32</v>
      </c>
    </row>
    <row r="2041" spans="1:9" s="26" customFormat="1">
      <c r="A2041" s="947">
        <v>4</v>
      </c>
      <c r="B2041" s="948">
        <v>853.33</v>
      </c>
      <c r="C2041" s="948" t="s">
        <v>587</v>
      </c>
      <c r="D2041" s="947" t="s">
        <v>17</v>
      </c>
      <c r="E2041" s="949">
        <v>7850</v>
      </c>
      <c r="F2041" s="950">
        <v>4</v>
      </c>
      <c r="G2041" s="951">
        <v>85</v>
      </c>
      <c r="H2041" s="951">
        <v>83.82</v>
      </c>
      <c r="I2041" s="18"/>
    </row>
    <row r="2042" spans="1:9">
      <c r="A2042" s="943">
        <v>4</v>
      </c>
      <c r="B2042" s="944">
        <v>853.40300000000002</v>
      </c>
      <c r="C2042" s="944" t="s">
        <v>588</v>
      </c>
      <c r="D2042" s="943" t="s">
        <v>42</v>
      </c>
      <c r="E2042" s="952">
        <v>5783</v>
      </c>
      <c r="F2042" s="945">
        <v>14</v>
      </c>
      <c r="G2042" s="946">
        <v>195</v>
      </c>
      <c r="H2042" s="946">
        <v>196.3</v>
      </c>
    </row>
    <row r="2043" spans="1:9" s="26" customFormat="1">
      <c r="A2043" s="947">
        <v>4</v>
      </c>
      <c r="B2043" s="948">
        <v>853.8</v>
      </c>
      <c r="C2043" s="948" t="s">
        <v>589</v>
      </c>
      <c r="D2043" s="947" t="s">
        <v>42</v>
      </c>
      <c r="E2043" s="949">
        <v>2576</v>
      </c>
      <c r="F2043" s="950">
        <v>14</v>
      </c>
      <c r="G2043" s="951">
        <v>125</v>
      </c>
      <c r="H2043" s="951">
        <v>195.68</v>
      </c>
      <c r="I2043" s="18"/>
    </row>
    <row r="2044" spans="1:9">
      <c r="A2044" s="943">
        <v>4</v>
      </c>
      <c r="B2044" s="944">
        <v>854.01599999999996</v>
      </c>
      <c r="C2044" s="944" t="s">
        <v>591</v>
      </c>
      <c r="D2044" s="943" t="s">
        <v>17</v>
      </c>
      <c r="E2044" s="952">
        <v>3812500</v>
      </c>
      <c r="F2044" s="945">
        <v>13</v>
      </c>
      <c r="G2044" s="946">
        <v>0.5</v>
      </c>
      <c r="H2044" s="946">
        <v>0.43</v>
      </c>
    </row>
    <row r="2045" spans="1:9" s="26" customFormat="1">
      <c r="A2045" s="947">
        <v>4</v>
      </c>
      <c r="B2045" s="948">
        <v>854.03599999999994</v>
      </c>
      <c r="C2045" s="948" t="s">
        <v>592</v>
      </c>
      <c r="D2045" s="947" t="s">
        <v>17</v>
      </c>
      <c r="E2045" s="949">
        <v>167390</v>
      </c>
      <c r="F2045" s="950">
        <v>11</v>
      </c>
      <c r="G2045" s="951">
        <v>2</v>
      </c>
      <c r="H2045" s="951">
        <v>1.87</v>
      </c>
      <c r="I2045" s="18"/>
    </row>
    <row r="2046" spans="1:9">
      <c r="A2046" s="943">
        <v>4</v>
      </c>
      <c r="B2046" s="944">
        <v>854.1</v>
      </c>
      <c r="C2046" s="944" t="s">
        <v>593</v>
      </c>
      <c r="D2046" s="943" t="s">
        <v>3</v>
      </c>
      <c r="E2046" s="952">
        <v>249255</v>
      </c>
      <c r="F2046" s="945">
        <v>15</v>
      </c>
      <c r="G2046" s="946">
        <v>2.5</v>
      </c>
      <c r="H2046" s="946">
        <v>2.54</v>
      </c>
    </row>
    <row r="2047" spans="1:9" s="26" customFormat="1">
      <c r="A2047" s="947">
        <v>4</v>
      </c>
      <c r="B2047" s="948">
        <v>854.6</v>
      </c>
      <c r="C2047" s="948" t="s">
        <v>1454</v>
      </c>
      <c r="D2047" s="947" t="s">
        <v>42</v>
      </c>
      <c r="E2047" s="949">
        <v>5313</v>
      </c>
      <c r="F2047" s="950">
        <v>8</v>
      </c>
      <c r="G2047" s="951">
        <v>25</v>
      </c>
      <c r="H2047" s="951">
        <v>25.18</v>
      </c>
      <c r="I2047" s="18"/>
    </row>
    <row r="2048" spans="1:9">
      <c r="A2048" s="943">
        <v>4</v>
      </c>
      <c r="B2048" s="944">
        <v>856</v>
      </c>
      <c r="C2048" s="944" t="s">
        <v>595</v>
      </c>
      <c r="D2048" s="943" t="s">
        <v>42</v>
      </c>
      <c r="E2048" s="952">
        <v>44756</v>
      </c>
      <c r="F2048" s="945">
        <v>27</v>
      </c>
      <c r="G2048" s="946">
        <v>10</v>
      </c>
      <c r="H2048" s="946">
        <v>11.59</v>
      </c>
    </row>
    <row r="2049" spans="1:9" s="26" customFormat="1">
      <c r="A2049" s="947">
        <v>4</v>
      </c>
      <c r="B2049" s="948">
        <v>856.12</v>
      </c>
      <c r="C2049" s="948" t="s">
        <v>596</v>
      </c>
      <c r="D2049" s="947" t="s">
        <v>42</v>
      </c>
      <c r="E2049" s="949">
        <v>93295</v>
      </c>
      <c r="F2049" s="950">
        <v>24</v>
      </c>
      <c r="G2049" s="951">
        <v>26</v>
      </c>
      <c r="H2049" s="951">
        <v>28.17</v>
      </c>
      <c r="I2049" s="18"/>
    </row>
    <row r="2050" spans="1:9">
      <c r="A2050" s="943">
        <v>4</v>
      </c>
      <c r="B2050" s="944">
        <v>859</v>
      </c>
      <c r="C2050" s="944" t="s">
        <v>28</v>
      </c>
      <c r="D2050" s="943" t="s">
        <v>42</v>
      </c>
      <c r="E2050" s="952">
        <v>1883320</v>
      </c>
      <c r="F2050" s="945">
        <v>24</v>
      </c>
      <c r="G2050" s="946">
        <v>0.28999999999999998</v>
      </c>
      <c r="H2050" s="946">
        <v>0.25</v>
      </c>
    </row>
    <row r="2051" spans="1:9" s="26" customFormat="1">
      <c r="A2051" s="947">
        <v>4</v>
      </c>
      <c r="B2051" s="948">
        <v>859.1</v>
      </c>
      <c r="C2051" s="948" t="s">
        <v>1455</v>
      </c>
      <c r="D2051" s="947" t="s">
        <v>42</v>
      </c>
      <c r="E2051" s="949">
        <v>29462</v>
      </c>
      <c r="F2051" s="950">
        <v>26</v>
      </c>
      <c r="G2051" s="951">
        <v>5</v>
      </c>
      <c r="H2051" s="951">
        <v>4.95</v>
      </c>
      <c r="I2051" s="18"/>
    </row>
    <row r="2052" spans="1:9">
      <c r="A2052" s="943">
        <v>4</v>
      </c>
      <c r="B2052" s="944">
        <v>860.10599999999999</v>
      </c>
      <c r="C2052" s="944" t="s">
        <v>597</v>
      </c>
      <c r="D2052" s="943" t="s">
        <v>17</v>
      </c>
      <c r="E2052" s="952">
        <v>225000</v>
      </c>
      <c r="F2052" s="945">
        <v>1</v>
      </c>
      <c r="G2052" s="946">
        <v>0.23</v>
      </c>
      <c r="H2052" s="946">
        <v>0.2</v>
      </c>
    </row>
    <row r="2053" spans="1:9" s="26" customFormat="1">
      <c r="A2053" s="947">
        <v>4</v>
      </c>
      <c r="B2053" s="948">
        <v>860.11199999999997</v>
      </c>
      <c r="C2053" s="948" t="s">
        <v>598</v>
      </c>
      <c r="D2053" s="947" t="s">
        <v>17</v>
      </c>
      <c r="E2053" s="950">
        <v>128</v>
      </c>
      <c r="F2053" s="950">
        <v>1</v>
      </c>
      <c r="G2053" s="951">
        <v>10</v>
      </c>
      <c r="H2053" s="951">
        <v>9</v>
      </c>
      <c r="I2053" s="18"/>
    </row>
    <row r="2054" spans="1:9">
      <c r="A2054" s="943">
        <v>4</v>
      </c>
      <c r="B2054" s="944">
        <v>864</v>
      </c>
      <c r="C2054" s="944" t="s">
        <v>601</v>
      </c>
      <c r="D2054" s="943" t="s">
        <v>3</v>
      </c>
      <c r="E2054" s="945">
        <v>200</v>
      </c>
      <c r="F2054" s="945">
        <v>1</v>
      </c>
      <c r="G2054" s="946">
        <v>6.5</v>
      </c>
      <c r="H2054" s="946">
        <v>5.25</v>
      </c>
    </row>
    <row r="2055" spans="1:9" s="26" customFormat="1">
      <c r="A2055" s="947">
        <v>4</v>
      </c>
      <c r="B2055" s="948">
        <v>864.02</v>
      </c>
      <c r="C2055" s="948" t="s">
        <v>603</v>
      </c>
      <c r="D2055" s="947" t="s">
        <v>3</v>
      </c>
      <c r="E2055" s="950">
        <v>300</v>
      </c>
      <c r="F2055" s="950">
        <v>2</v>
      </c>
      <c r="G2055" s="951">
        <v>67.5</v>
      </c>
      <c r="H2055" s="951">
        <v>78.599999999999994</v>
      </c>
      <c r="I2055" s="18"/>
    </row>
    <row r="2056" spans="1:9">
      <c r="A2056" s="943">
        <v>4</v>
      </c>
      <c r="B2056" s="944">
        <v>864.04</v>
      </c>
      <c r="C2056" s="944" t="s">
        <v>1456</v>
      </c>
      <c r="D2056" s="943" t="s">
        <v>3</v>
      </c>
      <c r="E2056" s="952">
        <v>105595</v>
      </c>
      <c r="F2056" s="945">
        <v>14</v>
      </c>
      <c r="G2056" s="946">
        <v>10</v>
      </c>
      <c r="H2056" s="946">
        <v>10.48</v>
      </c>
    </row>
    <row r="2057" spans="1:9" s="26" customFormat="1">
      <c r="A2057" s="947">
        <v>4</v>
      </c>
      <c r="B2057" s="948">
        <v>864.31</v>
      </c>
      <c r="C2057" s="948" t="s">
        <v>605</v>
      </c>
      <c r="D2057" s="947" t="s">
        <v>2</v>
      </c>
      <c r="E2057" s="950">
        <v>675</v>
      </c>
      <c r="F2057" s="950">
        <v>2</v>
      </c>
      <c r="G2057" s="951">
        <v>33</v>
      </c>
      <c r="H2057" s="951">
        <v>33.57</v>
      </c>
      <c r="I2057" s="18"/>
    </row>
    <row r="2058" spans="1:9">
      <c r="A2058" s="943">
        <v>4</v>
      </c>
      <c r="B2058" s="944">
        <v>864.32</v>
      </c>
      <c r="C2058" s="944" t="s">
        <v>606</v>
      </c>
      <c r="D2058" s="943" t="s">
        <v>2</v>
      </c>
      <c r="E2058" s="952">
        <v>1125</v>
      </c>
      <c r="F2058" s="945">
        <v>1</v>
      </c>
      <c r="G2058" s="946">
        <v>33.880000000000003</v>
      </c>
      <c r="H2058" s="946">
        <v>35.630000000000003</v>
      </c>
    </row>
    <row r="2059" spans="1:9" s="26" customFormat="1">
      <c r="A2059" s="947">
        <v>4</v>
      </c>
      <c r="B2059" s="948">
        <v>864.33</v>
      </c>
      <c r="C2059" s="948" t="s">
        <v>607</v>
      </c>
      <c r="D2059" s="947" t="s">
        <v>2</v>
      </c>
      <c r="E2059" s="950">
        <v>390</v>
      </c>
      <c r="F2059" s="950">
        <v>2</v>
      </c>
      <c r="G2059" s="951">
        <v>34</v>
      </c>
      <c r="H2059" s="951">
        <v>34.380000000000003</v>
      </c>
      <c r="I2059" s="18"/>
    </row>
    <row r="2060" spans="1:9">
      <c r="A2060" s="943">
        <v>4</v>
      </c>
      <c r="B2060" s="944">
        <v>864.34</v>
      </c>
      <c r="C2060" s="944" t="s">
        <v>608</v>
      </c>
      <c r="D2060" s="943" t="s">
        <v>2</v>
      </c>
      <c r="E2060" s="945">
        <v>585</v>
      </c>
      <c r="F2060" s="945">
        <v>2</v>
      </c>
      <c r="G2060" s="946">
        <v>34</v>
      </c>
      <c r="H2060" s="946">
        <v>34.380000000000003</v>
      </c>
    </row>
    <row r="2061" spans="1:9" s="26" customFormat="1">
      <c r="A2061" s="947">
        <v>4</v>
      </c>
      <c r="B2061" s="948">
        <v>864.35</v>
      </c>
      <c r="C2061" s="948" t="s">
        <v>609</v>
      </c>
      <c r="D2061" s="947" t="s">
        <v>2</v>
      </c>
      <c r="E2061" s="950">
        <v>690</v>
      </c>
      <c r="F2061" s="950">
        <v>1</v>
      </c>
      <c r="G2061" s="951">
        <v>34.47</v>
      </c>
      <c r="H2061" s="951">
        <v>36.159999999999997</v>
      </c>
      <c r="I2061" s="18"/>
    </row>
    <row r="2062" spans="1:9">
      <c r="A2062" s="943">
        <v>4</v>
      </c>
      <c r="B2062" s="944">
        <v>866.10599999999999</v>
      </c>
      <c r="C2062" s="944" t="s">
        <v>25</v>
      </c>
      <c r="D2062" s="943" t="s">
        <v>17</v>
      </c>
      <c r="E2062" s="952">
        <v>645070</v>
      </c>
      <c r="F2062" s="945">
        <v>11</v>
      </c>
      <c r="G2062" s="946">
        <v>1.75</v>
      </c>
      <c r="H2062" s="946">
        <v>1.7</v>
      </c>
    </row>
    <row r="2063" spans="1:9" s="26" customFormat="1">
      <c r="A2063" s="947">
        <v>4</v>
      </c>
      <c r="B2063" s="948">
        <v>866.11199999999997</v>
      </c>
      <c r="C2063" s="948" t="s">
        <v>610</v>
      </c>
      <c r="D2063" s="947" t="s">
        <v>17</v>
      </c>
      <c r="E2063" s="949">
        <v>324390</v>
      </c>
      <c r="F2063" s="950">
        <v>9</v>
      </c>
      <c r="G2063" s="951">
        <v>7</v>
      </c>
      <c r="H2063" s="951">
        <v>6.32</v>
      </c>
      <c r="I2063" s="18"/>
    </row>
    <row r="2064" spans="1:9">
      <c r="A2064" s="943">
        <v>4</v>
      </c>
      <c r="B2064" s="944">
        <v>866.20600000000002</v>
      </c>
      <c r="C2064" s="944" t="s">
        <v>611</v>
      </c>
      <c r="D2064" s="943" t="s">
        <v>17</v>
      </c>
      <c r="E2064" s="952">
        <v>245700</v>
      </c>
      <c r="F2064" s="945">
        <v>2</v>
      </c>
      <c r="G2064" s="946">
        <v>3</v>
      </c>
      <c r="H2064" s="946">
        <v>2.96</v>
      </c>
    </row>
    <row r="2065" spans="1:9" s="26" customFormat="1">
      <c r="A2065" s="947">
        <v>4</v>
      </c>
      <c r="B2065" s="948">
        <v>866.21199999999999</v>
      </c>
      <c r="C2065" s="948" t="s">
        <v>612</v>
      </c>
      <c r="D2065" s="947" t="s">
        <v>17</v>
      </c>
      <c r="E2065" s="949">
        <v>26225</v>
      </c>
      <c r="F2065" s="950">
        <v>2</v>
      </c>
      <c r="G2065" s="951">
        <v>12.25</v>
      </c>
      <c r="H2065" s="951">
        <v>11.71</v>
      </c>
      <c r="I2065" s="18"/>
    </row>
    <row r="2066" spans="1:9">
      <c r="A2066" s="943">
        <v>4</v>
      </c>
      <c r="B2066" s="944">
        <v>867.10599999999999</v>
      </c>
      <c r="C2066" s="944" t="s">
        <v>613</v>
      </c>
      <c r="D2066" s="943" t="s">
        <v>17</v>
      </c>
      <c r="E2066" s="952">
        <v>295745</v>
      </c>
      <c r="F2066" s="945">
        <v>11</v>
      </c>
      <c r="G2066" s="946">
        <v>1.75</v>
      </c>
      <c r="H2066" s="946">
        <v>1.63</v>
      </c>
    </row>
    <row r="2067" spans="1:9" s="26" customFormat="1">
      <c r="A2067" s="947">
        <v>4</v>
      </c>
      <c r="B2067" s="948">
        <v>867.11199999999997</v>
      </c>
      <c r="C2067" s="948" t="s">
        <v>50</v>
      </c>
      <c r="D2067" s="947" t="s">
        <v>17</v>
      </c>
      <c r="E2067" s="949">
        <v>25350</v>
      </c>
      <c r="F2067" s="950">
        <v>7</v>
      </c>
      <c r="G2067" s="951">
        <v>6.75</v>
      </c>
      <c r="H2067" s="951">
        <v>7.13</v>
      </c>
      <c r="I2067" s="18"/>
    </row>
    <row r="2068" spans="1:9">
      <c r="A2068" s="943">
        <v>4</v>
      </c>
      <c r="B2068" s="944">
        <v>867.20600000000002</v>
      </c>
      <c r="C2068" s="944" t="s">
        <v>614</v>
      </c>
      <c r="D2068" s="943" t="s">
        <v>17</v>
      </c>
      <c r="E2068" s="952">
        <v>213200</v>
      </c>
      <c r="F2068" s="945">
        <v>2</v>
      </c>
      <c r="G2068" s="946">
        <v>3</v>
      </c>
      <c r="H2068" s="946">
        <v>2.94</v>
      </c>
    </row>
    <row r="2069" spans="1:9" s="26" customFormat="1">
      <c r="A2069" s="947">
        <v>4</v>
      </c>
      <c r="B2069" s="948">
        <v>867.21199999999999</v>
      </c>
      <c r="C2069" s="948" t="s">
        <v>1523</v>
      </c>
      <c r="D2069" s="947" t="s">
        <v>17</v>
      </c>
      <c r="E2069" s="949">
        <v>2350</v>
      </c>
      <c r="F2069" s="950">
        <v>1</v>
      </c>
      <c r="G2069" s="951">
        <v>12.4</v>
      </c>
      <c r="H2069" s="951">
        <v>12.13</v>
      </c>
      <c r="I2069" s="18"/>
    </row>
    <row r="2070" spans="1:9">
      <c r="A2070" s="943">
        <v>4</v>
      </c>
      <c r="B2070" s="944">
        <v>874</v>
      </c>
      <c r="C2070" s="944" t="s">
        <v>23</v>
      </c>
      <c r="D2070" s="943" t="s">
        <v>2</v>
      </c>
      <c r="E2070" s="952">
        <v>1327</v>
      </c>
      <c r="F2070" s="945">
        <v>10</v>
      </c>
      <c r="G2070" s="946">
        <v>106.8</v>
      </c>
      <c r="H2070" s="946">
        <v>109.22</v>
      </c>
    </row>
    <row r="2071" spans="1:9" s="26" customFormat="1">
      <c r="A2071" s="947">
        <v>4</v>
      </c>
      <c r="B2071" s="948">
        <v>874.1</v>
      </c>
      <c r="C2071" s="948" t="s">
        <v>617</v>
      </c>
      <c r="D2071" s="947" t="s">
        <v>2</v>
      </c>
      <c r="E2071" s="950">
        <v>13</v>
      </c>
      <c r="F2071" s="950">
        <v>2</v>
      </c>
      <c r="G2071" s="951">
        <v>200</v>
      </c>
      <c r="H2071" s="951">
        <v>192.86</v>
      </c>
      <c r="I2071" s="18"/>
    </row>
    <row r="2072" spans="1:9">
      <c r="A2072" s="943">
        <v>4</v>
      </c>
      <c r="B2072" s="944">
        <v>874.2</v>
      </c>
      <c r="C2072" s="944" t="s">
        <v>618</v>
      </c>
      <c r="D2072" s="943" t="s">
        <v>2</v>
      </c>
      <c r="E2072" s="945">
        <v>409</v>
      </c>
      <c r="F2072" s="945">
        <v>11</v>
      </c>
      <c r="G2072" s="946">
        <v>150</v>
      </c>
      <c r="H2072" s="946">
        <v>163.57</v>
      </c>
    </row>
    <row r="2073" spans="1:9" s="26" customFormat="1">
      <c r="A2073" s="947">
        <v>4</v>
      </c>
      <c r="B2073" s="948">
        <v>874.4</v>
      </c>
      <c r="C2073" s="948" t="s">
        <v>620</v>
      </c>
      <c r="D2073" s="947" t="s">
        <v>2</v>
      </c>
      <c r="E2073" s="950">
        <v>40</v>
      </c>
      <c r="F2073" s="950">
        <v>4</v>
      </c>
      <c r="G2073" s="951">
        <v>41</v>
      </c>
      <c r="H2073" s="951">
        <v>37.58</v>
      </c>
      <c r="I2073" s="18"/>
    </row>
    <row r="2074" spans="1:9">
      <c r="A2074" s="943">
        <v>4</v>
      </c>
      <c r="B2074" s="944">
        <v>877.1</v>
      </c>
      <c r="C2074" s="944" t="s">
        <v>622</v>
      </c>
      <c r="D2074" s="943" t="s">
        <v>2</v>
      </c>
      <c r="E2074" s="945">
        <v>114</v>
      </c>
      <c r="F2074" s="945">
        <v>2</v>
      </c>
      <c r="G2074" s="946">
        <v>25</v>
      </c>
      <c r="H2074" s="946">
        <v>52.5</v>
      </c>
    </row>
    <row r="2075" spans="1:9" s="26" customFormat="1">
      <c r="A2075" s="947">
        <v>4</v>
      </c>
      <c r="B2075" s="948">
        <v>901</v>
      </c>
      <c r="C2075" s="948" t="s">
        <v>624</v>
      </c>
      <c r="D2075" s="947" t="s">
        <v>4</v>
      </c>
      <c r="E2075" s="950">
        <v>385</v>
      </c>
      <c r="F2075" s="950">
        <v>4</v>
      </c>
      <c r="G2075" s="951">
        <v>1300</v>
      </c>
      <c r="H2075" s="951">
        <v>1741.92</v>
      </c>
      <c r="I2075" s="18"/>
    </row>
    <row r="2076" spans="1:9">
      <c r="A2076" s="943">
        <v>4</v>
      </c>
      <c r="B2076" s="944">
        <v>901.3</v>
      </c>
      <c r="C2076" s="944" t="s">
        <v>625</v>
      </c>
      <c r="D2076" s="943" t="s">
        <v>4</v>
      </c>
      <c r="E2076" s="945">
        <v>45</v>
      </c>
      <c r="F2076" s="945">
        <v>2</v>
      </c>
      <c r="G2076" s="946">
        <v>465</v>
      </c>
      <c r="H2076" s="946">
        <v>478.16</v>
      </c>
    </row>
    <row r="2077" spans="1:9" s="26" customFormat="1">
      <c r="A2077" s="947">
        <v>4</v>
      </c>
      <c r="B2077" s="948">
        <v>903</v>
      </c>
      <c r="C2077" s="948" t="s">
        <v>626</v>
      </c>
      <c r="D2077" s="947" t="s">
        <v>4</v>
      </c>
      <c r="E2077" s="950">
        <v>510</v>
      </c>
      <c r="F2077" s="950">
        <v>8</v>
      </c>
      <c r="G2077" s="951">
        <v>550</v>
      </c>
      <c r="H2077" s="951">
        <v>533.86</v>
      </c>
      <c r="I2077" s="18"/>
    </row>
    <row r="2078" spans="1:9">
      <c r="A2078" s="943">
        <v>4</v>
      </c>
      <c r="B2078" s="944">
        <v>904</v>
      </c>
      <c r="C2078" s="944" t="s">
        <v>627</v>
      </c>
      <c r="D2078" s="943" t="s">
        <v>4</v>
      </c>
      <c r="E2078" s="945">
        <v>384</v>
      </c>
      <c r="F2078" s="945">
        <v>4</v>
      </c>
      <c r="G2078" s="946">
        <v>1250</v>
      </c>
      <c r="H2078" s="946">
        <v>1218.06</v>
      </c>
    </row>
    <row r="2079" spans="1:9" s="26" customFormat="1">
      <c r="A2079" s="947">
        <v>4</v>
      </c>
      <c r="B2079" s="948">
        <v>904.4</v>
      </c>
      <c r="C2079" s="948" t="s">
        <v>629</v>
      </c>
      <c r="D2079" s="947" t="s">
        <v>4</v>
      </c>
      <c r="E2079" s="950">
        <v>275</v>
      </c>
      <c r="F2079" s="950">
        <v>2</v>
      </c>
      <c r="G2079" s="951">
        <v>5000</v>
      </c>
      <c r="H2079" s="951">
        <v>4277</v>
      </c>
      <c r="I2079" s="18"/>
    </row>
    <row r="2080" spans="1:9">
      <c r="A2080" s="943">
        <v>4</v>
      </c>
      <c r="B2080" s="944">
        <v>905</v>
      </c>
      <c r="C2080" s="944" t="s">
        <v>630</v>
      </c>
      <c r="D2080" s="943" t="s">
        <v>4</v>
      </c>
      <c r="E2080" s="952">
        <v>1524</v>
      </c>
      <c r="F2080" s="945">
        <v>6</v>
      </c>
      <c r="G2080" s="946">
        <v>5070</v>
      </c>
      <c r="H2080" s="946">
        <v>5696.59</v>
      </c>
    </row>
    <row r="2081" spans="1:9" s="26" customFormat="1">
      <c r="A2081" s="947">
        <v>4</v>
      </c>
      <c r="B2081" s="948">
        <v>909.2</v>
      </c>
      <c r="C2081" s="948" t="s">
        <v>635</v>
      </c>
      <c r="D2081" s="947" t="s">
        <v>3</v>
      </c>
      <c r="E2081" s="950">
        <v>400</v>
      </c>
      <c r="F2081" s="950">
        <v>3</v>
      </c>
      <c r="G2081" s="951">
        <v>95</v>
      </c>
      <c r="H2081" s="951">
        <v>97.75</v>
      </c>
      <c r="I2081" s="18"/>
    </row>
    <row r="2082" spans="1:9">
      <c r="A2082" s="943">
        <v>4</v>
      </c>
      <c r="B2082" s="944">
        <v>910</v>
      </c>
      <c r="C2082" s="944" t="s">
        <v>636</v>
      </c>
      <c r="D2082" s="943" t="s">
        <v>100</v>
      </c>
      <c r="E2082" s="945">
        <v>750</v>
      </c>
      <c r="F2082" s="945">
        <v>2</v>
      </c>
      <c r="G2082" s="946">
        <v>7</v>
      </c>
      <c r="H2082" s="946">
        <v>7.67</v>
      </c>
    </row>
    <row r="2083" spans="1:9" s="26" customFormat="1">
      <c r="A2083" s="947">
        <v>4</v>
      </c>
      <c r="B2083" s="948">
        <v>910.1</v>
      </c>
      <c r="C2083" s="948" t="s">
        <v>637</v>
      </c>
      <c r="D2083" s="947" t="s">
        <v>100</v>
      </c>
      <c r="E2083" s="949">
        <v>375650</v>
      </c>
      <c r="F2083" s="950">
        <v>13</v>
      </c>
      <c r="G2083" s="951">
        <v>3.5</v>
      </c>
      <c r="H2083" s="951">
        <v>3.25</v>
      </c>
      <c r="I2083" s="18"/>
    </row>
    <row r="2084" spans="1:9">
      <c r="A2084" s="943">
        <v>4</v>
      </c>
      <c r="B2084" s="944">
        <v>910.4</v>
      </c>
      <c r="C2084" s="944" t="s">
        <v>639</v>
      </c>
      <c r="D2084" s="943" t="s">
        <v>2</v>
      </c>
      <c r="E2084" s="945">
        <v>84</v>
      </c>
      <c r="F2084" s="945">
        <v>1</v>
      </c>
      <c r="G2084" s="946">
        <v>89</v>
      </c>
      <c r="H2084" s="946">
        <v>81</v>
      </c>
    </row>
    <row r="2085" spans="1:9" s="26" customFormat="1">
      <c r="A2085" s="947">
        <v>4</v>
      </c>
      <c r="B2085" s="948">
        <v>912</v>
      </c>
      <c r="C2085" s="948" t="s">
        <v>641</v>
      </c>
      <c r="D2085" s="947" t="s">
        <v>2</v>
      </c>
      <c r="E2085" s="950">
        <v>300</v>
      </c>
      <c r="F2085" s="950">
        <v>1</v>
      </c>
      <c r="G2085" s="951">
        <v>55</v>
      </c>
      <c r="H2085" s="951">
        <v>56.9</v>
      </c>
      <c r="I2085" s="18"/>
    </row>
    <row r="2086" spans="1:9">
      <c r="A2086" s="943">
        <v>4</v>
      </c>
      <c r="B2086" s="944">
        <v>922.4</v>
      </c>
      <c r="C2086" s="944" t="s">
        <v>4067</v>
      </c>
      <c r="D2086" s="943" t="s">
        <v>2</v>
      </c>
      <c r="E2086" s="945">
        <v>288</v>
      </c>
      <c r="F2086" s="945">
        <v>1</v>
      </c>
      <c r="G2086" s="946">
        <v>6775</v>
      </c>
      <c r="H2086" s="946">
        <v>6983.33</v>
      </c>
    </row>
    <row r="2087" spans="1:9" s="26" customFormat="1">
      <c r="A2087" s="947">
        <v>4</v>
      </c>
      <c r="B2087" s="948">
        <v>945.30200000000002</v>
      </c>
      <c r="C2087" s="948" t="s">
        <v>3514</v>
      </c>
      <c r="D2087" s="947" t="s">
        <v>17</v>
      </c>
      <c r="E2087" s="950">
        <v>5</v>
      </c>
      <c r="F2087" s="950">
        <v>1</v>
      </c>
      <c r="G2087" s="951">
        <v>100</v>
      </c>
      <c r="H2087" s="951">
        <v>100</v>
      </c>
      <c r="I2087" s="18"/>
    </row>
    <row r="2088" spans="1:9">
      <c r="A2088" s="943">
        <v>4</v>
      </c>
      <c r="B2088" s="944">
        <v>945.303</v>
      </c>
      <c r="C2088" s="944" t="s">
        <v>3515</v>
      </c>
      <c r="D2088" s="943" t="s">
        <v>17</v>
      </c>
      <c r="E2088" s="945">
        <v>5</v>
      </c>
      <c r="F2088" s="945">
        <v>1</v>
      </c>
      <c r="G2088" s="946">
        <v>100</v>
      </c>
      <c r="H2088" s="946">
        <v>100</v>
      </c>
    </row>
    <row r="2089" spans="1:9" s="26" customFormat="1">
      <c r="A2089" s="947">
        <v>4</v>
      </c>
      <c r="B2089" s="948">
        <v>945.71</v>
      </c>
      <c r="C2089" s="948" t="s">
        <v>651</v>
      </c>
      <c r="D2089" s="947" t="s">
        <v>17</v>
      </c>
      <c r="E2089" s="950">
        <v>440</v>
      </c>
      <c r="F2089" s="950">
        <v>1</v>
      </c>
      <c r="G2089" s="951">
        <v>24</v>
      </c>
      <c r="H2089" s="951">
        <v>27</v>
      </c>
      <c r="I2089" s="18"/>
    </row>
    <row r="2090" spans="1:9">
      <c r="A2090" s="943">
        <v>4</v>
      </c>
      <c r="B2090" s="944">
        <v>945.72</v>
      </c>
      <c r="C2090" s="944" t="s">
        <v>652</v>
      </c>
      <c r="D2090" s="943" t="s">
        <v>2</v>
      </c>
      <c r="E2090" s="945">
        <v>6</v>
      </c>
      <c r="F2090" s="945">
        <v>1</v>
      </c>
      <c r="G2090" s="946">
        <v>3500</v>
      </c>
      <c r="H2090" s="946">
        <v>3333.33</v>
      </c>
    </row>
    <row r="2091" spans="1:9" s="26" customFormat="1">
      <c r="A2091" s="947">
        <v>4</v>
      </c>
      <c r="B2091" s="948">
        <v>950.1</v>
      </c>
      <c r="C2091" s="948" t="s">
        <v>656</v>
      </c>
      <c r="D2091" s="947" t="s">
        <v>22</v>
      </c>
      <c r="E2091" s="950">
        <v>3</v>
      </c>
      <c r="F2091" s="950">
        <v>1</v>
      </c>
      <c r="G2091" s="951">
        <v>800000</v>
      </c>
      <c r="H2091" s="951">
        <v>762700</v>
      </c>
      <c r="I2091" s="18"/>
    </row>
    <row r="2092" spans="1:9">
      <c r="A2092" s="943">
        <v>4</v>
      </c>
      <c r="B2092" s="944">
        <v>955</v>
      </c>
      <c r="C2092" s="944" t="s">
        <v>657</v>
      </c>
      <c r="D2092" s="943" t="s">
        <v>658</v>
      </c>
      <c r="E2092" s="945">
        <v>116</v>
      </c>
      <c r="F2092" s="945">
        <v>2</v>
      </c>
      <c r="G2092" s="946">
        <v>8800</v>
      </c>
      <c r="H2092" s="946">
        <v>13337.2</v>
      </c>
    </row>
    <row r="2093" spans="1:9" s="26" customFormat="1">
      <c r="A2093" s="947">
        <v>4</v>
      </c>
      <c r="B2093" s="948">
        <v>961.20100000000002</v>
      </c>
      <c r="C2093" s="948" t="s">
        <v>660</v>
      </c>
      <c r="D2093" s="947" t="s">
        <v>22</v>
      </c>
      <c r="E2093" s="950">
        <v>9</v>
      </c>
      <c r="F2093" s="950">
        <v>3</v>
      </c>
      <c r="G2093" s="951">
        <v>998000</v>
      </c>
      <c r="H2093" s="951">
        <v>952238.89</v>
      </c>
      <c r="I2093" s="18"/>
    </row>
    <row r="2094" spans="1:9">
      <c r="A2094" s="943">
        <v>4</v>
      </c>
      <c r="B2094" s="944">
        <v>961.202</v>
      </c>
      <c r="C2094" s="944" t="s">
        <v>660</v>
      </c>
      <c r="D2094" s="943" t="s">
        <v>22</v>
      </c>
      <c r="E2094" s="945">
        <v>6</v>
      </c>
      <c r="F2094" s="945">
        <v>2</v>
      </c>
      <c r="G2094" s="946">
        <v>922075</v>
      </c>
      <c r="H2094" s="946">
        <v>911025</v>
      </c>
    </row>
    <row r="2095" spans="1:9" s="26" customFormat="1">
      <c r="A2095" s="947">
        <v>4</v>
      </c>
      <c r="B2095" s="948">
        <v>961.20299999999997</v>
      </c>
      <c r="C2095" s="948" t="s">
        <v>661</v>
      </c>
      <c r="D2095" s="947" t="s">
        <v>22</v>
      </c>
      <c r="E2095" s="950">
        <v>5</v>
      </c>
      <c r="F2095" s="950">
        <v>2</v>
      </c>
      <c r="G2095" s="951">
        <v>767500</v>
      </c>
      <c r="H2095" s="951">
        <v>694000</v>
      </c>
      <c r="I2095" s="18"/>
    </row>
    <row r="2096" spans="1:9">
      <c r="A2096" s="943">
        <v>4</v>
      </c>
      <c r="B2096" s="944">
        <v>961.20399999999995</v>
      </c>
      <c r="C2096" s="944" t="s">
        <v>660</v>
      </c>
      <c r="D2096" s="943" t="s">
        <v>22</v>
      </c>
      <c r="E2096" s="945">
        <v>5</v>
      </c>
      <c r="F2096" s="945">
        <v>2</v>
      </c>
      <c r="G2096" s="946">
        <v>767500</v>
      </c>
      <c r="H2096" s="946">
        <v>694000</v>
      </c>
    </row>
    <row r="2097" spans="1:9" s="26" customFormat="1">
      <c r="A2097" s="947">
        <v>4</v>
      </c>
      <c r="B2097" s="948">
        <v>966</v>
      </c>
      <c r="C2097" s="948" t="s">
        <v>1466</v>
      </c>
      <c r="D2097" s="947" t="s">
        <v>3</v>
      </c>
      <c r="E2097" s="949">
        <v>47530</v>
      </c>
      <c r="F2097" s="950">
        <v>4</v>
      </c>
      <c r="G2097" s="951">
        <v>15</v>
      </c>
      <c r="H2097" s="951">
        <v>22.79</v>
      </c>
      <c r="I2097" s="18"/>
    </row>
    <row r="2098" spans="1:9">
      <c r="A2098" s="943">
        <v>4</v>
      </c>
      <c r="B2098" s="944">
        <v>974.1</v>
      </c>
      <c r="C2098" s="944" t="s">
        <v>3586</v>
      </c>
      <c r="D2098" s="943" t="s">
        <v>17</v>
      </c>
      <c r="E2098" s="945">
        <v>860</v>
      </c>
      <c r="F2098" s="945">
        <v>1</v>
      </c>
      <c r="G2098" s="946">
        <v>232.5</v>
      </c>
      <c r="H2098" s="946">
        <v>232.5</v>
      </c>
    </row>
    <row r="2099" spans="1:9" s="26" customFormat="1">
      <c r="A2099" s="947">
        <v>4</v>
      </c>
      <c r="B2099" s="948">
        <v>983</v>
      </c>
      <c r="C2099" s="948" t="s">
        <v>671</v>
      </c>
      <c r="D2099" s="947" t="s">
        <v>7</v>
      </c>
      <c r="E2099" s="950">
        <v>64</v>
      </c>
      <c r="F2099" s="950">
        <v>1</v>
      </c>
      <c r="G2099" s="951">
        <v>110</v>
      </c>
      <c r="H2099" s="951">
        <v>97.5</v>
      </c>
      <c r="I2099" s="18"/>
    </row>
    <row r="2100" spans="1:9">
      <c r="A2100" s="943">
        <v>4</v>
      </c>
      <c r="B2100" s="944">
        <v>983.1</v>
      </c>
      <c r="C2100" s="944" t="s">
        <v>672</v>
      </c>
      <c r="D2100" s="943" t="s">
        <v>7</v>
      </c>
      <c r="E2100" s="952">
        <v>1970</v>
      </c>
      <c r="F2100" s="945">
        <v>2</v>
      </c>
      <c r="G2100" s="946">
        <v>112.5</v>
      </c>
      <c r="H2100" s="946">
        <v>117.71</v>
      </c>
    </row>
    <row r="2101" spans="1:9" s="26" customFormat="1">
      <c r="A2101" s="947">
        <v>4</v>
      </c>
      <c r="B2101" s="948">
        <v>983.3</v>
      </c>
      <c r="C2101" s="948" t="s">
        <v>674</v>
      </c>
      <c r="D2101" s="947" t="s">
        <v>4</v>
      </c>
      <c r="E2101" s="950">
        <v>112</v>
      </c>
      <c r="F2101" s="950">
        <v>1</v>
      </c>
      <c r="G2101" s="951">
        <v>182.5</v>
      </c>
      <c r="H2101" s="951">
        <v>182.5</v>
      </c>
      <c r="I2101" s="18"/>
    </row>
    <row r="2102" spans="1:9">
      <c r="A2102" s="943">
        <v>4</v>
      </c>
      <c r="B2102" s="944">
        <v>985.01</v>
      </c>
      <c r="C2102" s="944" t="s">
        <v>1531</v>
      </c>
      <c r="D2102" s="943" t="s">
        <v>1</v>
      </c>
      <c r="E2102" s="952">
        <v>1100</v>
      </c>
      <c r="F2102" s="945">
        <v>1</v>
      </c>
      <c r="G2102" s="946">
        <v>225</v>
      </c>
      <c r="H2102" s="946">
        <v>182</v>
      </c>
    </row>
    <row r="2103" spans="1:9" s="26" customFormat="1">
      <c r="A2103" s="947">
        <v>4</v>
      </c>
      <c r="B2103" s="948">
        <v>986</v>
      </c>
      <c r="C2103" s="948" t="s">
        <v>675</v>
      </c>
      <c r="D2103" s="947" t="s">
        <v>7</v>
      </c>
      <c r="E2103" s="950">
        <v>75</v>
      </c>
      <c r="F2103" s="950">
        <v>1</v>
      </c>
      <c r="G2103" s="951">
        <v>175</v>
      </c>
      <c r="H2103" s="951">
        <v>158.33000000000001</v>
      </c>
      <c r="I2103" s="18"/>
    </row>
    <row r="2104" spans="1:9">
      <c r="A2104" s="943">
        <v>4</v>
      </c>
      <c r="B2104" s="944">
        <v>986.2</v>
      </c>
      <c r="C2104" s="944" t="s">
        <v>675</v>
      </c>
      <c r="D2104" s="943" t="s">
        <v>4</v>
      </c>
      <c r="E2104" s="945">
        <v>4</v>
      </c>
      <c r="F2104" s="945">
        <v>1</v>
      </c>
      <c r="G2104" s="946">
        <v>577.5</v>
      </c>
      <c r="H2104" s="946">
        <v>577.5</v>
      </c>
    </row>
    <row r="2105" spans="1:9" s="26" customFormat="1">
      <c r="A2105" s="947">
        <v>4</v>
      </c>
      <c r="B2105" s="948">
        <v>987</v>
      </c>
      <c r="C2105" s="948" t="s">
        <v>1433</v>
      </c>
      <c r="D2105" s="947" t="s">
        <v>1</v>
      </c>
      <c r="E2105" s="950">
        <v>75</v>
      </c>
      <c r="F2105" s="950">
        <v>1</v>
      </c>
      <c r="G2105" s="951">
        <v>180</v>
      </c>
      <c r="H2105" s="951">
        <v>165</v>
      </c>
      <c r="I2105" s="18"/>
    </row>
    <row r="2106" spans="1:9">
      <c r="A2106" s="943">
        <v>4</v>
      </c>
      <c r="B2106" s="944">
        <v>987.3</v>
      </c>
      <c r="C2106" s="944" t="s">
        <v>677</v>
      </c>
      <c r="D2106" s="943" t="s">
        <v>1</v>
      </c>
      <c r="E2106" s="945">
        <v>255</v>
      </c>
      <c r="F2106" s="945">
        <v>1</v>
      </c>
      <c r="G2106" s="946">
        <v>300</v>
      </c>
      <c r="H2106" s="946">
        <v>294</v>
      </c>
    </row>
    <row r="2107" spans="1:9" s="26" customFormat="1">
      <c r="A2107" s="947">
        <v>4</v>
      </c>
      <c r="B2107" s="948">
        <v>991.1</v>
      </c>
      <c r="C2107" s="948" t="s">
        <v>678</v>
      </c>
      <c r="D2107" s="947" t="s">
        <v>22</v>
      </c>
      <c r="E2107" s="950">
        <v>4</v>
      </c>
      <c r="F2107" s="950">
        <v>2</v>
      </c>
      <c r="G2107" s="951">
        <v>100000</v>
      </c>
      <c r="H2107" s="951">
        <v>82500</v>
      </c>
      <c r="I2107" s="18"/>
    </row>
    <row r="2108" spans="1:9">
      <c r="A2108" s="943">
        <v>4</v>
      </c>
      <c r="B2108" s="944">
        <v>991.2</v>
      </c>
      <c r="C2108" s="944" t="s">
        <v>678</v>
      </c>
      <c r="D2108" s="943" t="s">
        <v>22</v>
      </c>
      <c r="E2108" s="945">
        <v>4</v>
      </c>
      <c r="F2108" s="945">
        <v>1</v>
      </c>
      <c r="G2108" s="946">
        <v>50000</v>
      </c>
      <c r="H2108" s="946">
        <v>50000</v>
      </c>
    </row>
    <row r="2109" spans="1:9" s="26" customFormat="1">
      <c r="A2109" s="947">
        <v>4</v>
      </c>
      <c r="B2109" s="948">
        <v>992.1</v>
      </c>
      <c r="C2109" s="948" t="s">
        <v>679</v>
      </c>
      <c r="D2109" s="947" t="s">
        <v>22</v>
      </c>
      <c r="E2109" s="950">
        <v>3</v>
      </c>
      <c r="F2109" s="950">
        <v>1</v>
      </c>
      <c r="G2109" s="951">
        <v>88000</v>
      </c>
      <c r="H2109" s="951">
        <v>96133.33</v>
      </c>
      <c r="I2109" s="18"/>
    </row>
    <row r="2110" spans="1:9">
      <c r="A2110" s="943">
        <v>4</v>
      </c>
      <c r="B2110" s="944">
        <v>994.01</v>
      </c>
      <c r="C2110" s="944" t="s">
        <v>682</v>
      </c>
      <c r="D2110" s="943" t="s">
        <v>22</v>
      </c>
      <c r="E2110" s="945">
        <v>3</v>
      </c>
      <c r="F2110" s="945">
        <v>2</v>
      </c>
      <c r="G2110" s="946">
        <v>100000</v>
      </c>
      <c r="H2110" s="946">
        <v>101933.33</v>
      </c>
    </row>
    <row r="2111" spans="1:9" s="26" customFormat="1">
      <c r="A2111" s="947">
        <v>4</v>
      </c>
      <c r="B2111" s="948">
        <v>994.1</v>
      </c>
      <c r="C2111" s="948" t="s">
        <v>683</v>
      </c>
      <c r="D2111" s="947" t="s">
        <v>3</v>
      </c>
      <c r="E2111" s="949">
        <v>38890</v>
      </c>
      <c r="F2111" s="950">
        <v>8</v>
      </c>
      <c r="G2111" s="951">
        <v>14.58</v>
      </c>
      <c r="H2111" s="951">
        <v>13.48</v>
      </c>
      <c r="I2111" s="18"/>
    </row>
    <row r="2112" spans="1:9">
      <c r="A2112" s="943">
        <v>4</v>
      </c>
      <c r="B2112" s="944">
        <v>994.3</v>
      </c>
      <c r="C2112" s="944" t="s">
        <v>3617</v>
      </c>
      <c r="D2112" s="943" t="s">
        <v>3</v>
      </c>
      <c r="E2112" s="952">
        <v>2700</v>
      </c>
      <c r="F2112" s="945">
        <v>1</v>
      </c>
      <c r="G2112" s="946">
        <v>10</v>
      </c>
      <c r="H2112" s="946">
        <v>9</v>
      </c>
    </row>
    <row r="2113" spans="1:9" s="26" customFormat="1">
      <c r="A2113" s="947">
        <v>4</v>
      </c>
      <c r="B2113" s="948">
        <v>995.01</v>
      </c>
      <c r="C2113" s="948" t="s">
        <v>685</v>
      </c>
      <c r="D2113" s="947" t="s">
        <v>22</v>
      </c>
      <c r="E2113" s="950">
        <v>6</v>
      </c>
      <c r="F2113" s="950">
        <v>2</v>
      </c>
      <c r="G2113" s="951">
        <v>3998000</v>
      </c>
      <c r="H2113" s="951">
        <v>3893083.33</v>
      </c>
      <c r="I2113" s="18"/>
    </row>
    <row r="2114" spans="1:9">
      <c r="A2114" s="943">
        <v>4</v>
      </c>
      <c r="B2114" s="944">
        <v>995.02</v>
      </c>
      <c r="C2114" s="944" t="s">
        <v>687</v>
      </c>
      <c r="D2114" s="943" t="s">
        <v>22</v>
      </c>
      <c r="E2114" s="945">
        <v>6</v>
      </c>
      <c r="F2114" s="945">
        <v>2</v>
      </c>
      <c r="G2114" s="946">
        <v>11037500</v>
      </c>
      <c r="H2114" s="946">
        <v>12262500</v>
      </c>
    </row>
    <row r="2115" spans="1:9" s="26" customFormat="1">
      <c r="A2115" s="947">
        <v>4</v>
      </c>
      <c r="B2115" s="948">
        <v>995.03</v>
      </c>
      <c r="C2115" s="948" t="s">
        <v>687</v>
      </c>
      <c r="D2115" s="947" t="s">
        <v>22</v>
      </c>
      <c r="E2115" s="950">
        <v>3</v>
      </c>
      <c r="F2115" s="950">
        <v>1</v>
      </c>
      <c r="G2115" s="951">
        <v>14000000</v>
      </c>
      <c r="H2115" s="951">
        <v>13666666.67</v>
      </c>
      <c r="I2115" s="18"/>
    </row>
    <row r="2116" spans="1:9">
      <c r="A2116" s="943">
        <v>4</v>
      </c>
      <c r="B2116" s="944">
        <v>996.01</v>
      </c>
      <c r="C2116" s="944" t="s">
        <v>688</v>
      </c>
      <c r="D2116" s="943" t="s">
        <v>22</v>
      </c>
      <c r="E2116" s="945">
        <v>4</v>
      </c>
      <c r="F2116" s="945">
        <v>1</v>
      </c>
      <c r="G2116" s="946">
        <v>691500</v>
      </c>
      <c r="H2116" s="946">
        <v>689500</v>
      </c>
    </row>
    <row r="2117" spans="1:9" s="26" customFormat="1">
      <c r="A2117" s="947">
        <v>4</v>
      </c>
      <c r="B2117" s="948">
        <v>996.02</v>
      </c>
      <c r="C2117" s="948" t="s">
        <v>688</v>
      </c>
      <c r="D2117" s="947" t="s">
        <v>22</v>
      </c>
      <c r="E2117" s="950">
        <v>4</v>
      </c>
      <c r="F2117" s="950">
        <v>1</v>
      </c>
      <c r="G2117" s="951">
        <v>622500</v>
      </c>
      <c r="H2117" s="951">
        <v>622500</v>
      </c>
      <c r="I2117" s="18"/>
    </row>
    <row r="2118" spans="1:9">
      <c r="A2118" s="943">
        <v>5</v>
      </c>
      <c r="B2118" s="944">
        <v>100</v>
      </c>
      <c r="C2118" s="944" t="s">
        <v>51</v>
      </c>
      <c r="D2118" s="943" t="s">
        <v>22</v>
      </c>
      <c r="E2118" s="945">
        <v>39</v>
      </c>
      <c r="F2118" s="945">
        <v>9</v>
      </c>
      <c r="G2118" s="946">
        <v>35500</v>
      </c>
      <c r="H2118" s="946">
        <v>34288.46</v>
      </c>
    </row>
    <row r="2119" spans="1:9" s="26" customFormat="1">
      <c r="A2119" s="947">
        <v>5</v>
      </c>
      <c r="B2119" s="948">
        <v>100.001</v>
      </c>
      <c r="C2119" s="948" t="s">
        <v>82</v>
      </c>
      <c r="D2119" s="947" t="s">
        <v>24</v>
      </c>
      <c r="E2119" s="949">
        <v>5640</v>
      </c>
      <c r="F2119" s="950">
        <v>1</v>
      </c>
      <c r="G2119" s="951">
        <v>150</v>
      </c>
      <c r="H2119" s="951">
        <v>146</v>
      </c>
      <c r="I2119" s="18"/>
    </row>
    <row r="2120" spans="1:9">
      <c r="A2120" s="943">
        <v>5</v>
      </c>
      <c r="B2120" s="944">
        <v>100.002</v>
      </c>
      <c r="C2120" s="944" t="s">
        <v>83</v>
      </c>
      <c r="D2120" s="943" t="s">
        <v>24</v>
      </c>
      <c r="E2120" s="952">
        <v>31032</v>
      </c>
      <c r="F2120" s="945">
        <v>8</v>
      </c>
      <c r="G2120" s="946">
        <v>100</v>
      </c>
      <c r="H2120" s="946">
        <v>101.4</v>
      </c>
    </row>
    <row r="2121" spans="1:9" s="26" customFormat="1">
      <c r="A2121" s="947">
        <v>5</v>
      </c>
      <c r="B2121" s="948">
        <v>100.1</v>
      </c>
      <c r="C2121" s="948" t="s">
        <v>85</v>
      </c>
      <c r="D2121" s="947" t="s">
        <v>24</v>
      </c>
      <c r="E2121" s="949">
        <v>2610</v>
      </c>
      <c r="F2121" s="950">
        <v>5</v>
      </c>
      <c r="G2121" s="951">
        <v>145</v>
      </c>
      <c r="H2121" s="951">
        <v>144.77000000000001</v>
      </c>
      <c r="I2121" s="18"/>
    </row>
    <row r="2122" spans="1:9">
      <c r="A2122" s="943">
        <v>5</v>
      </c>
      <c r="B2122" s="944">
        <v>100.71</v>
      </c>
      <c r="C2122" s="944" t="s">
        <v>88</v>
      </c>
      <c r="D2122" s="943" t="s">
        <v>22</v>
      </c>
      <c r="E2122" s="945">
        <v>3</v>
      </c>
      <c r="F2122" s="945">
        <v>1</v>
      </c>
      <c r="G2122" s="946">
        <v>12150</v>
      </c>
      <c r="H2122" s="946">
        <v>10266.67</v>
      </c>
    </row>
    <row r="2123" spans="1:9" s="26" customFormat="1">
      <c r="A2123" s="947">
        <v>5</v>
      </c>
      <c r="B2123" s="948">
        <v>101</v>
      </c>
      <c r="C2123" s="948" t="s">
        <v>54</v>
      </c>
      <c r="D2123" s="947" t="s">
        <v>55</v>
      </c>
      <c r="E2123" s="950">
        <v>22.3</v>
      </c>
      <c r="F2123" s="950">
        <v>8</v>
      </c>
      <c r="G2123" s="951">
        <v>60000</v>
      </c>
      <c r="H2123" s="951">
        <v>56911.98</v>
      </c>
      <c r="I2123" s="18"/>
    </row>
    <row r="2124" spans="1:9">
      <c r="A2124" s="943">
        <v>5</v>
      </c>
      <c r="B2124" s="944">
        <v>101.1</v>
      </c>
      <c r="C2124" s="944" t="s">
        <v>1273</v>
      </c>
      <c r="D2124" s="943" t="s">
        <v>55</v>
      </c>
      <c r="E2124" s="945">
        <v>0.95</v>
      </c>
      <c r="F2124" s="945">
        <v>3</v>
      </c>
      <c r="G2124" s="946">
        <v>32740</v>
      </c>
      <c r="H2124" s="946">
        <v>30521.67</v>
      </c>
    </row>
    <row r="2125" spans="1:9" s="26" customFormat="1">
      <c r="A2125" s="947">
        <v>5</v>
      </c>
      <c r="B2125" s="948">
        <v>102</v>
      </c>
      <c r="C2125" s="948" t="s">
        <v>92</v>
      </c>
      <c r="D2125" s="947" t="s">
        <v>55</v>
      </c>
      <c r="E2125" s="950">
        <v>4.16</v>
      </c>
      <c r="F2125" s="950">
        <v>3</v>
      </c>
      <c r="G2125" s="951">
        <v>35000</v>
      </c>
      <c r="H2125" s="951">
        <v>36182.5</v>
      </c>
      <c r="I2125" s="18"/>
    </row>
    <row r="2126" spans="1:9">
      <c r="A2126" s="943">
        <v>5</v>
      </c>
      <c r="B2126" s="944">
        <v>102.1</v>
      </c>
      <c r="C2126" s="944" t="s">
        <v>93</v>
      </c>
      <c r="D2126" s="943" t="s">
        <v>17</v>
      </c>
      <c r="E2126" s="952">
        <v>6026</v>
      </c>
      <c r="F2126" s="945">
        <v>2</v>
      </c>
      <c r="G2126" s="946">
        <v>17</v>
      </c>
      <c r="H2126" s="946">
        <v>13.4</v>
      </c>
    </row>
    <row r="2127" spans="1:9" s="26" customFormat="1">
      <c r="A2127" s="947">
        <v>5</v>
      </c>
      <c r="B2127" s="948">
        <v>102.12</v>
      </c>
      <c r="C2127" s="948" t="s">
        <v>93</v>
      </c>
      <c r="D2127" s="947" t="s">
        <v>2</v>
      </c>
      <c r="E2127" s="950">
        <v>80</v>
      </c>
      <c r="F2127" s="950">
        <v>1</v>
      </c>
      <c r="G2127" s="951">
        <v>649.5</v>
      </c>
      <c r="H2127" s="951">
        <v>646.21</v>
      </c>
      <c r="I2127" s="18"/>
    </row>
    <row r="2128" spans="1:9">
      <c r="A2128" s="943">
        <v>5</v>
      </c>
      <c r="B2128" s="944">
        <v>102.2</v>
      </c>
      <c r="C2128" s="944" t="s">
        <v>93</v>
      </c>
      <c r="D2128" s="943" t="s">
        <v>22</v>
      </c>
      <c r="E2128" s="945">
        <v>13</v>
      </c>
      <c r="F2128" s="945">
        <v>5</v>
      </c>
      <c r="G2128" s="946">
        <v>15000</v>
      </c>
      <c r="H2128" s="946">
        <v>13865.38</v>
      </c>
    </row>
    <row r="2129" spans="1:9" s="26" customFormat="1">
      <c r="A2129" s="947">
        <v>5</v>
      </c>
      <c r="B2129" s="948">
        <v>102.3</v>
      </c>
      <c r="C2129" s="948" t="s">
        <v>3995</v>
      </c>
      <c r="D2129" s="947" t="s">
        <v>24</v>
      </c>
      <c r="E2129" s="950">
        <v>172</v>
      </c>
      <c r="F2129" s="950">
        <v>3</v>
      </c>
      <c r="G2129" s="951">
        <v>750</v>
      </c>
      <c r="H2129" s="951">
        <v>733.33</v>
      </c>
      <c r="I2129" s="18"/>
    </row>
    <row r="2130" spans="1:9">
      <c r="A2130" s="943">
        <v>5</v>
      </c>
      <c r="B2130" s="944">
        <v>102.33</v>
      </c>
      <c r="C2130" s="944" t="s">
        <v>1275</v>
      </c>
      <c r="D2130" s="943" t="s">
        <v>24</v>
      </c>
      <c r="E2130" s="945">
        <v>152</v>
      </c>
      <c r="F2130" s="945">
        <v>4</v>
      </c>
      <c r="G2130" s="946">
        <v>450</v>
      </c>
      <c r="H2130" s="946">
        <v>512.30999999999995</v>
      </c>
    </row>
    <row r="2131" spans="1:9" s="26" customFormat="1">
      <c r="A2131" s="947">
        <v>5</v>
      </c>
      <c r="B2131" s="948">
        <v>102.511</v>
      </c>
      <c r="C2131" s="948" t="s">
        <v>4029</v>
      </c>
      <c r="D2131" s="947" t="s">
        <v>2</v>
      </c>
      <c r="E2131" s="950">
        <v>534</v>
      </c>
      <c r="F2131" s="950">
        <v>6</v>
      </c>
      <c r="G2131" s="951">
        <v>425</v>
      </c>
      <c r="H2131" s="951">
        <v>425.57</v>
      </c>
      <c r="I2131" s="18"/>
    </row>
    <row r="2132" spans="1:9">
      <c r="A2132" s="943">
        <v>5</v>
      </c>
      <c r="B2132" s="944">
        <v>102.521</v>
      </c>
      <c r="C2132" s="944" t="s">
        <v>1276</v>
      </c>
      <c r="D2132" s="943" t="s">
        <v>17</v>
      </c>
      <c r="E2132" s="952">
        <v>15190</v>
      </c>
      <c r="F2132" s="945">
        <v>8</v>
      </c>
      <c r="G2132" s="946">
        <v>14</v>
      </c>
      <c r="H2132" s="946">
        <v>13.8</v>
      </c>
    </row>
    <row r="2133" spans="1:9" s="26" customFormat="1">
      <c r="A2133" s="947">
        <v>5</v>
      </c>
      <c r="B2133" s="948">
        <v>102.55</v>
      </c>
      <c r="C2133" s="948" t="s">
        <v>1277</v>
      </c>
      <c r="D2133" s="947" t="s">
        <v>24</v>
      </c>
      <c r="E2133" s="950">
        <v>700</v>
      </c>
      <c r="F2133" s="950">
        <v>3</v>
      </c>
      <c r="G2133" s="951">
        <v>280</v>
      </c>
      <c r="H2133" s="951">
        <v>275.23</v>
      </c>
      <c r="I2133" s="18"/>
    </row>
    <row r="2134" spans="1:9">
      <c r="A2134" s="943">
        <v>5</v>
      </c>
      <c r="B2134" s="944">
        <v>103</v>
      </c>
      <c r="C2134" s="944" t="s">
        <v>35</v>
      </c>
      <c r="D2134" s="943" t="s">
        <v>2</v>
      </c>
      <c r="E2134" s="945">
        <v>115</v>
      </c>
      <c r="F2134" s="945">
        <v>5</v>
      </c>
      <c r="G2134" s="946">
        <v>2750</v>
      </c>
      <c r="H2134" s="946">
        <v>2869.58</v>
      </c>
    </row>
    <row r="2135" spans="1:9" s="26" customFormat="1">
      <c r="A2135" s="947">
        <v>5</v>
      </c>
      <c r="B2135" s="948">
        <v>104</v>
      </c>
      <c r="C2135" s="948" t="s">
        <v>94</v>
      </c>
      <c r="D2135" s="947" t="s">
        <v>2</v>
      </c>
      <c r="E2135" s="950">
        <v>53</v>
      </c>
      <c r="F2135" s="950">
        <v>4</v>
      </c>
      <c r="G2135" s="951">
        <v>4100</v>
      </c>
      <c r="H2135" s="951">
        <v>4111.46</v>
      </c>
      <c r="I2135" s="18"/>
    </row>
    <row r="2136" spans="1:9">
      <c r="A2136" s="943">
        <v>5</v>
      </c>
      <c r="B2136" s="944">
        <v>105</v>
      </c>
      <c r="C2136" s="944" t="s">
        <v>95</v>
      </c>
      <c r="D2136" s="943" t="s">
        <v>2</v>
      </c>
      <c r="E2136" s="945">
        <v>51</v>
      </c>
      <c r="F2136" s="945">
        <v>3</v>
      </c>
      <c r="G2136" s="946">
        <v>997.5</v>
      </c>
      <c r="H2136" s="946">
        <v>996.67</v>
      </c>
    </row>
    <row r="2137" spans="1:9" s="26" customFormat="1">
      <c r="A2137" s="947">
        <v>5</v>
      </c>
      <c r="B2137" s="948">
        <v>106.15</v>
      </c>
      <c r="C2137" s="948" t="s">
        <v>97</v>
      </c>
      <c r="D2137" s="947" t="s">
        <v>2</v>
      </c>
      <c r="E2137" s="950">
        <v>24</v>
      </c>
      <c r="F2137" s="950">
        <v>1</v>
      </c>
      <c r="G2137" s="951">
        <v>2570</v>
      </c>
      <c r="H2137" s="951">
        <v>2761.67</v>
      </c>
      <c r="I2137" s="18"/>
    </row>
    <row r="2138" spans="1:9">
      <c r="A2138" s="943">
        <v>5</v>
      </c>
      <c r="B2138" s="944">
        <v>106.88</v>
      </c>
      <c r="C2138" s="944" t="s">
        <v>98</v>
      </c>
      <c r="D2138" s="943" t="s">
        <v>2</v>
      </c>
      <c r="E2138" s="945">
        <v>120</v>
      </c>
      <c r="F2138" s="945">
        <v>1</v>
      </c>
      <c r="G2138" s="946">
        <v>14166.5</v>
      </c>
      <c r="H2138" s="946">
        <v>14388.25</v>
      </c>
    </row>
    <row r="2139" spans="1:9" s="26" customFormat="1">
      <c r="A2139" s="947">
        <v>5</v>
      </c>
      <c r="B2139" s="948">
        <v>107.97</v>
      </c>
      <c r="C2139" s="948" t="s">
        <v>103</v>
      </c>
      <c r="D2139" s="947" t="s">
        <v>100</v>
      </c>
      <c r="E2139" s="949">
        <v>66410</v>
      </c>
      <c r="F2139" s="950">
        <v>2</v>
      </c>
      <c r="G2139" s="951">
        <v>40</v>
      </c>
      <c r="H2139" s="951">
        <v>41.81</v>
      </c>
      <c r="I2139" s="18"/>
    </row>
    <row r="2140" spans="1:9">
      <c r="A2140" s="943">
        <v>5</v>
      </c>
      <c r="B2140" s="944">
        <v>114.1</v>
      </c>
      <c r="C2140" s="944" t="s">
        <v>104</v>
      </c>
      <c r="D2140" s="943" t="s">
        <v>22</v>
      </c>
      <c r="E2140" s="945">
        <v>7</v>
      </c>
      <c r="F2140" s="945">
        <v>2</v>
      </c>
      <c r="G2140" s="946">
        <v>125000</v>
      </c>
      <c r="H2140" s="946">
        <v>119428.57</v>
      </c>
    </row>
    <row r="2141" spans="1:9" s="26" customFormat="1">
      <c r="A2141" s="947">
        <v>5</v>
      </c>
      <c r="B2141" s="948">
        <v>114.2</v>
      </c>
      <c r="C2141" s="948" t="s">
        <v>104</v>
      </c>
      <c r="D2141" s="947" t="s">
        <v>22</v>
      </c>
      <c r="E2141" s="950">
        <v>5</v>
      </c>
      <c r="F2141" s="950">
        <v>1</v>
      </c>
      <c r="G2141" s="951">
        <v>100000</v>
      </c>
      <c r="H2141" s="951">
        <v>110200</v>
      </c>
      <c r="I2141" s="18"/>
    </row>
    <row r="2142" spans="1:9">
      <c r="A2142" s="943">
        <v>5</v>
      </c>
      <c r="B2142" s="944">
        <v>115.1</v>
      </c>
      <c r="C2142" s="944" t="s">
        <v>105</v>
      </c>
      <c r="D2142" s="943" t="s">
        <v>22</v>
      </c>
      <c r="E2142" s="945">
        <v>3</v>
      </c>
      <c r="F2142" s="945">
        <v>1</v>
      </c>
      <c r="G2142" s="946">
        <v>800000</v>
      </c>
      <c r="H2142" s="946">
        <v>800000</v>
      </c>
    </row>
    <row r="2143" spans="1:9" s="26" customFormat="1">
      <c r="A2143" s="947">
        <v>5</v>
      </c>
      <c r="B2143" s="948">
        <v>120</v>
      </c>
      <c r="C2143" s="948" t="s">
        <v>107</v>
      </c>
      <c r="D2143" s="947" t="s">
        <v>4</v>
      </c>
      <c r="E2143" s="949">
        <v>26375</v>
      </c>
      <c r="F2143" s="950">
        <v>3</v>
      </c>
      <c r="G2143" s="951">
        <v>55.5</v>
      </c>
      <c r="H2143" s="951">
        <v>52.45</v>
      </c>
      <c r="I2143" s="18"/>
    </row>
    <row r="2144" spans="1:9">
      <c r="A2144" s="943">
        <v>5</v>
      </c>
      <c r="B2144" s="944">
        <v>120.1</v>
      </c>
      <c r="C2144" s="944" t="s">
        <v>19</v>
      </c>
      <c r="D2144" s="943" t="s">
        <v>4</v>
      </c>
      <c r="E2144" s="952">
        <v>123841</v>
      </c>
      <c r="F2144" s="945">
        <v>18</v>
      </c>
      <c r="G2144" s="946">
        <v>80</v>
      </c>
      <c r="H2144" s="946">
        <v>77.77</v>
      </c>
    </row>
    <row r="2145" spans="1:9" s="26" customFormat="1">
      <c r="A2145" s="947">
        <v>5</v>
      </c>
      <c r="B2145" s="948">
        <v>121</v>
      </c>
      <c r="C2145" s="948" t="s">
        <v>108</v>
      </c>
      <c r="D2145" s="947" t="s">
        <v>4</v>
      </c>
      <c r="E2145" s="949">
        <v>4090</v>
      </c>
      <c r="F2145" s="950">
        <v>3</v>
      </c>
      <c r="G2145" s="951">
        <v>162.5</v>
      </c>
      <c r="H2145" s="951">
        <v>189.33</v>
      </c>
      <c r="I2145" s="18"/>
    </row>
    <row r="2146" spans="1:9">
      <c r="A2146" s="943">
        <v>5</v>
      </c>
      <c r="B2146" s="944">
        <v>123</v>
      </c>
      <c r="C2146" s="944" t="s">
        <v>109</v>
      </c>
      <c r="D2146" s="943" t="s">
        <v>4</v>
      </c>
      <c r="E2146" s="945">
        <v>300</v>
      </c>
      <c r="F2146" s="945">
        <v>1</v>
      </c>
      <c r="G2146" s="946">
        <v>105</v>
      </c>
      <c r="H2146" s="946">
        <v>90</v>
      </c>
    </row>
    <row r="2147" spans="1:9" s="26" customFormat="1">
      <c r="A2147" s="947">
        <v>5</v>
      </c>
      <c r="B2147" s="948">
        <v>127</v>
      </c>
      <c r="C2147" s="948" t="s">
        <v>111</v>
      </c>
      <c r="D2147" s="947" t="s">
        <v>4</v>
      </c>
      <c r="E2147" s="950">
        <v>720</v>
      </c>
      <c r="F2147" s="950">
        <v>1</v>
      </c>
      <c r="G2147" s="951">
        <v>248</v>
      </c>
      <c r="H2147" s="951">
        <v>252.88</v>
      </c>
      <c r="I2147" s="18"/>
    </row>
    <row r="2148" spans="1:9">
      <c r="A2148" s="943">
        <v>5</v>
      </c>
      <c r="B2148" s="944">
        <v>127.1</v>
      </c>
      <c r="C2148" s="944" t="s">
        <v>112</v>
      </c>
      <c r="D2148" s="943" t="s">
        <v>4</v>
      </c>
      <c r="E2148" s="953">
        <v>1723.5</v>
      </c>
      <c r="F2148" s="945">
        <v>7</v>
      </c>
      <c r="G2148" s="946">
        <v>1750</v>
      </c>
      <c r="H2148" s="946">
        <v>2891.5</v>
      </c>
    </row>
    <row r="2149" spans="1:9" s="26" customFormat="1">
      <c r="A2149" s="947">
        <v>5</v>
      </c>
      <c r="B2149" s="948">
        <v>127.4</v>
      </c>
      <c r="C2149" s="948" t="s">
        <v>113</v>
      </c>
      <c r="D2149" s="947" t="s">
        <v>1</v>
      </c>
      <c r="E2149" s="950">
        <v>200</v>
      </c>
      <c r="F2149" s="950">
        <v>1</v>
      </c>
      <c r="G2149" s="951">
        <v>917</v>
      </c>
      <c r="H2149" s="951">
        <v>864.75</v>
      </c>
      <c r="I2149" s="18"/>
    </row>
    <row r="2150" spans="1:9">
      <c r="A2150" s="943">
        <v>5</v>
      </c>
      <c r="B2150" s="944">
        <v>127.41</v>
      </c>
      <c r="C2150" s="944" t="s">
        <v>114</v>
      </c>
      <c r="D2150" s="943" t="s">
        <v>4</v>
      </c>
      <c r="E2150" s="945">
        <v>244</v>
      </c>
      <c r="F2150" s="945">
        <v>2</v>
      </c>
      <c r="G2150" s="946">
        <v>3000</v>
      </c>
      <c r="H2150" s="946">
        <v>3013.57</v>
      </c>
    </row>
    <row r="2151" spans="1:9" s="26" customFormat="1">
      <c r="A2151" s="947">
        <v>5</v>
      </c>
      <c r="B2151" s="948">
        <v>129.6</v>
      </c>
      <c r="C2151" s="948" t="s">
        <v>117</v>
      </c>
      <c r="D2151" s="947" t="s">
        <v>1</v>
      </c>
      <c r="E2151" s="949">
        <v>2548</v>
      </c>
      <c r="F2151" s="950">
        <v>2</v>
      </c>
      <c r="G2151" s="951">
        <v>57.5</v>
      </c>
      <c r="H2151" s="951">
        <v>61.29</v>
      </c>
      <c r="I2151" s="18"/>
    </row>
    <row r="2152" spans="1:9">
      <c r="A2152" s="943">
        <v>5</v>
      </c>
      <c r="B2152" s="944">
        <v>140</v>
      </c>
      <c r="C2152" s="944" t="s">
        <v>118</v>
      </c>
      <c r="D2152" s="943" t="s">
        <v>4</v>
      </c>
      <c r="E2152" s="952">
        <v>6756</v>
      </c>
      <c r="F2152" s="945">
        <v>3</v>
      </c>
      <c r="G2152" s="946">
        <v>82.5</v>
      </c>
      <c r="H2152" s="946">
        <v>124.39</v>
      </c>
    </row>
    <row r="2153" spans="1:9" s="26" customFormat="1">
      <c r="A2153" s="947">
        <v>5</v>
      </c>
      <c r="B2153" s="948">
        <v>141</v>
      </c>
      <c r="C2153" s="948" t="s">
        <v>120</v>
      </c>
      <c r="D2153" s="947" t="s">
        <v>4</v>
      </c>
      <c r="E2153" s="949">
        <v>2466</v>
      </c>
      <c r="F2153" s="950">
        <v>8</v>
      </c>
      <c r="G2153" s="951">
        <v>100</v>
      </c>
      <c r="H2153" s="951">
        <v>94.35</v>
      </c>
      <c r="I2153" s="18"/>
    </row>
    <row r="2154" spans="1:9">
      <c r="A2154" s="943">
        <v>5</v>
      </c>
      <c r="B2154" s="944">
        <v>141.1</v>
      </c>
      <c r="C2154" s="944" t="s">
        <v>121</v>
      </c>
      <c r="D2154" s="943" t="s">
        <v>4</v>
      </c>
      <c r="E2154" s="952">
        <v>3255</v>
      </c>
      <c r="F2154" s="945">
        <v>13</v>
      </c>
      <c r="G2154" s="946">
        <v>170</v>
      </c>
      <c r="H2154" s="946">
        <v>161.91</v>
      </c>
    </row>
    <row r="2155" spans="1:9" s="26" customFormat="1">
      <c r="A2155" s="947">
        <v>5</v>
      </c>
      <c r="B2155" s="948">
        <v>142</v>
      </c>
      <c r="C2155" s="948" t="s">
        <v>122</v>
      </c>
      <c r="D2155" s="947" t="s">
        <v>4</v>
      </c>
      <c r="E2155" s="949">
        <v>1434</v>
      </c>
      <c r="F2155" s="950">
        <v>9</v>
      </c>
      <c r="G2155" s="951">
        <v>71</v>
      </c>
      <c r="H2155" s="951">
        <v>66.83</v>
      </c>
      <c r="I2155" s="18"/>
    </row>
    <row r="2156" spans="1:9">
      <c r="A2156" s="943">
        <v>5</v>
      </c>
      <c r="B2156" s="944">
        <v>144</v>
      </c>
      <c r="C2156" s="944" t="s">
        <v>124</v>
      </c>
      <c r="D2156" s="943" t="s">
        <v>4</v>
      </c>
      <c r="E2156" s="952">
        <v>2068</v>
      </c>
      <c r="F2156" s="945">
        <v>17</v>
      </c>
      <c r="G2156" s="946">
        <v>250</v>
      </c>
      <c r="H2156" s="946">
        <v>267.17</v>
      </c>
    </row>
    <row r="2157" spans="1:9" s="26" customFormat="1">
      <c r="A2157" s="947">
        <v>5</v>
      </c>
      <c r="B2157" s="948">
        <v>145</v>
      </c>
      <c r="C2157" s="948" t="s">
        <v>125</v>
      </c>
      <c r="D2157" s="947" t="s">
        <v>2</v>
      </c>
      <c r="E2157" s="950">
        <v>3</v>
      </c>
      <c r="F2157" s="950">
        <v>1</v>
      </c>
      <c r="G2157" s="951">
        <v>555</v>
      </c>
      <c r="H2157" s="951">
        <v>555</v>
      </c>
      <c r="I2157" s="18"/>
    </row>
    <row r="2158" spans="1:9">
      <c r="A2158" s="943">
        <v>5</v>
      </c>
      <c r="B2158" s="944">
        <v>146</v>
      </c>
      <c r="C2158" s="944" t="s">
        <v>126</v>
      </c>
      <c r="D2158" s="943" t="s">
        <v>2</v>
      </c>
      <c r="E2158" s="945">
        <v>377</v>
      </c>
      <c r="F2158" s="945">
        <v>10</v>
      </c>
      <c r="G2158" s="946">
        <v>1340</v>
      </c>
      <c r="H2158" s="946">
        <v>1319.92</v>
      </c>
    </row>
    <row r="2159" spans="1:9" s="26" customFormat="1">
      <c r="A2159" s="947">
        <v>5</v>
      </c>
      <c r="B2159" s="948">
        <v>149.19999999999999</v>
      </c>
      <c r="C2159" s="948" t="s">
        <v>1284</v>
      </c>
      <c r="D2159" s="947" t="s">
        <v>22</v>
      </c>
      <c r="E2159" s="950">
        <v>4</v>
      </c>
      <c r="F2159" s="950">
        <v>2</v>
      </c>
      <c r="G2159" s="951">
        <v>82500</v>
      </c>
      <c r="H2159" s="951">
        <v>95000</v>
      </c>
      <c r="I2159" s="18"/>
    </row>
    <row r="2160" spans="1:9">
      <c r="A2160" s="943">
        <v>5</v>
      </c>
      <c r="B2160" s="944">
        <v>150</v>
      </c>
      <c r="C2160" s="944" t="s">
        <v>128</v>
      </c>
      <c r="D2160" s="943" t="s">
        <v>4</v>
      </c>
      <c r="E2160" s="952">
        <v>7610</v>
      </c>
      <c r="F2160" s="945">
        <v>8</v>
      </c>
      <c r="G2160" s="946">
        <v>55</v>
      </c>
      <c r="H2160" s="946">
        <v>54.21</v>
      </c>
    </row>
    <row r="2161" spans="1:9" s="26" customFormat="1">
      <c r="A2161" s="947">
        <v>5</v>
      </c>
      <c r="B2161" s="948">
        <v>150.1</v>
      </c>
      <c r="C2161" s="948" t="s">
        <v>129</v>
      </c>
      <c r="D2161" s="947" t="s">
        <v>4</v>
      </c>
      <c r="E2161" s="949">
        <v>15850</v>
      </c>
      <c r="F2161" s="950">
        <v>3</v>
      </c>
      <c r="G2161" s="951">
        <v>68</v>
      </c>
      <c r="H2161" s="951">
        <v>68.489999999999995</v>
      </c>
      <c r="I2161" s="18"/>
    </row>
    <row r="2162" spans="1:9">
      <c r="A2162" s="943">
        <v>5</v>
      </c>
      <c r="B2162" s="944">
        <v>151</v>
      </c>
      <c r="C2162" s="944" t="s">
        <v>5</v>
      </c>
      <c r="D2162" s="943" t="s">
        <v>4</v>
      </c>
      <c r="E2162" s="952">
        <v>90380</v>
      </c>
      <c r="F2162" s="945">
        <v>18</v>
      </c>
      <c r="G2162" s="946">
        <v>64</v>
      </c>
      <c r="H2162" s="946">
        <v>62.1</v>
      </c>
    </row>
    <row r="2163" spans="1:9" s="26" customFormat="1">
      <c r="A2163" s="947">
        <v>5</v>
      </c>
      <c r="B2163" s="948">
        <v>151.01</v>
      </c>
      <c r="C2163" s="948" t="s">
        <v>130</v>
      </c>
      <c r="D2163" s="947" t="s">
        <v>4</v>
      </c>
      <c r="E2163" s="950">
        <v>705</v>
      </c>
      <c r="F2163" s="950">
        <v>7</v>
      </c>
      <c r="G2163" s="951">
        <v>80</v>
      </c>
      <c r="H2163" s="951">
        <v>78.58</v>
      </c>
      <c r="I2163" s="18"/>
    </row>
    <row r="2164" spans="1:9">
      <c r="A2164" s="943">
        <v>5</v>
      </c>
      <c r="B2164" s="944">
        <v>151.19999999999999</v>
      </c>
      <c r="C2164" s="944" t="s">
        <v>52</v>
      </c>
      <c r="D2164" s="943" t="s">
        <v>4</v>
      </c>
      <c r="E2164" s="952">
        <v>9644</v>
      </c>
      <c r="F2164" s="945">
        <v>10</v>
      </c>
      <c r="G2164" s="946">
        <v>68</v>
      </c>
      <c r="H2164" s="946">
        <v>65.5</v>
      </c>
    </row>
    <row r="2165" spans="1:9" s="26" customFormat="1">
      <c r="A2165" s="947">
        <v>5</v>
      </c>
      <c r="B2165" s="948">
        <v>153</v>
      </c>
      <c r="C2165" s="948" t="s">
        <v>134</v>
      </c>
      <c r="D2165" s="947" t="s">
        <v>4</v>
      </c>
      <c r="E2165" s="950">
        <v>723</v>
      </c>
      <c r="F2165" s="950">
        <v>4</v>
      </c>
      <c r="G2165" s="951">
        <v>295</v>
      </c>
      <c r="H2165" s="951">
        <v>301.8</v>
      </c>
      <c r="I2165" s="18"/>
    </row>
    <row r="2166" spans="1:9">
      <c r="A2166" s="943">
        <v>5</v>
      </c>
      <c r="B2166" s="944">
        <v>153.1</v>
      </c>
      <c r="C2166" s="944" t="s">
        <v>135</v>
      </c>
      <c r="D2166" s="943" t="s">
        <v>4</v>
      </c>
      <c r="E2166" s="945">
        <v>80</v>
      </c>
      <c r="F2166" s="945">
        <v>1</v>
      </c>
      <c r="G2166" s="946">
        <v>318.05</v>
      </c>
      <c r="H2166" s="946">
        <v>274.02999999999997</v>
      </c>
    </row>
    <row r="2167" spans="1:9" s="26" customFormat="1">
      <c r="A2167" s="947">
        <v>5</v>
      </c>
      <c r="B2167" s="948">
        <v>154</v>
      </c>
      <c r="C2167" s="948" t="s">
        <v>136</v>
      </c>
      <c r="D2167" s="947" t="s">
        <v>4</v>
      </c>
      <c r="E2167" s="949">
        <v>1870</v>
      </c>
      <c r="F2167" s="950">
        <v>5</v>
      </c>
      <c r="G2167" s="951">
        <v>70</v>
      </c>
      <c r="H2167" s="951">
        <v>68.72</v>
      </c>
      <c r="I2167" s="18"/>
    </row>
    <row r="2168" spans="1:9">
      <c r="A2168" s="943">
        <v>5</v>
      </c>
      <c r="B2168" s="944">
        <v>156</v>
      </c>
      <c r="C2168" s="944" t="s">
        <v>26</v>
      </c>
      <c r="D2168" s="943" t="s">
        <v>7</v>
      </c>
      <c r="E2168" s="952">
        <v>7560</v>
      </c>
      <c r="F2168" s="945">
        <v>13</v>
      </c>
      <c r="G2168" s="946">
        <v>72.5</v>
      </c>
      <c r="H2168" s="946">
        <v>70.34</v>
      </c>
    </row>
    <row r="2169" spans="1:9" s="26" customFormat="1">
      <c r="A2169" s="947">
        <v>5</v>
      </c>
      <c r="B2169" s="948">
        <v>156.5</v>
      </c>
      <c r="C2169" s="948" t="s">
        <v>138</v>
      </c>
      <c r="D2169" s="947" t="s">
        <v>4</v>
      </c>
      <c r="E2169" s="950">
        <v>560</v>
      </c>
      <c r="F2169" s="950">
        <v>1</v>
      </c>
      <c r="G2169" s="951">
        <v>95</v>
      </c>
      <c r="H2169" s="951">
        <v>91.14</v>
      </c>
      <c r="I2169" s="18"/>
    </row>
    <row r="2170" spans="1:9">
      <c r="A2170" s="943">
        <v>5</v>
      </c>
      <c r="B2170" s="944">
        <v>170</v>
      </c>
      <c r="C2170" s="944" t="s">
        <v>1287</v>
      </c>
      <c r="D2170" s="943" t="s">
        <v>1</v>
      </c>
      <c r="E2170" s="952">
        <v>267145</v>
      </c>
      <c r="F2170" s="945">
        <v>17</v>
      </c>
      <c r="G2170" s="946">
        <v>18.5</v>
      </c>
      <c r="H2170" s="946">
        <v>16.63</v>
      </c>
    </row>
    <row r="2171" spans="1:9" s="26" customFormat="1">
      <c r="A2171" s="947">
        <v>5</v>
      </c>
      <c r="B2171" s="948">
        <v>180.01</v>
      </c>
      <c r="C2171" s="948" t="s">
        <v>1288</v>
      </c>
      <c r="D2171" s="947" t="s">
        <v>22</v>
      </c>
      <c r="E2171" s="950">
        <v>20</v>
      </c>
      <c r="F2171" s="950">
        <v>11</v>
      </c>
      <c r="G2171" s="951">
        <v>11500</v>
      </c>
      <c r="H2171" s="951">
        <v>9994.08</v>
      </c>
      <c r="I2171" s="18"/>
    </row>
    <row r="2172" spans="1:9">
      <c r="A2172" s="943">
        <v>5</v>
      </c>
      <c r="B2172" s="944">
        <v>180.02</v>
      </c>
      <c r="C2172" s="944" t="s">
        <v>1289</v>
      </c>
      <c r="D2172" s="943" t="s">
        <v>24</v>
      </c>
      <c r="E2172" s="952">
        <v>1776</v>
      </c>
      <c r="F2172" s="945">
        <v>13</v>
      </c>
      <c r="G2172" s="946">
        <v>35</v>
      </c>
      <c r="H2172" s="946">
        <v>24.75</v>
      </c>
    </row>
    <row r="2173" spans="1:9" s="26" customFormat="1">
      <c r="A2173" s="947">
        <v>5</v>
      </c>
      <c r="B2173" s="948">
        <v>180.03</v>
      </c>
      <c r="C2173" s="948" t="s">
        <v>1290</v>
      </c>
      <c r="D2173" s="947" t="s">
        <v>24</v>
      </c>
      <c r="E2173" s="949">
        <v>3426</v>
      </c>
      <c r="F2173" s="950">
        <v>18</v>
      </c>
      <c r="G2173" s="951">
        <v>140</v>
      </c>
      <c r="H2173" s="951">
        <v>141.27000000000001</v>
      </c>
      <c r="I2173" s="18"/>
    </row>
    <row r="2174" spans="1:9">
      <c r="A2174" s="943">
        <v>5</v>
      </c>
      <c r="B2174" s="944">
        <v>181.11</v>
      </c>
      <c r="C2174" s="944" t="s">
        <v>58</v>
      </c>
      <c r="D2174" s="943" t="s">
        <v>7</v>
      </c>
      <c r="E2174" s="952">
        <v>11349</v>
      </c>
      <c r="F2174" s="945">
        <v>17</v>
      </c>
      <c r="G2174" s="946">
        <v>70</v>
      </c>
      <c r="H2174" s="946">
        <v>64.53</v>
      </c>
    </row>
    <row r="2175" spans="1:9" s="26" customFormat="1">
      <c r="A2175" s="947">
        <v>5</v>
      </c>
      <c r="B2175" s="948">
        <v>181.12</v>
      </c>
      <c r="C2175" s="948" t="s">
        <v>141</v>
      </c>
      <c r="D2175" s="947" t="s">
        <v>7</v>
      </c>
      <c r="E2175" s="949">
        <v>4787</v>
      </c>
      <c r="F2175" s="950">
        <v>18</v>
      </c>
      <c r="G2175" s="951">
        <v>150</v>
      </c>
      <c r="H2175" s="951">
        <v>137.4</v>
      </c>
      <c r="I2175" s="18"/>
    </row>
    <row r="2176" spans="1:9">
      <c r="A2176" s="943">
        <v>5</v>
      </c>
      <c r="B2176" s="944">
        <v>181.13</v>
      </c>
      <c r="C2176" s="944" t="s">
        <v>142</v>
      </c>
      <c r="D2176" s="943" t="s">
        <v>7</v>
      </c>
      <c r="E2176" s="952">
        <v>2576</v>
      </c>
      <c r="F2176" s="945">
        <v>18</v>
      </c>
      <c r="G2176" s="946">
        <v>225</v>
      </c>
      <c r="H2176" s="946">
        <v>216.68</v>
      </c>
    </row>
    <row r="2177" spans="1:9" s="26" customFormat="1">
      <c r="A2177" s="947">
        <v>5</v>
      </c>
      <c r="B2177" s="948">
        <v>181.14</v>
      </c>
      <c r="C2177" s="948" t="s">
        <v>59</v>
      </c>
      <c r="D2177" s="947" t="s">
        <v>7</v>
      </c>
      <c r="E2177" s="949">
        <v>1353</v>
      </c>
      <c r="F2177" s="950">
        <v>17</v>
      </c>
      <c r="G2177" s="951">
        <v>600</v>
      </c>
      <c r="H2177" s="951">
        <v>584.51</v>
      </c>
      <c r="I2177" s="18"/>
    </row>
    <row r="2178" spans="1:9">
      <c r="A2178" s="943">
        <v>5</v>
      </c>
      <c r="B2178" s="944">
        <v>182.1</v>
      </c>
      <c r="C2178" s="944" t="s">
        <v>143</v>
      </c>
      <c r="D2178" s="943" t="s">
        <v>22</v>
      </c>
      <c r="E2178" s="945">
        <v>12</v>
      </c>
      <c r="F2178" s="945">
        <v>6</v>
      </c>
      <c r="G2178" s="946">
        <v>5000</v>
      </c>
      <c r="H2178" s="946">
        <v>4776.62</v>
      </c>
    </row>
    <row r="2179" spans="1:9" s="26" customFormat="1">
      <c r="A2179" s="947">
        <v>5</v>
      </c>
      <c r="B2179" s="948">
        <v>182.2</v>
      </c>
      <c r="C2179" s="948" t="s">
        <v>144</v>
      </c>
      <c r="D2179" s="947" t="s">
        <v>17</v>
      </c>
      <c r="E2179" s="949">
        <v>1610</v>
      </c>
      <c r="F2179" s="950">
        <v>6</v>
      </c>
      <c r="G2179" s="951">
        <v>101</v>
      </c>
      <c r="H2179" s="951">
        <v>107.47</v>
      </c>
      <c r="I2179" s="18"/>
    </row>
    <row r="2180" spans="1:9">
      <c r="A2180" s="943">
        <v>5</v>
      </c>
      <c r="B2180" s="944">
        <v>183.1</v>
      </c>
      <c r="C2180" s="944" t="s">
        <v>146</v>
      </c>
      <c r="D2180" s="943" t="s">
        <v>20</v>
      </c>
      <c r="E2180" s="952">
        <v>7075</v>
      </c>
      <c r="F2180" s="945">
        <v>3</v>
      </c>
      <c r="G2180" s="946">
        <v>25</v>
      </c>
      <c r="H2180" s="946">
        <v>21.08</v>
      </c>
    </row>
    <row r="2181" spans="1:9" s="26" customFormat="1">
      <c r="A2181" s="947">
        <v>5</v>
      </c>
      <c r="B2181" s="948">
        <v>183.2</v>
      </c>
      <c r="C2181" s="948" t="s">
        <v>147</v>
      </c>
      <c r="D2181" s="947" t="s">
        <v>100</v>
      </c>
      <c r="E2181" s="949">
        <v>10200</v>
      </c>
      <c r="F2181" s="950">
        <v>4</v>
      </c>
      <c r="G2181" s="951">
        <v>12</v>
      </c>
      <c r="H2181" s="951">
        <v>13.79</v>
      </c>
      <c r="I2181" s="18"/>
    </row>
    <row r="2182" spans="1:9">
      <c r="A2182" s="943">
        <v>5</v>
      </c>
      <c r="B2182" s="944">
        <v>184.1</v>
      </c>
      <c r="C2182" s="944" t="s">
        <v>148</v>
      </c>
      <c r="D2182" s="943" t="s">
        <v>7</v>
      </c>
      <c r="E2182" s="945">
        <v>116</v>
      </c>
      <c r="F2182" s="945">
        <v>9</v>
      </c>
      <c r="G2182" s="946">
        <v>550</v>
      </c>
      <c r="H2182" s="946">
        <v>495.3</v>
      </c>
    </row>
    <row r="2183" spans="1:9" s="26" customFormat="1">
      <c r="A2183" s="947">
        <v>5</v>
      </c>
      <c r="B2183" s="948">
        <v>191</v>
      </c>
      <c r="C2183" s="948" t="s">
        <v>151</v>
      </c>
      <c r="D2183" s="947" t="s">
        <v>17</v>
      </c>
      <c r="E2183" s="949">
        <v>2890</v>
      </c>
      <c r="F2183" s="950">
        <v>3</v>
      </c>
      <c r="G2183" s="951">
        <v>82.5</v>
      </c>
      <c r="H2183" s="951">
        <v>160.63999999999999</v>
      </c>
      <c r="I2183" s="18"/>
    </row>
    <row r="2184" spans="1:9">
      <c r="A2184" s="943">
        <v>5</v>
      </c>
      <c r="B2184" s="944">
        <v>191.1</v>
      </c>
      <c r="C2184" s="944" t="s">
        <v>152</v>
      </c>
      <c r="D2184" s="943" t="s">
        <v>17</v>
      </c>
      <c r="E2184" s="952">
        <v>1380</v>
      </c>
      <c r="F2184" s="945">
        <v>3</v>
      </c>
      <c r="G2184" s="946">
        <v>141.75</v>
      </c>
      <c r="H2184" s="946">
        <v>153.25</v>
      </c>
    </row>
    <row r="2185" spans="1:9" s="26" customFormat="1">
      <c r="A2185" s="947">
        <v>5</v>
      </c>
      <c r="B2185" s="948">
        <v>191.11</v>
      </c>
      <c r="C2185" s="948" t="s">
        <v>153</v>
      </c>
      <c r="D2185" s="947" t="s">
        <v>17</v>
      </c>
      <c r="E2185" s="949">
        <v>1166</v>
      </c>
      <c r="F2185" s="950">
        <v>3</v>
      </c>
      <c r="G2185" s="951">
        <v>1</v>
      </c>
      <c r="H2185" s="951">
        <v>25.67</v>
      </c>
      <c r="I2185" s="18"/>
    </row>
    <row r="2186" spans="1:9">
      <c r="A2186" s="943">
        <v>5</v>
      </c>
      <c r="B2186" s="944">
        <v>201</v>
      </c>
      <c r="C2186" s="944" t="s">
        <v>155</v>
      </c>
      <c r="D2186" s="943" t="s">
        <v>2</v>
      </c>
      <c r="E2186" s="945">
        <v>649</v>
      </c>
      <c r="F2186" s="945">
        <v>10</v>
      </c>
      <c r="G2186" s="946">
        <v>6000</v>
      </c>
      <c r="H2186" s="946">
        <v>5540.31</v>
      </c>
    </row>
    <row r="2187" spans="1:9" s="26" customFormat="1">
      <c r="A2187" s="947">
        <v>5</v>
      </c>
      <c r="B2187" s="948">
        <v>201.3</v>
      </c>
      <c r="C2187" s="948" t="s">
        <v>156</v>
      </c>
      <c r="D2187" s="947" t="s">
        <v>2</v>
      </c>
      <c r="E2187" s="950">
        <v>51</v>
      </c>
      <c r="F2187" s="950">
        <v>1</v>
      </c>
      <c r="G2187" s="951">
        <v>9000</v>
      </c>
      <c r="H2187" s="951">
        <v>9000</v>
      </c>
      <c r="I2187" s="18"/>
    </row>
    <row r="2188" spans="1:9">
      <c r="A2188" s="943">
        <v>5</v>
      </c>
      <c r="B2188" s="944">
        <v>201.5</v>
      </c>
      <c r="C2188" s="944" t="s">
        <v>2075</v>
      </c>
      <c r="D2188" s="943" t="s">
        <v>2</v>
      </c>
      <c r="E2188" s="945">
        <v>33</v>
      </c>
      <c r="F2188" s="945">
        <v>1</v>
      </c>
      <c r="G2188" s="946">
        <v>8000</v>
      </c>
      <c r="H2188" s="946">
        <v>9333.33</v>
      </c>
    </row>
    <row r="2189" spans="1:9" s="26" customFormat="1">
      <c r="A2189" s="947">
        <v>5</v>
      </c>
      <c r="B2189" s="948">
        <v>202</v>
      </c>
      <c r="C2189" s="948" t="s">
        <v>157</v>
      </c>
      <c r="D2189" s="947" t="s">
        <v>2</v>
      </c>
      <c r="E2189" s="950">
        <v>306</v>
      </c>
      <c r="F2189" s="950">
        <v>12</v>
      </c>
      <c r="G2189" s="951">
        <v>7450</v>
      </c>
      <c r="H2189" s="951">
        <v>6931.16</v>
      </c>
      <c r="I2189" s="18"/>
    </row>
    <row r="2190" spans="1:9">
      <c r="A2190" s="943">
        <v>5</v>
      </c>
      <c r="B2190" s="944">
        <v>202.2</v>
      </c>
      <c r="C2190" s="944" t="s">
        <v>158</v>
      </c>
      <c r="D2190" s="943" t="s">
        <v>2</v>
      </c>
      <c r="E2190" s="945">
        <v>10.5</v>
      </c>
      <c r="F2190" s="945">
        <v>2</v>
      </c>
      <c r="G2190" s="946">
        <v>11600</v>
      </c>
      <c r="H2190" s="946">
        <v>11240</v>
      </c>
    </row>
    <row r="2191" spans="1:9" s="26" customFormat="1">
      <c r="A2191" s="947">
        <v>5</v>
      </c>
      <c r="B2191" s="948">
        <v>203</v>
      </c>
      <c r="C2191" s="948" t="s">
        <v>159</v>
      </c>
      <c r="D2191" s="947" t="s">
        <v>2</v>
      </c>
      <c r="E2191" s="950">
        <v>12</v>
      </c>
      <c r="F2191" s="950">
        <v>2</v>
      </c>
      <c r="G2191" s="951">
        <v>12500</v>
      </c>
      <c r="H2191" s="951">
        <v>12721.43</v>
      </c>
      <c r="I2191" s="18"/>
    </row>
    <row r="2192" spans="1:9">
      <c r="A2192" s="943">
        <v>5</v>
      </c>
      <c r="B2192" s="944">
        <v>203.11</v>
      </c>
      <c r="C2192" s="944" t="s">
        <v>1293</v>
      </c>
      <c r="D2192" s="943" t="s">
        <v>2</v>
      </c>
      <c r="E2192" s="945">
        <v>10</v>
      </c>
      <c r="F2192" s="945">
        <v>1</v>
      </c>
      <c r="G2192" s="946">
        <v>12000</v>
      </c>
      <c r="H2192" s="946">
        <v>9000</v>
      </c>
    </row>
    <row r="2193" spans="1:9" s="26" customFormat="1">
      <c r="A2193" s="947">
        <v>5</v>
      </c>
      <c r="B2193" s="948">
        <v>204</v>
      </c>
      <c r="C2193" s="948" t="s">
        <v>160</v>
      </c>
      <c r="D2193" s="947" t="s">
        <v>2</v>
      </c>
      <c r="E2193" s="950">
        <v>14</v>
      </c>
      <c r="F2193" s="950">
        <v>2</v>
      </c>
      <c r="G2193" s="951">
        <v>4677.5</v>
      </c>
      <c r="H2193" s="951">
        <v>5261.25</v>
      </c>
      <c r="I2193" s="18"/>
    </row>
    <row r="2194" spans="1:9">
      <c r="A2194" s="943">
        <v>5</v>
      </c>
      <c r="B2194" s="944">
        <v>204.11</v>
      </c>
      <c r="C2194" s="944" t="s">
        <v>1294</v>
      </c>
      <c r="D2194" s="943" t="s">
        <v>2</v>
      </c>
      <c r="E2194" s="945">
        <v>40</v>
      </c>
      <c r="F2194" s="945">
        <v>5</v>
      </c>
      <c r="G2194" s="946">
        <v>4000</v>
      </c>
      <c r="H2194" s="946">
        <v>4055.29</v>
      </c>
    </row>
    <row r="2195" spans="1:9" s="26" customFormat="1">
      <c r="A2195" s="947">
        <v>5</v>
      </c>
      <c r="B2195" s="948">
        <v>205</v>
      </c>
      <c r="C2195" s="948" t="s">
        <v>161</v>
      </c>
      <c r="D2195" s="947" t="s">
        <v>2</v>
      </c>
      <c r="E2195" s="950">
        <v>11</v>
      </c>
      <c r="F2195" s="950">
        <v>2</v>
      </c>
      <c r="G2195" s="951">
        <v>6250</v>
      </c>
      <c r="H2195" s="951">
        <v>6612.5</v>
      </c>
      <c r="I2195" s="18"/>
    </row>
    <row r="2196" spans="1:9">
      <c r="A2196" s="943">
        <v>5</v>
      </c>
      <c r="B2196" s="944">
        <v>206.1</v>
      </c>
      <c r="C2196" s="944" t="s">
        <v>163</v>
      </c>
      <c r="D2196" s="943" t="s">
        <v>2</v>
      </c>
      <c r="E2196" s="945">
        <v>9</v>
      </c>
      <c r="F2196" s="945">
        <v>1</v>
      </c>
      <c r="G2196" s="946">
        <v>7000</v>
      </c>
      <c r="H2196" s="946">
        <v>6566.67</v>
      </c>
    </row>
    <row r="2197" spans="1:9" s="26" customFormat="1">
      <c r="A2197" s="947">
        <v>5</v>
      </c>
      <c r="B2197" s="948">
        <v>210.1</v>
      </c>
      <c r="C2197" s="948" t="s">
        <v>171</v>
      </c>
      <c r="D2197" s="947" t="s">
        <v>2</v>
      </c>
      <c r="E2197" s="950">
        <v>84</v>
      </c>
      <c r="F2197" s="950">
        <v>1</v>
      </c>
      <c r="G2197" s="951">
        <v>14350</v>
      </c>
      <c r="H2197" s="951">
        <v>14518.6</v>
      </c>
      <c r="I2197" s="18"/>
    </row>
    <row r="2198" spans="1:9">
      <c r="A2198" s="943">
        <v>5</v>
      </c>
      <c r="B2198" s="944">
        <v>220</v>
      </c>
      <c r="C2198" s="944" t="s">
        <v>172</v>
      </c>
      <c r="D2198" s="943" t="s">
        <v>2</v>
      </c>
      <c r="E2198" s="952">
        <v>4523</v>
      </c>
      <c r="F2198" s="945">
        <v>18</v>
      </c>
      <c r="G2198" s="946">
        <v>650</v>
      </c>
      <c r="H2198" s="946">
        <v>599.15</v>
      </c>
    </row>
    <row r="2199" spans="1:9" s="26" customFormat="1">
      <c r="A2199" s="947">
        <v>5</v>
      </c>
      <c r="B2199" s="948">
        <v>220.2</v>
      </c>
      <c r="C2199" s="948" t="s">
        <v>173</v>
      </c>
      <c r="D2199" s="947" t="s">
        <v>17</v>
      </c>
      <c r="E2199" s="950">
        <v>785</v>
      </c>
      <c r="F2199" s="950">
        <v>13</v>
      </c>
      <c r="G2199" s="951">
        <v>707.5</v>
      </c>
      <c r="H2199" s="951">
        <v>667.64</v>
      </c>
      <c r="I2199" s="18"/>
    </row>
    <row r="2200" spans="1:9">
      <c r="A2200" s="943">
        <v>5</v>
      </c>
      <c r="B2200" s="944">
        <v>220.3</v>
      </c>
      <c r="C2200" s="944" t="s">
        <v>174</v>
      </c>
      <c r="D2200" s="943" t="s">
        <v>2</v>
      </c>
      <c r="E2200" s="945">
        <v>158</v>
      </c>
      <c r="F2200" s="945">
        <v>8</v>
      </c>
      <c r="G2200" s="946">
        <v>1587.5</v>
      </c>
      <c r="H2200" s="946">
        <v>1520.87</v>
      </c>
    </row>
    <row r="2201" spans="1:9" s="26" customFormat="1">
      <c r="A2201" s="947">
        <v>5</v>
      </c>
      <c r="B2201" s="948">
        <v>220.5</v>
      </c>
      <c r="C2201" s="948" t="s">
        <v>175</v>
      </c>
      <c r="D2201" s="947" t="s">
        <v>2</v>
      </c>
      <c r="E2201" s="950">
        <v>201</v>
      </c>
      <c r="F2201" s="950">
        <v>9</v>
      </c>
      <c r="G2201" s="951">
        <v>1150</v>
      </c>
      <c r="H2201" s="951">
        <v>1078.21</v>
      </c>
      <c r="I2201" s="18"/>
    </row>
    <row r="2202" spans="1:9">
      <c r="A2202" s="943">
        <v>5</v>
      </c>
      <c r="B2202" s="944">
        <v>220.6</v>
      </c>
      <c r="C2202" s="944" t="s">
        <v>176</v>
      </c>
      <c r="D2202" s="943" t="s">
        <v>17</v>
      </c>
      <c r="E2202" s="945">
        <v>45</v>
      </c>
      <c r="F2202" s="945">
        <v>2</v>
      </c>
      <c r="G2202" s="946">
        <v>590</v>
      </c>
      <c r="H2202" s="946">
        <v>653.33000000000004</v>
      </c>
    </row>
    <row r="2203" spans="1:9" s="26" customFormat="1">
      <c r="A2203" s="947">
        <v>5</v>
      </c>
      <c r="B2203" s="948">
        <v>220.7</v>
      </c>
      <c r="C2203" s="948" t="s">
        <v>177</v>
      </c>
      <c r="D2203" s="947" t="s">
        <v>2</v>
      </c>
      <c r="E2203" s="950">
        <v>494</v>
      </c>
      <c r="F2203" s="950">
        <v>10</v>
      </c>
      <c r="G2203" s="951">
        <v>600</v>
      </c>
      <c r="H2203" s="951">
        <v>628.4</v>
      </c>
      <c r="I2203" s="18"/>
    </row>
    <row r="2204" spans="1:9">
      <c r="A2204" s="943">
        <v>5</v>
      </c>
      <c r="B2204" s="944">
        <v>220.8</v>
      </c>
      <c r="C2204" s="944" t="s">
        <v>178</v>
      </c>
      <c r="D2204" s="943" t="s">
        <v>2</v>
      </c>
      <c r="E2204" s="945">
        <v>6</v>
      </c>
      <c r="F2204" s="945">
        <v>1</v>
      </c>
      <c r="G2204" s="946">
        <v>1500</v>
      </c>
      <c r="H2204" s="946">
        <v>1350</v>
      </c>
    </row>
    <row r="2205" spans="1:9" s="26" customFormat="1">
      <c r="A2205" s="947">
        <v>5</v>
      </c>
      <c r="B2205" s="948">
        <v>221</v>
      </c>
      <c r="C2205" s="948" t="s">
        <v>180</v>
      </c>
      <c r="D2205" s="947" t="s">
        <v>2</v>
      </c>
      <c r="E2205" s="950">
        <v>785</v>
      </c>
      <c r="F2205" s="950">
        <v>14</v>
      </c>
      <c r="G2205" s="951">
        <v>1150</v>
      </c>
      <c r="H2205" s="951">
        <v>1103.6300000000001</v>
      </c>
      <c r="I2205" s="18"/>
    </row>
    <row r="2206" spans="1:9">
      <c r="A2206" s="943">
        <v>5</v>
      </c>
      <c r="B2206" s="944">
        <v>221.1</v>
      </c>
      <c r="C2206" s="944" t="s">
        <v>1300</v>
      </c>
      <c r="D2206" s="943" t="s">
        <v>2</v>
      </c>
      <c r="E2206" s="945">
        <v>723</v>
      </c>
      <c r="F2206" s="945">
        <v>10</v>
      </c>
      <c r="G2206" s="946">
        <v>1250</v>
      </c>
      <c r="H2206" s="946">
        <v>1153.31</v>
      </c>
    </row>
    <row r="2207" spans="1:9" s="26" customFormat="1">
      <c r="A2207" s="947">
        <v>5</v>
      </c>
      <c r="B2207" s="948">
        <v>222</v>
      </c>
      <c r="C2207" s="948" t="s">
        <v>181</v>
      </c>
      <c r="D2207" s="947" t="s">
        <v>2</v>
      </c>
      <c r="E2207" s="949">
        <v>1426</v>
      </c>
      <c r="F2207" s="950">
        <v>4</v>
      </c>
      <c r="G2207" s="951">
        <v>940</v>
      </c>
      <c r="H2207" s="951">
        <v>1024</v>
      </c>
      <c r="I2207" s="18"/>
    </row>
    <row r="2208" spans="1:9">
      <c r="A2208" s="943">
        <v>5</v>
      </c>
      <c r="B2208" s="944">
        <v>222.1</v>
      </c>
      <c r="C2208" s="944" t="s">
        <v>182</v>
      </c>
      <c r="D2208" s="943" t="s">
        <v>2</v>
      </c>
      <c r="E2208" s="952">
        <v>1374</v>
      </c>
      <c r="F2208" s="945">
        <v>14</v>
      </c>
      <c r="G2208" s="946">
        <v>1276</v>
      </c>
      <c r="H2208" s="946">
        <v>1292.1400000000001</v>
      </c>
    </row>
    <row r="2209" spans="1:9" s="26" customFormat="1">
      <c r="A2209" s="947">
        <v>5</v>
      </c>
      <c r="B2209" s="948">
        <v>222.2</v>
      </c>
      <c r="C2209" s="948" t="s">
        <v>183</v>
      </c>
      <c r="D2209" s="947" t="s">
        <v>2</v>
      </c>
      <c r="E2209" s="950">
        <v>6</v>
      </c>
      <c r="F2209" s="950">
        <v>1</v>
      </c>
      <c r="G2209" s="951">
        <v>1505</v>
      </c>
      <c r="H2209" s="951">
        <v>1435</v>
      </c>
      <c r="I2209" s="18"/>
    </row>
    <row r="2210" spans="1:9">
      <c r="A2210" s="943">
        <v>5</v>
      </c>
      <c r="B2210" s="944">
        <v>222.3</v>
      </c>
      <c r="C2210" s="944" t="s">
        <v>29</v>
      </c>
      <c r="D2210" s="943" t="s">
        <v>2</v>
      </c>
      <c r="E2210" s="945">
        <v>636</v>
      </c>
      <c r="F2210" s="945">
        <v>6</v>
      </c>
      <c r="G2210" s="946">
        <v>1230</v>
      </c>
      <c r="H2210" s="946">
        <v>1225.1300000000001</v>
      </c>
    </row>
    <row r="2211" spans="1:9" s="26" customFormat="1">
      <c r="A2211" s="947">
        <v>5</v>
      </c>
      <c r="B2211" s="948">
        <v>222.4</v>
      </c>
      <c r="C2211" s="948" t="s">
        <v>4031</v>
      </c>
      <c r="D2211" s="947" t="s">
        <v>2</v>
      </c>
      <c r="E2211" s="950">
        <v>42</v>
      </c>
      <c r="F2211" s="950">
        <v>1</v>
      </c>
      <c r="G2211" s="951">
        <v>2350</v>
      </c>
      <c r="H2211" s="951">
        <v>2297.31</v>
      </c>
      <c r="I2211" s="18"/>
    </row>
    <row r="2212" spans="1:9">
      <c r="A2212" s="943">
        <v>5</v>
      </c>
      <c r="B2212" s="944">
        <v>223.1</v>
      </c>
      <c r="C2212" s="944" t="s">
        <v>184</v>
      </c>
      <c r="D2212" s="943" t="s">
        <v>2</v>
      </c>
      <c r="E2212" s="945">
        <v>211</v>
      </c>
      <c r="F2212" s="945">
        <v>3</v>
      </c>
      <c r="G2212" s="946">
        <v>192.5</v>
      </c>
      <c r="H2212" s="946">
        <v>204.08</v>
      </c>
    </row>
    <row r="2213" spans="1:9" s="26" customFormat="1">
      <c r="A2213" s="947">
        <v>5</v>
      </c>
      <c r="B2213" s="948">
        <v>223.2</v>
      </c>
      <c r="C2213" s="948" t="s">
        <v>185</v>
      </c>
      <c r="D2213" s="947" t="s">
        <v>2</v>
      </c>
      <c r="E2213" s="949">
        <v>3047</v>
      </c>
      <c r="F2213" s="950">
        <v>16</v>
      </c>
      <c r="G2213" s="951">
        <v>150</v>
      </c>
      <c r="H2213" s="951">
        <v>147.18</v>
      </c>
      <c r="I2213" s="18"/>
    </row>
    <row r="2214" spans="1:9">
      <c r="A2214" s="943">
        <v>5</v>
      </c>
      <c r="B2214" s="944">
        <v>224.1</v>
      </c>
      <c r="C2214" s="944" t="s">
        <v>186</v>
      </c>
      <c r="D2214" s="943" t="s">
        <v>2</v>
      </c>
      <c r="E2214" s="945">
        <v>53</v>
      </c>
      <c r="F2214" s="945">
        <v>3</v>
      </c>
      <c r="G2214" s="946">
        <v>685</v>
      </c>
      <c r="H2214" s="946">
        <v>688.13</v>
      </c>
    </row>
    <row r="2215" spans="1:9" s="26" customFormat="1">
      <c r="A2215" s="947">
        <v>5</v>
      </c>
      <c r="B2215" s="948">
        <v>224.12</v>
      </c>
      <c r="C2215" s="948" t="s">
        <v>187</v>
      </c>
      <c r="D2215" s="947" t="s">
        <v>2</v>
      </c>
      <c r="E2215" s="950">
        <v>200</v>
      </c>
      <c r="F2215" s="950">
        <v>4</v>
      </c>
      <c r="G2215" s="951">
        <v>750</v>
      </c>
      <c r="H2215" s="951">
        <v>680.87</v>
      </c>
      <c r="I2215" s="18"/>
    </row>
    <row r="2216" spans="1:9">
      <c r="A2216" s="943">
        <v>5</v>
      </c>
      <c r="B2216" s="944">
        <v>227.3</v>
      </c>
      <c r="C2216" s="944" t="s">
        <v>189</v>
      </c>
      <c r="D2216" s="943" t="s">
        <v>4</v>
      </c>
      <c r="E2216" s="952">
        <v>3395</v>
      </c>
      <c r="F2216" s="945">
        <v>14</v>
      </c>
      <c r="G2216" s="946">
        <v>360</v>
      </c>
      <c r="H2216" s="946">
        <v>365.82</v>
      </c>
    </row>
    <row r="2217" spans="1:9" s="26" customFormat="1">
      <c r="A2217" s="947">
        <v>5</v>
      </c>
      <c r="B2217" s="948">
        <v>227.31</v>
      </c>
      <c r="C2217" s="948" t="s">
        <v>190</v>
      </c>
      <c r="D2217" s="947" t="s">
        <v>17</v>
      </c>
      <c r="E2217" s="949">
        <v>139390</v>
      </c>
      <c r="F2217" s="950">
        <v>14</v>
      </c>
      <c r="G2217" s="951">
        <v>12</v>
      </c>
      <c r="H2217" s="951">
        <v>11.84</v>
      </c>
      <c r="I2217" s="18"/>
    </row>
    <row r="2218" spans="1:9">
      <c r="A2218" s="943">
        <v>5</v>
      </c>
      <c r="B2218" s="944">
        <v>227.4</v>
      </c>
      <c r="C2218" s="944" t="s">
        <v>191</v>
      </c>
      <c r="D2218" s="943" t="s">
        <v>3</v>
      </c>
      <c r="E2218" s="945">
        <v>80</v>
      </c>
      <c r="F2218" s="945">
        <v>4</v>
      </c>
      <c r="G2218" s="946">
        <v>240</v>
      </c>
      <c r="H2218" s="946">
        <v>230.22</v>
      </c>
    </row>
    <row r="2219" spans="1:9" s="26" customFormat="1">
      <c r="A2219" s="947">
        <v>5</v>
      </c>
      <c r="B2219" s="948">
        <v>234.12</v>
      </c>
      <c r="C2219" s="948" t="s">
        <v>195</v>
      </c>
      <c r="D2219" s="947" t="s">
        <v>17</v>
      </c>
      <c r="E2219" s="950">
        <v>280</v>
      </c>
      <c r="F2219" s="950">
        <v>2</v>
      </c>
      <c r="G2219" s="951">
        <v>131.5</v>
      </c>
      <c r="H2219" s="951">
        <v>122.6</v>
      </c>
      <c r="I2219" s="18"/>
    </row>
    <row r="2220" spans="1:9">
      <c r="A2220" s="943">
        <v>5</v>
      </c>
      <c r="B2220" s="944">
        <v>238.1</v>
      </c>
      <c r="C2220" s="944" t="s">
        <v>207</v>
      </c>
      <c r="D2220" s="943" t="s">
        <v>17</v>
      </c>
      <c r="E2220" s="952">
        <v>1180</v>
      </c>
      <c r="F2220" s="945">
        <v>5</v>
      </c>
      <c r="G2220" s="946">
        <v>327.5</v>
      </c>
      <c r="H2220" s="946">
        <v>279.70999999999998</v>
      </c>
    </row>
    <row r="2221" spans="1:9" s="26" customFormat="1">
      <c r="A2221" s="947">
        <v>5</v>
      </c>
      <c r="B2221" s="948">
        <v>238.12</v>
      </c>
      <c r="C2221" s="948" t="s">
        <v>208</v>
      </c>
      <c r="D2221" s="947" t="s">
        <v>17</v>
      </c>
      <c r="E2221" s="949">
        <v>1770</v>
      </c>
      <c r="F2221" s="950">
        <v>6</v>
      </c>
      <c r="G2221" s="951">
        <v>297.5</v>
      </c>
      <c r="H2221" s="951">
        <v>274.25</v>
      </c>
      <c r="I2221" s="18"/>
    </row>
    <row r="2222" spans="1:9">
      <c r="A2222" s="943">
        <v>5</v>
      </c>
      <c r="B2222" s="944">
        <v>238.16</v>
      </c>
      <c r="C2222" s="944" t="s">
        <v>209</v>
      </c>
      <c r="D2222" s="943" t="s">
        <v>17</v>
      </c>
      <c r="E2222" s="945">
        <v>60</v>
      </c>
      <c r="F2222" s="945">
        <v>1</v>
      </c>
      <c r="G2222" s="946">
        <v>275</v>
      </c>
      <c r="H2222" s="946">
        <v>275</v>
      </c>
    </row>
    <row r="2223" spans="1:9" s="26" customFormat="1">
      <c r="A2223" s="947">
        <v>5</v>
      </c>
      <c r="B2223" s="948">
        <v>238.24</v>
      </c>
      <c r="C2223" s="948" t="s">
        <v>210</v>
      </c>
      <c r="D2223" s="947" t="s">
        <v>17</v>
      </c>
      <c r="E2223" s="950">
        <v>12</v>
      </c>
      <c r="F2223" s="950">
        <v>1</v>
      </c>
      <c r="G2223" s="951">
        <v>410</v>
      </c>
      <c r="H2223" s="951">
        <v>410</v>
      </c>
      <c r="I2223" s="18"/>
    </row>
    <row r="2224" spans="1:9">
      <c r="A2224" s="943">
        <v>5</v>
      </c>
      <c r="B2224" s="944">
        <v>241.12</v>
      </c>
      <c r="C2224" s="944" t="s">
        <v>3996</v>
      </c>
      <c r="D2224" s="943" t="s">
        <v>17</v>
      </c>
      <c r="E2224" s="952">
        <v>12565</v>
      </c>
      <c r="F2224" s="945">
        <v>8</v>
      </c>
      <c r="G2224" s="946">
        <v>185.61</v>
      </c>
      <c r="H2224" s="946">
        <v>177.01</v>
      </c>
    </row>
    <row r="2225" spans="1:9" s="26" customFormat="1">
      <c r="A2225" s="947">
        <v>5</v>
      </c>
      <c r="B2225" s="948">
        <v>241.15</v>
      </c>
      <c r="C2225" s="948" t="s">
        <v>3997</v>
      </c>
      <c r="D2225" s="947" t="s">
        <v>17</v>
      </c>
      <c r="E2225" s="950">
        <v>850</v>
      </c>
      <c r="F2225" s="950">
        <v>4</v>
      </c>
      <c r="G2225" s="951">
        <v>185</v>
      </c>
      <c r="H2225" s="951">
        <v>172.71</v>
      </c>
      <c r="I2225" s="18"/>
    </row>
    <row r="2226" spans="1:9">
      <c r="A2226" s="943">
        <v>5</v>
      </c>
      <c r="B2226" s="944">
        <v>241.18</v>
      </c>
      <c r="C2226" s="944" t="s">
        <v>3998</v>
      </c>
      <c r="D2226" s="943" t="s">
        <v>17</v>
      </c>
      <c r="E2226" s="945">
        <v>728</v>
      </c>
      <c r="F2226" s="945">
        <v>4</v>
      </c>
      <c r="G2226" s="946">
        <v>190</v>
      </c>
      <c r="H2226" s="946">
        <v>168.52</v>
      </c>
    </row>
    <row r="2227" spans="1:9" s="26" customFormat="1">
      <c r="A2227" s="947">
        <v>5</v>
      </c>
      <c r="B2227" s="948">
        <v>241.42</v>
      </c>
      <c r="C2227" s="948" t="s">
        <v>4032</v>
      </c>
      <c r="D2227" s="947" t="s">
        <v>17</v>
      </c>
      <c r="E2227" s="950">
        <v>630</v>
      </c>
      <c r="F2227" s="950">
        <v>1</v>
      </c>
      <c r="G2227" s="951">
        <v>260</v>
      </c>
      <c r="H2227" s="951">
        <v>277.52</v>
      </c>
      <c r="I2227" s="18"/>
    </row>
    <row r="2228" spans="1:9">
      <c r="A2228" s="943">
        <v>5</v>
      </c>
      <c r="B2228" s="944">
        <v>242.12</v>
      </c>
      <c r="C2228" s="944" t="s">
        <v>219</v>
      </c>
      <c r="D2228" s="943" t="s">
        <v>2</v>
      </c>
      <c r="E2228" s="945">
        <v>21</v>
      </c>
      <c r="F2228" s="945">
        <v>2</v>
      </c>
      <c r="G2228" s="946">
        <v>1850</v>
      </c>
      <c r="H2228" s="946">
        <v>1828</v>
      </c>
    </row>
    <row r="2229" spans="1:9" s="26" customFormat="1">
      <c r="A2229" s="947">
        <v>5</v>
      </c>
      <c r="B2229" s="948">
        <v>242.18</v>
      </c>
      <c r="C2229" s="948" t="s">
        <v>221</v>
      </c>
      <c r="D2229" s="947" t="s">
        <v>2</v>
      </c>
      <c r="E2229" s="950">
        <v>6</v>
      </c>
      <c r="F2229" s="950">
        <v>1</v>
      </c>
      <c r="G2229" s="951">
        <v>2000</v>
      </c>
      <c r="H2229" s="951">
        <v>2003.96</v>
      </c>
      <c r="I2229" s="18"/>
    </row>
    <row r="2230" spans="1:9">
      <c r="A2230" s="943">
        <v>5</v>
      </c>
      <c r="B2230" s="944">
        <v>242.42</v>
      </c>
      <c r="C2230" s="944" t="s">
        <v>1310</v>
      </c>
      <c r="D2230" s="943" t="s">
        <v>2</v>
      </c>
      <c r="E2230" s="945">
        <v>6</v>
      </c>
      <c r="F2230" s="945">
        <v>1</v>
      </c>
      <c r="G2230" s="946">
        <v>3750</v>
      </c>
      <c r="H2230" s="946">
        <v>3831.49</v>
      </c>
    </row>
    <row r="2231" spans="1:9" s="26" customFormat="1">
      <c r="A2231" s="947">
        <v>5</v>
      </c>
      <c r="B2231" s="948">
        <v>243.12</v>
      </c>
      <c r="C2231" s="948" t="s">
        <v>226</v>
      </c>
      <c r="D2231" s="947" t="s">
        <v>17</v>
      </c>
      <c r="E2231" s="949">
        <v>1620</v>
      </c>
      <c r="F2231" s="950">
        <v>2</v>
      </c>
      <c r="G2231" s="951">
        <v>168</v>
      </c>
      <c r="H2231" s="951">
        <v>155.96</v>
      </c>
      <c r="I2231" s="18"/>
    </row>
    <row r="2232" spans="1:9">
      <c r="A2232" s="943">
        <v>5</v>
      </c>
      <c r="B2232" s="944">
        <v>244.12</v>
      </c>
      <c r="C2232" s="944" t="s">
        <v>229</v>
      </c>
      <c r="D2232" s="943" t="s">
        <v>17</v>
      </c>
      <c r="E2232" s="952">
        <v>4865</v>
      </c>
      <c r="F2232" s="945">
        <v>4</v>
      </c>
      <c r="G2232" s="946">
        <v>241</v>
      </c>
      <c r="H2232" s="946">
        <v>215.2</v>
      </c>
    </row>
    <row r="2233" spans="1:9" s="26" customFormat="1">
      <c r="A2233" s="947">
        <v>5</v>
      </c>
      <c r="B2233" s="948">
        <v>244.15</v>
      </c>
      <c r="C2233" s="948" t="s">
        <v>230</v>
      </c>
      <c r="D2233" s="947" t="s">
        <v>17</v>
      </c>
      <c r="E2233" s="950">
        <v>60</v>
      </c>
      <c r="F2233" s="950">
        <v>1</v>
      </c>
      <c r="G2233" s="951">
        <v>124</v>
      </c>
      <c r="H2233" s="951">
        <v>124</v>
      </c>
      <c r="I2233" s="18"/>
    </row>
    <row r="2234" spans="1:9">
      <c r="A2234" s="943">
        <v>5</v>
      </c>
      <c r="B2234" s="944">
        <v>250.06</v>
      </c>
      <c r="C2234" s="944" t="s">
        <v>235</v>
      </c>
      <c r="D2234" s="943" t="s">
        <v>17</v>
      </c>
      <c r="E2234" s="952">
        <v>1455</v>
      </c>
      <c r="F2234" s="945">
        <v>1</v>
      </c>
      <c r="G2234" s="946">
        <v>287.75</v>
      </c>
      <c r="H2234" s="946">
        <v>255.51</v>
      </c>
    </row>
    <row r="2235" spans="1:9" s="26" customFormat="1">
      <c r="A2235" s="947">
        <v>5</v>
      </c>
      <c r="B2235" s="948">
        <v>250.08</v>
      </c>
      <c r="C2235" s="948" t="s">
        <v>236</v>
      </c>
      <c r="D2235" s="947" t="s">
        <v>17</v>
      </c>
      <c r="E2235" s="950">
        <v>135</v>
      </c>
      <c r="F2235" s="950">
        <v>1</v>
      </c>
      <c r="G2235" s="951">
        <v>418.75</v>
      </c>
      <c r="H2235" s="951">
        <v>445.83</v>
      </c>
      <c r="I2235" s="18"/>
    </row>
    <row r="2236" spans="1:9">
      <c r="A2236" s="943">
        <v>5</v>
      </c>
      <c r="B2236" s="944">
        <v>250.12</v>
      </c>
      <c r="C2236" s="944" t="s">
        <v>2186</v>
      </c>
      <c r="D2236" s="943" t="s">
        <v>17</v>
      </c>
      <c r="E2236" s="952">
        <v>9300</v>
      </c>
      <c r="F2236" s="945">
        <v>1</v>
      </c>
      <c r="G2236" s="946">
        <v>359.75</v>
      </c>
      <c r="H2236" s="946">
        <v>383.06</v>
      </c>
    </row>
    <row r="2237" spans="1:9" s="26" customFormat="1">
      <c r="A2237" s="947">
        <v>5</v>
      </c>
      <c r="B2237" s="948">
        <v>258</v>
      </c>
      <c r="C2237" s="948" t="s">
        <v>238</v>
      </c>
      <c r="D2237" s="947" t="s">
        <v>1</v>
      </c>
      <c r="E2237" s="950">
        <v>300</v>
      </c>
      <c r="F2237" s="950">
        <v>4</v>
      </c>
      <c r="G2237" s="951">
        <v>110</v>
      </c>
      <c r="H2237" s="951">
        <v>97.64</v>
      </c>
      <c r="I2237" s="18"/>
    </row>
    <row r="2238" spans="1:9">
      <c r="A2238" s="943">
        <v>5</v>
      </c>
      <c r="B2238" s="944">
        <v>271.12</v>
      </c>
      <c r="C2238" s="944" t="s">
        <v>243</v>
      </c>
      <c r="D2238" s="943" t="s">
        <v>17</v>
      </c>
      <c r="E2238" s="945">
        <v>195</v>
      </c>
      <c r="F2238" s="945">
        <v>1</v>
      </c>
      <c r="G2238" s="946">
        <v>40</v>
      </c>
      <c r="H2238" s="946">
        <v>35.06</v>
      </c>
    </row>
    <row r="2239" spans="1:9" s="26" customFormat="1">
      <c r="A2239" s="947">
        <v>5</v>
      </c>
      <c r="B2239" s="948">
        <v>271.14999999999998</v>
      </c>
      <c r="C2239" s="948" t="s">
        <v>2242</v>
      </c>
      <c r="D2239" s="947" t="s">
        <v>17</v>
      </c>
      <c r="E2239" s="950">
        <v>285</v>
      </c>
      <c r="F2239" s="950">
        <v>1</v>
      </c>
      <c r="G2239" s="951">
        <v>42.5</v>
      </c>
      <c r="H2239" s="951">
        <v>36.94</v>
      </c>
      <c r="I2239" s="18"/>
    </row>
    <row r="2240" spans="1:9">
      <c r="A2240" s="943">
        <v>5</v>
      </c>
      <c r="B2240" s="944">
        <v>271.18</v>
      </c>
      <c r="C2240" s="944" t="s">
        <v>2243</v>
      </c>
      <c r="D2240" s="943" t="s">
        <v>17</v>
      </c>
      <c r="E2240" s="945">
        <v>200</v>
      </c>
      <c r="F2240" s="945">
        <v>1</v>
      </c>
      <c r="G2240" s="946">
        <v>55</v>
      </c>
      <c r="H2240" s="946">
        <v>54.43</v>
      </c>
    </row>
    <row r="2241" spans="1:9" s="26" customFormat="1">
      <c r="A2241" s="947">
        <v>5</v>
      </c>
      <c r="B2241" s="948">
        <v>280</v>
      </c>
      <c r="C2241" s="948" t="s">
        <v>244</v>
      </c>
      <c r="D2241" s="947" t="s">
        <v>1</v>
      </c>
      <c r="E2241" s="950">
        <v>35</v>
      </c>
      <c r="F2241" s="950">
        <v>2</v>
      </c>
      <c r="G2241" s="951">
        <v>100</v>
      </c>
      <c r="H2241" s="951">
        <v>93.33</v>
      </c>
      <c r="I2241" s="18"/>
    </row>
    <row r="2242" spans="1:9">
      <c r="A2242" s="943">
        <v>5</v>
      </c>
      <c r="B2242" s="944">
        <v>281</v>
      </c>
      <c r="C2242" s="944" t="s">
        <v>245</v>
      </c>
      <c r="D2242" s="943" t="s">
        <v>1</v>
      </c>
      <c r="E2242" s="945">
        <v>30</v>
      </c>
      <c r="F2242" s="945">
        <v>1</v>
      </c>
      <c r="G2242" s="946">
        <v>500</v>
      </c>
      <c r="H2242" s="946">
        <v>473.33</v>
      </c>
    </row>
    <row r="2243" spans="1:9" s="26" customFormat="1">
      <c r="A2243" s="947">
        <v>5</v>
      </c>
      <c r="B2243" s="948">
        <v>302.06</v>
      </c>
      <c r="C2243" s="948" t="s">
        <v>247</v>
      </c>
      <c r="D2243" s="947" t="s">
        <v>17</v>
      </c>
      <c r="E2243" s="950">
        <v>200</v>
      </c>
      <c r="F2243" s="950">
        <v>1</v>
      </c>
      <c r="G2243" s="951">
        <v>225</v>
      </c>
      <c r="H2243" s="951">
        <v>211.8</v>
      </c>
      <c r="I2243" s="18"/>
    </row>
    <row r="2244" spans="1:9">
      <c r="A2244" s="943">
        <v>5</v>
      </c>
      <c r="B2244" s="944">
        <v>303.06</v>
      </c>
      <c r="C2244" s="944" t="s">
        <v>251</v>
      </c>
      <c r="D2244" s="943" t="s">
        <v>17</v>
      </c>
      <c r="E2244" s="945">
        <v>720</v>
      </c>
      <c r="F2244" s="945">
        <v>5</v>
      </c>
      <c r="G2244" s="946">
        <v>302.5</v>
      </c>
      <c r="H2244" s="946">
        <v>324.5</v>
      </c>
    </row>
    <row r="2245" spans="1:9" s="26" customFormat="1">
      <c r="A2245" s="947">
        <v>5</v>
      </c>
      <c r="B2245" s="948">
        <v>303.08</v>
      </c>
      <c r="C2245" s="948" t="s">
        <v>252</v>
      </c>
      <c r="D2245" s="947" t="s">
        <v>17</v>
      </c>
      <c r="E2245" s="950">
        <v>690</v>
      </c>
      <c r="F2245" s="950">
        <v>1</v>
      </c>
      <c r="G2245" s="951">
        <v>246.11</v>
      </c>
      <c r="H2245" s="951">
        <v>210.07</v>
      </c>
      <c r="I2245" s="18"/>
    </row>
    <row r="2246" spans="1:9">
      <c r="A2246" s="943">
        <v>5</v>
      </c>
      <c r="B2246" s="944">
        <v>303.12</v>
      </c>
      <c r="C2246" s="944" t="s">
        <v>254</v>
      </c>
      <c r="D2246" s="943" t="s">
        <v>17</v>
      </c>
      <c r="E2246" s="945">
        <v>890</v>
      </c>
      <c r="F2246" s="945">
        <v>2</v>
      </c>
      <c r="G2246" s="946">
        <v>325</v>
      </c>
      <c r="H2246" s="946">
        <v>335.5</v>
      </c>
    </row>
    <row r="2247" spans="1:9" s="26" customFormat="1">
      <c r="A2247" s="947">
        <v>5</v>
      </c>
      <c r="B2247" s="948">
        <v>309</v>
      </c>
      <c r="C2247" s="948" t="s">
        <v>256</v>
      </c>
      <c r="D2247" s="947" t="s">
        <v>100</v>
      </c>
      <c r="E2247" s="949">
        <v>12040</v>
      </c>
      <c r="F2247" s="950">
        <v>5</v>
      </c>
      <c r="G2247" s="951">
        <v>11</v>
      </c>
      <c r="H2247" s="951">
        <v>10.72</v>
      </c>
      <c r="I2247" s="18"/>
    </row>
    <row r="2248" spans="1:9">
      <c r="A2248" s="943">
        <v>5</v>
      </c>
      <c r="B2248" s="944">
        <v>315.08</v>
      </c>
      <c r="C2248" s="944" t="s">
        <v>1324</v>
      </c>
      <c r="D2248" s="943" t="s">
        <v>17</v>
      </c>
      <c r="E2248" s="945">
        <v>60</v>
      </c>
      <c r="F2248" s="945">
        <v>1</v>
      </c>
      <c r="G2248" s="946">
        <v>75</v>
      </c>
      <c r="H2248" s="946">
        <v>62.5</v>
      </c>
    </row>
    <row r="2249" spans="1:9" s="26" customFormat="1">
      <c r="A2249" s="947">
        <v>5</v>
      </c>
      <c r="B2249" s="948">
        <v>315.10000000000002</v>
      </c>
      <c r="C2249" s="948" t="s">
        <v>2264</v>
      </c>
      <c r="D2249" s="947" t="s">
        <v>17</v>
      </c>
      <c r="E2249" s="950">
        <v>40</v>
      </c>
      <c r="F2249" s="950">
        <v>1</v>
      </c>
      <c r="G2249" s="951">
        <v>75</v>
      </c>
      <c r="H2249" s="951">
        <v>62.5</v>
      </c>
      <c r="I2249" s="18"/>
    </row>
    <row r="2250" spans="1:9">
      <c r="A2250" s="943">
        <v>5</v>
      </c>
      <c r="B2250" s="944">
        <v>336.1</v>
      </c>
      <c r="C2250" s="944" t="s">
        <v>258</v>
      </c>
      <c r="D2250" s="943" t="s">
        <v>17</v>
      </c>
      <c r="E2250" s="945">
        <v>170</v>
      </c>
      <c r="F2250" s="945">
        <v>2</v>
      </c>
      <c r="G2250" s="946">
        <v>130</v>
      </c>
      <c r="H2250" s="946">
        <v>127.83</v>
      </c>
    </row>
    <row r="2251" spans="1:9" s="26" customFormat="1">
      <c r="A2251" s="947">
        <v>5</v>
      </c>
      <c r="B2251" s="948">
        <v>347.1</v>
      </c>
      <c r="C2251" s="948" t="s">
        <v>260</v>
      </c>
      <c r="D2251" s="947" t="s">
        <v>17</v>
      </c>
      <c r="E2251" s="949">
        <v>1150</v>
      </c>
      <c r="F2251" s="950">
        <v>2</v>
      </c>
      <c r="G2251" s="951">
        <v>130</v>
      </c>
      <c r="H2251" s="951">
        <v>114</v>
      </c>
      <c r="I2251" s="18"/>
    </row>
    <row r="2252" spans="1:9">
      <c r="A2252" s="943">
        <v>5</v>
      </c>
      <c r="B2252" s="944">
        <v>347.2</v>
      </c>
      <c r="C2252" s="944" t="s">
        <v>261</v>
      </c>
      <c r="D2252" s="943" t="s">
        <v>17</v>
      </c>
      <c r="E2252" s="952">
        <v>1000</v>
      </c>
      <c r="F2252" s="945">
        <v>1</v>
      </c>
      <c r="G2252" s="946">
        <v>125</v>
      </c>
      <c r="H2252" s="946">
        <v>107.5</v>
      </c>
    </row>
    <row r="2253" spans="1:9" s="26" customFormat="1">
      <c r="A2253" s="947">
        <v>5</v>
      </c>
      <c r="B2253" s="948">
        <v>350.06</v>
      </c>
      <c r="C2253" s="948" t="s">
        <v>264</v>
      </c>
      <c r="D2253" s="947" t="s">
        <v>2</v>
      </c>
      <c r="E2253" s="950">
        <v>22</v>
      </c>
      <c r="F2253" s="950">
        <v>2</v>
      </c>
      <c r="G2253" s="951">
        <v>3600</v>
      </c>
      <c r="H2253" s="951">
        <v>3431.33</v>
      </c>
      <c r="I2253" s="18"/>
    </row>
    <row r="2254" spans="1:9">
      <c r="A2254" s="943">
        <v>5</v>
      </c>
      <c r="B2254" s="944">
        <v>350.08</v>
      </c>
      <c r="C2254" s="944" t="s">
        <v>265</v>
      </c>
      <c r="D2254" s="943" t="s">
        <v>2</v>
      </c>
      <c r="E2254" s="945">
        <v>12</v>
      </c>
      <c r="F2254" s="945">
        <v>1</v>
      </c>
      <c r="G2254" s="946">
        <v>4877.79</v>
      </c>
      <c r="H2254" s="946">
        <v>4481.8599999999997</v>
      </c>
    </row>
    <row r="2255" spans="1:9" s="26" customFormat="1">
      <c r="A2255" s="947">
        <v>5</v>
      </c>
      <c r="B2255" s="948">
        <v>350.1</v>
      </c>
      <c r="C2255" s="948" t="s">
        <v>266</v>
      </c>
      <c r="D2255" s="947" t="s">
        <v>2</v>
      </c>
      <c r="E2255" s="950">
        <v>20</v>
      </c>
      <c r="F2255" s="950">
        <v>1</v>
      </c>
      <c r="G2255" s="951">
        <v>8750</v>
      </c>
      <c r="H2255" s="951">
        <v>8095.4</v>
      </c>
      <c r="I2255" s="18"/>
    </row>
    <row r="2256" spans="1:9">
      <c r="A2256" s="943">
        <v>5</v>
      </c>
      <c r="B2256" s="944">
        <v>350.12</v>
      </c>
      <c r="C2256" s="944" t="s">
        <v>267</v>
      </c>
      <c r="D2256" s="943" t="s">
        <v>2</v>
      </c>
      <c r="E2256" s="945">
        <v>8</v>
      </c>
      <c r="F2256" s="945">
        <v>1</v>
      </c>
      <c r="G2256" s="946">
        <v>11376</v>
      </c>
      <c r="H2256" s="946">
        <v>10444</v>
      </c>
    </row>
    <row r="2257" spans="1:9" s="26" customFormat="1">
      <c r="A2257" s="947">
        <v>5</v>
      </c>
      <c r="B2257" s="948">
        <v>354.12</v>
      </c>
      <c r="C2257" s="948" t="s">
        <v>2303</v>
      </c>
      <c r="D2257" s="947" t="s">
        <v>2</v>
      </c>
      <c r="E2257" s="950">
        <v>4</v>
      </c>
      <c r="F2257" s="950">
        <v>1</v>
      </c>
      <c r="G2257" s="951">
        <v>715</v>
      </c>
      <c r="H2257" s="951">
        <v>657.5</v>
      </c>
      <c r="I2257" s="18"/>
    </row>
    <row r="2258" spans="1:9">
      <c r="A2258" s="943">
        <v>5</v>
      </c>
      <c r="B2258" s="944">
        <v>355.08</v>
      </c>
      <c r="C2258" s="944" t="s">
        <v>1335</v>
      </c>
      <c r="D2258" s="943" t="s">
        <v>2</v>
      </c>
      <c r="E2258" s="945">
        <v>3</v>
      </c>
      <c r="F2258" s="945">
        <v>1</v>
      </c>
      <c r="G2258" s="946">
        <v>1360</v>
      </c>
      <c r="H2258" s="946">
        <v>1286.67</v>
      </c>
    </row>
    <row r="2259" spans="1:9" s="26" customFormat="1">
      <c r="A2259" s="947">
        <v>5</v>
      </c>
      <c r="B2259" s="948">
        <v>355.1</v>
      </c>
      <c r="C2259" s="948" t="s">
        <v>2308</v>
      </c>
      <c r="D2259" s="947" t="s">
        <v>2</v>
      </c>
      <c r="E2259" s="950">
        <v>6</v>
      </c>
      <c r="F2259" s="950">
        <v>1</v>
      </c>
      <c r="G2259" s="951">
        <v>1500</v>
      </c>
      <c r="H2259" s="951">
        <v>1433.33</v>
      </c>
      <c r="I2259" s="18"/>
    </row>
    <row r="2260" spans="1:9">
      <c r="A2260" s="943">
        <v>5</v>
      </c>
      <c r="B2260" s="944">
        <v>357.06</v>
      </c>
      <c r="C2260" s="944" t="s">
        <v>268</v>
      </c>
      <c r="D2260" s="943" t="s">
        <v>2</v>
      </c>
      <c r="E2260" s="945">
        <v>50</v>
      </c>
      <c r="F2260" s="945">
        <v>6</v>
      </c>
      <c r="G2260" s="946">
        <v>615</v>
      </c>
      <c r="H2260" s="946">
        <v>521.5</v>
      </c>
    </row>
    <row r="2261" spans="1:9" s="26" customFormat="1">
      <c r="A2261" s="947">
        <v>5</v>
      </c>
      <c r="B2261" s="948">
        <v>357.08</v>
      </c>
      <c r="C2261" s="948" t="s">
        <v>269</v>
      </c>
      <c r="D2261" s="947" t="s">
        <v>2</v>
      </c>
      <c r="E2261" s="950">
        <v>12</v>
      </c>
      <c r="F2261" s="950">
        <v>4</v>
      </c>
      <c r="G2261" s="951">
        <v>700</v>
      </c>
      <c r="H2261" s="951">
        <v>661.89</v>
      </c>
      <c r="I2261" s="18"/>
    </row>
    <row r="2262" spans="1:9">
      <c r="A2262" s="943">
        <v>5</v>
      </c>
      <c r="B2262" s="944">
        <v>357.1</v>
      </c>
      <c r="C2262" s="944" t="s">
        <v>270</v>
      </c>
      <c r="D2262" s="943" t="s">
        <v>2</v>
      </c>
      <c r="E2262" s="945">
        <v>20</v>
      </c>
      <c r="F2262" s="945">
        <v>3</v>
      </c>
      <c r="G2262" s="946">
        <v>422</v>
      </c>
      <c r="H2262" s="946">
        <v>359.67</v>
      </c>
    </row>
    <row r="2263" spans="1:9" s="26" customFormat="1">
      <c r="A2263" s="947">
        <v>5</v>
      </c>
      <c r="B2263" s="948">
        <v>357.12</v>
      </c>
      <c r="C2263" s="948" t="s">
        <v>271</v>
      </c>
      <c r="D2263" s="947" t="s">
        <v>2</v>
      </c>
      <c r="E2263" s="950">
        <v>32</v>
      </c>
      <c r="F2263" s="950">
        <v>5</v>
      </c>
      <c r="G2263" s="951">
        <v>810</v>
      </c>
      <c r="H2263" s="951">
        <v>730.08</v>
      </c>
      <c r="I2263" s="18"/>
    </row>
    <row r="2264" spans="1:9">
      <c r="A2264" s="943">
        <v>5</v>
      </c>
      <c r="B2264" s="944">
        <v>357.16</v>
      </c>
      <c r="C2264" s="944" t="s">
        <v>272</v>
      </c>
      <c r="D2264" s="943" t="s">
        <v>2</v>
      </c>
      <c r="E2264" s="945">
        <v>6</v>
      </c>
      <c r="F2264" s="945">
        <v>2</v>
      </c>
      <c r="G2264" s="946">
        <v>775</v>
      </c>
      <c r="H2264" s="946">
        <v>556.5</v>
      </c>
    </row>
    <row r="2265" spans="1:9" s="26" customFormat="1">
      <c r="A2265" s="947">
        <v>5</v>
      </c>
      <c r="B2265" s="948">
        <v>357.2</v>
      </c>
      <c r="C2265" s="948" t="s">
        <v>2314</v>
      </c>
      <c r="D2265" s="947" t="s">
        <v>2</v>
      </c>
      <c r="E2265" s="950">
        <v>2</v>
      </c>
      <c r="F2265" s="950">
        <v>1</v>
      </c>
      <c r="G2265" s="951">
        <v>1000</v>
      </c>
      <c r="H2265" s="951">
        <v>825</v>
      </c>
      <c r="I2265" s="18"/>
    </row>
    <row r="2266" spans="1:9">
      <c r="A2266" s="943">
        <v>5</v>
      </c>
      <c r="B2266" s="944">
        <v>358</v>
      </c>
      <c r="C2266" s="944" t="s">
        <v>274</v>
      </c>
      <c r="D2266" s="943" t="s">
        <v>2</v>
      </c>
      <c r="E2266" s="952">
        <v>1353</v>
      </c>
      <c r="F2266" s="945">
        <v>16</v>
      </c>
      <c r="G2266" s="946">
        <v>325</v>
      </c>
      <c r="H2266" s="946">
        <v>327.92</v>
      </c>
    </row>
    <row r="2267" spans="1:9" s="26" customFormat="1">
      <c r="A2267" s="947">
        <v>5</v>
      </c>
      <c r="B2267" s="948">
        <v>358.1</v>
      </c>
      <c r="C2267" s="948" t="s">
        <v>275</v>
      </c>
      <c r="D2267" s="947" t="s">
        <v>2</v>
      </c>
      <c r="E2267" s="950">
        <v>26</v>
      </c>
      <c r="F2267" s="950">
        <v>3</v>
      </c>
      <c r="G2267" s="951">
        <v>250</v>
      </c>
      <c r="H2267" s="951">
        <v>271</v>
      </c>
      <c r="I2267" s="18"/>
    </row>
    <row r="2268" spans="1:9">
      <c r="A2268" s="943">
        <v>5</v>
      </c>
      <c r="B2268" s="944">
        <v>363.1</v>
      </c>
      <c r="C2268" s="944" t="s">
        <v>276</v>
      </c>
      <c r="D2268" s="943" t="s">
        <v>2</v>
      </c>
      <c r="E2268" s="945">
        <v>47</v>
      </c>
      <c r="F2268" s="945">
        <v>3</v>
      </c>
      <c r="G2268" s="946">
        <v>1280</v>
      </c>
      <c r="H2268" s="946">
        <v>1262</v>
      </c>
    </row>
    <row r="2269" spans="1:9" s="26" customFormat="1">
      <c r="A2269" s="947">
        <v>5</v>
      </c>
      <c r="B2269" s="948">
        <v>363.2</v>
      </c>
      <c r="C2269" s="948" t="s">
        <v>277</v>
      </c>
      <c r="D2269" s="947" t="s">
        <v>2</v>
      </c>
      <c r="E2269" s="950">
        <v>41</v>
      </c>
      <c r="F2269" s="950">
        <v>2</v>
      </c>
      <c r="G2269" s="951">
        <v>1750</v>
      </c>
      <c r="H2269" s="951">
        <v>2066.67</v>
      </c>
      <c r="I2269" s="18"/>
    </row>
    <row r="2270" spans="1:9">
      <c r="A2270" s="943">
        <v>5</v>
      </c>
      <c r="B2270" s="944">
        <v>367.06</v>
      </c>
      <c r="C2270" s="944" t="s">
        <v>278</v>
      </c>
      <c r="D2270" s="943" t="s">
        <v>2</v>
      </c>
      <c r="E2270" s="945">
        <v>22</v>
      </c>
      <c r="F2270" s="945">
        <v>3</v>
      </c>
      <c r="G2270" s="946">
        <v>775</v>
      </c>
      <c r="H2270" s="946">
        <v>818.33</v>
      </c>
    </row>
    <row r="2271" spans="1:9" s="26" customFormat="1">
      <c r="A2271" s="947">
        <v>5</v>
      </c>
      <c r="B2271" s="948">
        <v>369.06</v>
      </c>
      <c r="C2271" s="948" t="s">
        <v>2322</v>
      </c>
      <c r="D2271" s="947" t="s">
        <v>2</v>
      </c>
      <c r="E2271" s="950">
        <v>9</v>
      </c>
      <c r="F2271" s="950">
        <v>1</v>
      </c>
      <c r="G2271" s="951">
        <v>19000</v>
      </c>
      <c r="H2271" s="951">
        <v>16333.33</v>
      </c>
      <c r="I2271" s="18"/>
    </row>
    <row r="2272" spans="1:9">
      <c r="A2272" s="943">
        <v>5</v>
      </c>
      <c r="B2272" s="944">
        <v>370.1</v>
      </c>
      <c r="C2272" s="944" t="s">
        <v>282</v>
      </c>
      <c r="D2272" s="943" t="s">
        <v>2</v>
      </c>
      <c r="E2272" s="945">
        <v>3</v>
      </c>
      <c r="F2272" s="945">
        <v>1</v>
      </c>
      <c r="G2272" s="946">
        <v>20000</v>
      </c>
      <c r="H2272" s="946">
        <v>17166.669999999998</v>
      </c>
    </row>
    <row r="2273" spans="1:9" s="26" customFormat="1">
      <c r="A2273" s="947">
        <v>5</v>
      </c>
      <c r="B2273" s="948">
        <v>370.2</v>
      </c>
      <c r="C2273" s="948" t="s">
        <v>1343</v>
      </c>
      <c r="D2273" s="947" t="s">
        <v>2</v>
      </c>
      <c r="E2273" s="950">
        <v>6</v>
      </c>
      <c r="F2273" s="950">
        <v>1</v>
      </c>
      <c r="G2273" s="951">
        <v>7100</v>
      </c>
      <c r="H2273" s="951">
        <v>7288.33</v>
      </c>
      <c r="I2273" s="18"/>
    </row>
    <row r="2274" spans="1:9">
      <c r="A2274" s="943">
        <v>5</v>
      </c>
      <c r="B2274" s="944">
        <v>370.4</v>
      </c>
      <c r="C2274" s="944" t="s">
        <v>283</v>
      </c>
      <c r="D2274" s="943" t="s">
        <v>2</v>
      </c>
      <c r="E2274" s="945">
        <v>10</v>
      </c>
      <c r="F2274" s="945">
        <v>3</v>
      </c>
      <c r="G2274" s="946">
        <v>20000</v>
      </c>
      <c r="H2274" s="946">
        <v>21739.3</v>
      </c>
    </row>
    <row r="2275" spans="1:9" s="26" customFormat="1">
      <c r="A2275" s="947">
        <v>5</v>
      </c>
      <c r="B2275" s="948">
        <v>371.06</v>
      </c>
      <c r="C2275" s="948" t="s">
        <v>285</v>
      </c>
      <c r="D2275" s="947" t="s">
        <v>2</v>
      </c>
      <c r="E2275" s="950">
        <v>6</v>
      </c>
      <c r="F2275" s="950">
        <v>2</v>
      </c>
      <c r="G2275" s="951">
        <v>1190</v>
      </c>
      <c r="H2275" s="951">
        <v>1091.25</v>
      </c>
      <c r="I2275" s="18"/>
    </row>
    <row r="2276" spans="1:9">
      <c r="A2276" s="943">
        <v>5</v>
      </c>
      <c r="B2276" s="944">
        <v>371.12</v>
      </c>
      <c r="C2276" s="944" t="s">
        <v>287</v>
      </c>
      <c r="D2276" s="943" t="s">
        <v>2</v>
      </c>
      <c r="E2276" s="945">
        <v>2</v>
      </c>
      <c r="F2276" s="945">
        <v>1</v>
      </c>
      <c r="G2276" s="946">
        <v>11395</v>
      </c>
      <c r="H2276" s="946">
        <v>10697.5</v>
      </c>
    </row>
    <row r="2277" spans="1:9" s="26" customFormat="1">
      <c r="A2277" s="947">
        <v>5</v>
      </c>
      <c r="B2277" s="948">
        <v>376.1</v>
      </c>
      <c r="C2277" s="948" t="s">
        <v>291</v>
      </c>
      <c r="D2277" s="947" t="s">
        <v>2</v>
      </c>
      <c r="E2277" s="950">
        <v>36</v>
      </c>
      <c r="F2277" s="950">
        <v>3</v>
      </c>
      <c r="G2277" s="951">
        <v>5000</v>
      </c>
      <c r="H2277" s="951">
        <v>5258</v>
      </c>
      <c r="I2277" s="18"/>
    </row>
    <row r="2278" spans="1:9">
      <c r="A2278" s="943">
        <v>5</v>
      </c>
      <c r="B2278" s="944">
        <v>376.2</v>
      </c>
      <c r="C2278" s="944" t="s">
        <v>292</v>
      </c>
      <c r="D2278" s="943" t="s">
        <v>2</v>
      </c>
      <c r="E2278" s="945">
        <v>40</v>
      </c>
      <c r="F2278" s="945">
        <v>5</v>
      </c>
      <c r="G2278" s="946">
        <v>5000</v>
      </c>
      <c r="H2278" s="946">
        <v>5078.13</v>
      </c>
    </row>
    <row r="2279" spans="1:9" s="26" customFormat="1">
      <c r="A2279" s="947">
        <v>5</v>
      </c>
      <c r="B2279" s="948">
        <v>376.3</v>
      </c>
      <c r="C2279" s="948" t="s">
        <v>293</v>
      </c>
      <c r="D2279" s="947" t="s">
        <v>2</v>
      </c>
      <c r="E2279" s="950">
        <v>12</v>
      </c>
      <c r="F2279" s="950">
        <v>2</v>
      </c>
      <c r="G2279" s="951">
        <v>2000</v>
      </c>
      <c r="H2279" s="951">
        <v>2075</v>
      </c>
      <c r="I2279" s="18"/>
    </row>
    <row r="2280" spans="1:9">
      <c r="A2280" s="943">
        <v>5</v>
      </c>
      <c r="B2280" s="944">
        <v>376.5</v>
      </c>
      <c r="C2280" s="944" t="s">
        <v>294</v>
      </c>
      <c r="D2280" s="943" t="s">
        <v>2</v>
      </c>
      <c r="E2280" s="945">
        <v>42</v>
      </c>
      <c r="F2280" s="945">
        <v>3</v>
      </c>
      <c r="G2280" s="946">
        <v>2500</v>
      </c>
      <c r="H2280" s="946">
        <v>2344.1</v>
      </c>
    </row>
    <row r="2281" spans="1:9" s="26" customFormat="1">
      <c r="A2281" s="947">
        <v>5</v>
      </c>
      <c r="B2281" s="948">
        <v>381</v>
      </c>
      <c r="C2281" s="948" t="s">
        <v>295</v>
      </c>
      <c r="D2281" s="947" t="s">
        <v>2</v>
      </c>
      <c r="E2281" s="950">
        <v>87</v>
      </c>
      <c r="F2281" s="950">
        <v>5</v>
      </c>
      <c r="G2281" s="951">
        <v>497.5</v>
      </c>
      <c r="H2281" s="951">
        <v>468.5</v>
      </c>
      <c r="I2281" s="18"/>
    </row>
    <row r="2282" spans="1:9">
      <c r="A2282" s="943">
        <v>5</v>
      </c>
      <c r="B2282" s="944">
        <v>381.01</v>
      </c>
      <c r="C2282" s="944" t="s">
        <v>296</v>
      </c>
      <c r="D2282" s="943" t="s">
        <v>2</v>
      </c>
      <c r="E2282" s="945">
        <v>10</v>
      </c>
      <c r="F2282" s="945">
        <v>1</v>
      </c>
      <c r="G2282" s="946">
        <v>550</v>
      </c>
      <c r="H2282" s="946">
        <v>425</v>
      </c>
    </row>
    <row r="2283" spans="1:9" s="26" customFormat="1">
      <c r="A2283" s="947">
        <v>5</v>
      </c>
      <c r="B2283" s="948">
        <v>381.1</v>
      </c>
      <c r="C2283" s="948" t="s">
        <v>39</v>
      </c>
      <c r="D2283" s="947" t="s">
        <v>2</v>
      </c>
      <c r="E2283" s="950">
        <v>9</v>
      </c>
      <c r="F2283" s="950">
        <v>2</v>
      </c>
      <c r="G2283" s="951">
        <v>675</v>
      </c>
      <c r="H2283" s="951">
        <v>811.33</v>
      </c>
      <c r="I2283" s="18"/>
    </row>
    <row r="2284" spans="1:9">
      <c r="A2284" s="943">
        <v>5</v>
      </c>
      <c r="B2284" s="944">
        <v>381.2</v>
      </c>
      <c r="C2284" s="944" t="s">
        <v>297</v>
      </c>
      <c r="D2284" s="943" t="s">
        <v>2</v>
      </c>
      <c r="E2284" s="945">
        <v>9</v>
      </c>
      <c r="F2284" s="945">
        <v>1</v>
      </c>
      <c r="G2284" s="946">
        <v>137.5</v>
      </c>
      <c r="H2284" s="946">
        <v>131.66999999999999</v>
      </c>
    </row>
    <row r="2285" spans="1:9" s="26" customFormat="1">
      <c r="A2285" s="947">
        <v>5</v>
      </c>
      <c r="B2285" s="948">
        <v>381.3</v>
      </c>
      <c r="C2285" s="948" t="s">
        <v>298</v>
      </c>
      <c r="D2285" s="947" t="s">
        <v>2</v>
      </c>
      <c r="E2285" s="950">
        <v>482</v>
      </c>
      <c r="F2285" s="950">
        <v>8</v>
      </c>
      <c r="G2285" s="951">
        <v>300</v>
      </c>
      <c r="H2285" s="951">
        <v>298.70999999999998</v>
      </c>
      <c r="I2285" s="18"/>
    </row>
    <row r="2286" spans="1:9">
      <c r="A2286" s="943">
        <v>5</v>
      </c>
      <c r="B2286" s="944">
        <v>384</v>
      </c>
      <c r="C2286" s="944" t="s">
        <v>299</v>
      </c>
      <c r="D2286" s="943" t="s">
        <v>2</v>
      </c>
      <c r="E2286" s="945">
        <v>110</v>
      </c>
      <c r="F2286" s="945">
        <v>5</v>
      </c>
      <c r="G2286" s="946">
        <v>1042</v>
      </c>
      <c r="H2286" s="946">
        <v>866.82</v>
      </c>
    </row>
    <row r="2287" spans="1:9" s="26" customFormat="1">
      <c r="A2287" s="947">
        <v>5</v>
      </c>
      <c r="B2287" s="948">
        <v>402</v>
      </c>
      <c r="C2287" s="948" t="s">
        <v>301</v>
      </c>
      <c r="D2287" s="947" t="s">
        <v>4</v>
      </c>
      <c r="E2287" s="949">
        <v>16769</v>
      </c>
      <c r="F2287" s="950">
        <v>13</v>
      </c>
      <c r="G2287" s="951">
        <v>120</v>
      </c>
      <c r="H2287" s="951">
        <v>106.19</v>
      </c>
      <c r="I2287" s="18"/>
    </row>
    <row r="2288" spans="1:9">
      <c r="A2288" s="943">
        <v>5</v>
      </c>
      <c r="B2288" s="944">
        <v>402.11</v>
      </c>
      <c r="C2288" s="944" t="s">
        <v>302</v>
      </c>
      <c r="D2288" s="943" t="s">
        <v>7</v>
      </c>
      <c r="E2288" s="945">
        <v>305</v>
      </c>
      <c r="F2288" s="945">
        <v>4</v>
      </c>
      <c r="G2288" s="946">
        <v>164</v>
      </c>
      <c r="H2288" s="946">
        <v>149.66999999999999</v>
      </c>
    </row>
    <row r="2289" spans="1:9" s="26" customFormat="1">
      <c r="A2289" s="947">
        <v>5</v>
      </c>
      <c r="B2289" s="948">
        <v>402.13</v>
      </c>
      <c r="C2289" s="948" t="s">
        <v>1359</v>
      </c>
      <c r="D2289" s="947" t="s">
        <v>17</v>
      </c>
      <c r="E2289" s="949">
        <v>52400</v>
      </c>
      <c r="F2289" s="950">
        <v>4</v>
      </c>
      <c r="G2289" s="951">
        <v>12</v>
      </c>
      <c r="H2289" s="951">
        <v>11.57</v>
      </c>
      <c r="I2289" s="18"/>
    </row>
    <row r="2290" spans="1:9">
      <c r="A2290" s="943">
        <v>5</v>
      </c>
      <c r="B2290" s="944">
        <v>403</v>
      </c>
      <c r="C2290" s="944" t="s">
        <v>303</v>
      </c>
      <c r="D2290" s="943" t="s">
        <v>1</v>
      </c>
      <c r="E2290" s="952">
        <v>2170</v>
      </c>
      <c r="F2290" s="945">
        <v>1</v>
      </c>
      <c r="G2290" s="946">
        <v>10.5</v>
      </c>
      <c r="H2290" s="946">
        <v>10.5</v>
      </c>
    </row>
    <row r="2291" spans="1:9" s="26" customFormat="1">
      <c r="A2291" s="947">
        <v>5</v>
      </c>
      <c r="B2291" s="948">
        <v>403.1</v>
      </c>
      <c r="C2291" s="948" t="s">
        <v>304</v>
      </c>
      <c r="D2291" s="947" t="s">
        <v>7</v>
      </c>
      <c r="E2291" s="950">
        <v>130</v>
      </c>
      <c r="F2291" s="950">
        <v>1</v>
      </c>
      <c r="G2291" s="951">
        <v>62</v>
      </c>
      <c r="H2291" s="951">
        <v>62</v>
      </c>
      <c r="I2291" s="18"/>
    </row>
    <row r="2292" spans="1:9">
      <c r="A2292" s="943">
        <v>5</v>
      </c>
      <c r="B2292" s="944">
        <v>415.1</v>
      </c>
      <c r="C2292" s="944" t="s">
        <v>1360</v>
      </c>
      <c r="D2292" s="943" t="s">
        <v>1</v>
      </c>
      <c r="E2292" s="952">
        <v>96840</v>
      </c>
      <c r="F2292" s="945">
        <v>4</v>
      </c>
      <c r="G2292" s="946">
        <v>10.75</v>
      </c>
      <c r="H2292" s="946">
        <v>9.2200000000000006</v>
      </c>
    </row>
    <row r="2293" spans="1:9" s="26" customFormat="1">
      <c r="A2293" s="947">
        <v>5</v>
      </c>
      <c r="B2293" s="948">
        <v>415.2</v>
      </c>
      <c r="C2293" s="948" t="s">
        <v>1361</v>
      </c>
      <c r="D2293" s="947" t="s">
        <v>1</v>
      </c>
      <c r="E2293" s="949">
        <v>1838125</v>
      </c>
      <c r="F2293" s="950">
        <v>10</v>
      </c>
      <c r="G2293" s="951">
        <v>8.5</v>
      </c>
      <c r="H2293" s="951">
        <v>7.19</v>
      </c>
      <c r="I2293" s="18"/>
    </row>
    <row r="2294" spans="1:9">
      <c r="A2294" s="943">
        <v>5</v>
      </c>
      <c r="B2294" s="944">
        <v>415.3</v>
      </c>
      <c r="C2294" s="944" t="s">
        <v>1230</v>
      </c>
      <c r="D2294" s="943" t="s">
        <v>1</v>
      </c>
      <c r="E2294" s="952">
        <v>235185</v>
      </c>
      <c r="F2294" s="945">
        <v>5</v>
      </c>
      <c r="G2294" s="946">
        <v>29</v>
      </c>
      <c r="H2294" s="946">
        <v>26.07</v>
      </c>
    </row>
    <row r="2295" spans="1:9" s="26" customFormat="1">
      <c r="A2295" s="947">
        <v>5</v>
      </c>
      <c r="B2295" s="948">
        <v>415.4</v>
      </c>
      <c r="C2295" s="948" t="s">
        <v>1362</v>
      </c>
      <c r="D2295" s="947" t="s">
        <v>1</v>
      </c>
      <c r="E2295" s="949">
        <v>40970</v>
      </c>
      <c r="F2295" s="950">
        <v>4</v>
      </c>
      <c r="G2295" s="951">
        <v>26</v>
      </c>
      <c r="H2295" s="951">
        <v>22.47</v>
      </c>
      <c r="I2295" s="18"/>
    </row>
    <row r="2296" spans="1:9">
      <c r="A2296" s="943">
        <v>5</v>
      </c>
      <c r="B2296" s="944">
        <v>430</v>
      </c>
      <c r="C2296" s="944" t="s">
        <v>1363</v>
      </c>
      <c r="D2296" s="943" t="s">
        <v>1</v>
      </c>
      <c r="E2296" s="952">
        <v>1220</v>
      </c>
      <c r="F2296" s="945">
        <v>1</v>
      </c>
      <c r="G2296" s="946">
        <v>77</v>
      </c>
      <c r="H2296" s="946">
        <v>77</v>
      </c>
    </row>
    <row r="2297" spans="1:9" s="26" customFormat="1">
      <c r="A2297" s="947">
        <v>5</v>
      </c>
      <c r="B2297" s="948">
        <v>431</v>
      </c>
      <c r="C2297" s="948" t="s">
        <v>27</v>
      </c>
      <c r="D2297" s="947" t="s">
        <v>1</v>
      </c>
      <c r="E2297" s="949">
        <v>6246</v>
      </c>
      <c r="F2297" s="950">
        <v>9</v>
      </c>
      <c r="G2297" s="951">
        <v>100</v>
      </c>
      <c r="H2297" s="951">
        <v>104.09</v>
      </c>
      <c r="I2297" s="18"/>
    </row>
    <row r="2298" spans="1:9">
      <c r="A2298" s="943">
        <v>5</v>
      </c>
      <c r="B2298" s="944">
        <v>440</v>
      </c>
      <c r="C2298" s="944" t="s">
        <v>305</v>
      </c>
      <c r="D2298" s="943" t="s">
        <v>100</v>
      </c>
      <c r="E2298" s="952">
        <v>554210</v>
      </c>
      <c r="F2298" s="945">
        <v>13</v>
      </c>
      <c r="G2298" s="946">
        <v>0.45</v>
      </c>
      <c r="H2298" s="946">
        <v>0.47</v>
      </c>
    </row>
    <row r="2299" spans="1:9" s="26" customFormat="1">
      <c r="A2299" s="947">
        <v>5</v>
      </c>
      <c r="B2299" s="948">
        <v>443</v>
      </c>
      <c r="C2299" s="948" t="s">
        <v>306</v>
      </c>
      <c r="D2299" s="947" t="s">
        <v>307</v>
      </c>
      <c r="E2299" s="950">
        <v>568</v>
      </c>
      <c r="F2299" s="950">
        <v>11</v>
      </c>
      <c r="G2299" s="951">
        <v>100</v>
      </c>
      <c r="H2299" s="951">
        <v>100.05</v>
      </c>
      <c r="I2299" s="18"/>
    </row>
    <row r="2300" spans="1:9">
      <c r="A2300" s="943">
        <v>5</v>
      </c>
      <c r="B2300" s="944">
        <v>450.22</v>
      </c>
      <c r="C2300" s="944" t="s">
        <v>4033</v>
      </c>
      <c r="D2300" s="943" t="s">
        <v>7</v>
      </c>
      <c r="E2300" s="952">
        <v>4460</v>
      </c>
      <c r="F2300" s="945">
        <v>7</v>
      </c>
      <c r="G2300" s="946">
        <v>245</v>
      </c>
      <c r="H2300" s="946">
        <v>222.98</v>
      </c>
    </row>
    <row r="2301" spans="1:9" s="26" customFormat="1">
      <c r="A2301" s="947">
        <v>5</v>
      </c>
      <c r="B2301" s="948">
        <v>450.221</v>
      </c>
      <c r="C2301" s="948" t="s">
        <v>4034</v>
      </c>
      <c r="D2301" s="947" t="s">
        <v>7</v>
      </c>
      <c r="E2301" s="949">
        <v>14280</v>
      </c>
      <c r="F2301" s="950">
        <v>1</v>
      </c>
      <c r="G2301" s="951">
        <v>170</v>
      </c>
      <c r="H2301" s="951">
        <v>175.29</v>
      </c>
      <c r="I2301" s="18"/>
    </row>
    <row r="2302" spans="1:9">
      <c r="A2302" s="943">
        <v>5</v>
      </c>
      <c r="B2302" s="944">
        <v>450.23</v>
      </c>
      <c r="C2302" s="944" t="s">
        <v>308</v>
      </c>
      <c r="D2302" s="943" t="s">
        <v>7</v>
      </c>
      <c r="E2302" s="952">
        <v>63245</v>
      </c>
      <c r="F2302" s="945">
        <v>6</v>
      </c>
      <c r="G2302" s="946">
        <v>215</v>
      </c>
      <c r="H2302" s="946">
        <v>214.53</v>
      </c>
    </row>
    <row r="2303" spans="1:9" s="26" customFormat="1">
      <c r="A2303" s="947">
        <v>5</v>
      </c>
      <c r="B2303" s="948">
        <v>450.23099999999999</v>
      </c>
      <c r="C2303" s="948" t="s">
        <v>1367</v>
      </c>
      <c r="D2303" s="947" t="s">
        <v>7</v>
      </c>
      <c r="E2303" s="949">
        <v>149430</v>
      </c>
      <c r="F2303" s="950">
        <v>11</v>
      </c>
      <c r="G2303" s="951">
        <v>187.5</v>
      </c>
      <c r="H2303" s="951">
        <v>185.16</v>
      </c>
      <c r="I2303" s="18"/>
    </row>
    <row r="2304" spans="1:9">
      <c r="A2304" s="943">
        <v>5</v>
      </c>
      <c r="B2304" s="944">
        <v>450.31</v>
      </c>
      <c r="C2304" s="944" t="s">
        <v>53</v>
      </c>
      <c r="D2304" s="943" t="s">
        <v>7</v>
      </c>
      <c r="E2304" s="952">
        <v>19055</v>
      </c>
      <c r="F2304" s="945">
        <v>5</v>
      </c>
      <c r="G2304" s="946">
        <v>156</v>
      </c>
      <c r="H2304" s="946">
        <v>153.29</v>
      </c>
    </row>
    <row r="2305" spans="1:9" s="26" customFormat="1">
      <c r="A2305" s="947">
        <v>5</v>
      </c>
      <c r="B2305" s="948">
        <v>450.32</v>
      </c>
      <c r="C2305" s="948" t="s">
        <v>309</v>
      </c>
      <c r="D2305" s="947" t="s">
        <v>7</v>
      </c>
      <c r="E2305" s="949">
        <v>34510</v>
      </c>
      <c r="F2305" s="950">
        <v>7</v>
      </c>
      <c r="G2305" s="951">
        <v>174.3</v>
      </c>
      <c r="H2305" s="951">
        <v>170.69</v>
      </c>
      <c r="I2305" s="18"/>
    </row>
    <row r="2306" spans="1:9">
      <c r="A2306" s="943">
        <v>5</v>
      </c>
      <c r="B2306" s="944">
        <v>450.42</v>
      </c>
      <c r="C2306" s="944" t="s">
        <v>37</v>
      </c>
      <c r="D2306" s="943" t="s">
        <v>7</v>
      </c>
      <c r="E2306" s="952">
        <v>36005</v>
      </c>
      <c r="F2306" s="945">
        <v>9</v>
      </c>
      <c r="G2306" s="946">
        <v>145</v>
      </c>
      <c r="H2306" s="946">
        <v>145.71</v>
      </c>
    </row>
    <row r="2307" spans="1:9" s="26" customFormat="1">
      <c r="A2307" s="947">
        <v>5</v>
      </c>
      <c r="B2307" s="948">
        <v>450.52</v>
      </c>
      <c r="C2307" s="948" t="s">
        <v>310</v>
      </c>
      <c r="D2307" s="947" t="s">
        <v>7</v>
      </c>
      <c r="E2307" s="949">
        <v>2310</v>
      </c>
      <c r="F2307" s="950">
        <v>2</v>
      </c>
      <c r="G2307" s="951">
        <v>195</v>
      </c>
      <c r="H2307" s="951">
        <v>215.14</v>
      </c>
      <c r="I2307" s="18"/>
    </row>
    <row r="2308" spans="1:9">
      <c r="A2308" s="943">
        <v>5</v>
      </c>
      <c r="B2308" s="944">
        <v>450.6</v>
      </c>
      <c r="C2308" s="944" t="s">
        <v>311</v>
      </c>
      <c r="D2308" s="943" t="s">
        <v>7</v>
      </c>
      <c r="E2308" s="952">
        <v>1142</v>
      </c>
      <c r="F2308" s="945">
        <v>3</v>
      </c>
      <c r="G2308" s="946">
        <v>260</v>
      </c>
      <c r="H2308" s="946">
        <v>251.2</v>
      </c>
    </row>
    <row r="2309" spans="1:9" s="26" customFormat="1">
      <c r="A2309" s="947">
        <v>5</v>
      </c>
      <c r="B2309" s="948">
        <v>450.601</v>
      </c>
      <c r="C2309" s="948" t="s">
        <v>1373</v>
      </c>
      <c r="D2309" s="947" t="s">
        <v>7</v>
      </c>
      <c r="E2309" s="949">
        <v>4060</v>
      </c>
      <c r="F2309" s="950">
        <v>3</v>
      </c>
      <c r="G2309" s="951">
        <v>380</v>
      </c>
      <c r="H2309" s="951">
        <v>380.43</v>
      </c>
      <c r="I2309" s="18"/>
    </row>
    <row r="2310" spans="1:9">
      <c r="A2310" s="943">
        <v>5</v>
      </c>
      <c r="B2310" s="944">
        <v>450.7</v>
      </c>
      <c r="C2310" s="944" t="s">
        <v>313</v>
      </c>
      <c r="D2310" s="943" t="s">
        <v>7</v>
      </c>
      <c r="E2310" s="952">
        <v>1053</v>
      </c>
      <c r="F2310" s="945">
        <v>3</v>
      </c>
      <c r="G2310" s="946">
        <v>288</v>
      </c>
      <c r="H2310" s="946">
        <v>281.93</v>
      </c>
    </row>
    <row r="2311" spans="1:9" s="26" customFormat="1">
      <c r="A2311" s="947">
        <v>5</v>
      </c>
      <c r="B2311" s="948">
        <v>450.71</v>
      </c>
      <c r="C2311" s="948" t="s">
        <v>4035</v>
      </c>
      <c r="D2311" s="947" t="s">
        <v>7</v>
      </c>
      <c r="E2311" s="950">
        <v>520</v>
      </c>
      <c r="F2311" s="950">
        <v>1</v>
      </c>
      <c r="G2311" s="951">
        <v>387.5</v>
      </c>
      <c r="H2311" s="951">
        <v>402.5</v>
      </c>
      <c r="I2311" s="18"/>
    </row>
    <row r="2312" spans="1:9">
      <c r="A2312" s="943">
        <v>5</v>
      </c>
      <c r="B2312" s="944">
        <v>450.8</v>
      </c>
      <c r="C2312" s="944" t="s">
        <v>1377</v>
      </c>
      <c r="D2312" s="943" t="s">
        <v>7</v>
      </c>
      <c r="E2312" s="952">
        <v>16800</v>
      </c>
      <c r="F2312" s="945">
        <v>1</v>
      </c>
      <c r="G2312" s="946">
        <v>224.5</v>
      </c>
      <c r="H2312" s="946">
        <v>237.75</v>
      </c>
    </row>
    <row r="2313" spans="1:9" s="26" customFormat="1">
      <c r="A2313" s="947">
        <v>5</v>
      </c>
      <c r="B2313" s="948">
        <v>451</v>
      </c>
      <c r="C2313" s="948" t="s">
        <v>36</v>
      </c>
      <c r="D2313" s="947" t="s">
        <v>7</v>
      </c>
      <c r="E2313" s="949">
        <v>20199</v>
      </c>
      <c r="F2313" s="950">
        <v>21</v>
      </c>
      <c r="G2313" s="951">
        <v>350</v>
      </c>
      <c r="H2313" s="951">
        <v>350.2</v>
      </c>
      <c r="I2313" s="18"/>
    </row>
    <row r="2314" spans="1:9">
      <c r="A2314" s="943">
        <v>5</v>
      </c>
      <c r="B2314" s="944">
        <v>452</v>
      </c>
      <c r="C2314" s="944" t="s">
        <v>31</v>
      </c>
      <c r="D2314" s="943" t="s">
        <v>20</v>
      </c>
      <c r="E2314" s="952">
        <v>150635</v>
      </c>
      <c r="F2314" s="945">
        <v>18</v>
      </c>
      <c r="G2314" s="946">
        <v>10</v>
      </c>
      <c r="H2314" s="946">
        <v>10.15</v>
      </c>
    </row>
    <row r="2315" spans="1:9" s="26" customFormat="1">
      <c r="A2315" s="947">
        <v>5</v>
      </c>
      <c r="B2315" s="948">
        <v>453</v>
      </c>
      <c r="C2315" s="948" t="s">
        <v>3962</v>
      </c>
      <c r="D2315" s="947" t="s">
        <v>17</v>
      </c>
      <c r="E2315" s="949">
        <v>646935</v>
      </c>
      <c r="F2315" s="950">
        <v>16</v>
      </c>
      <c r="G2315" s="951">
        <v>1.68</v>
      </c>
      <c r="H2315" s="951">
        <v>1.86</v>
      </c>
      <c r="I2315" s="18"/>
    </row>
    <row r="2316" spans="1:9">
      <c r="A2316" s="943">
        <v>5</v>
      </c>
      <c r="B2316" s="944">
        <v>470</v>
      </c>
      <c r="C2316" s="944" t="s">
        <v>1382</v>
      </c>
      <c r="D2316" s="943" t="s">
        <v>7</v>
      </c>
      <c r="E2316" s="952">
        <v>1299</v>
      </c>
      <c r="F2316" s="945">
        <v>9</v>
      </c>
      <c r="G2316" s="946">
        <v>464</v>
      </c>
      <c r="H2316" s="946">
        <v>444.76</v>
      </c>
    </row>
    <row r="2317" spans="1:9" s="26" customFormat="1">
      <c r="A2317" s="947">
        <v>5</v>
      </c>
      <c r="B2317" s="948">
        <v>472</v>
      </c>
      <c r="C2317" s="948" t="s">
        <v>1383</v>
      </c>
      <c r="D2317" s="947" t="s">
        <v>7</v>
      </c>
      <c r="E2317" s="949">
        <v>10229</v>
      </c>
      <c r="F2317" s="950">
        <v>18</v>
      </c>
      <c r="G2317" s="951">
        <v>350</v>
      </c>
      <c r="H2317" s="951">
        <v>342.2</v>
      </c>
      <c r="I2317" s="18"/>
    </row>
    <row r="2318" spans="1:9">
      <c r="A2318" s="943">
        <v>5</v>
      </c>
      <c r="B2318" s="944">
        <v>476</v>
      </c>
      <c r="C2318" s="944" t="s">
        <v>316</v>
      </c>
      <c r="D2318" s="943" t="s">
        <v>1</v>
      </c>
      <c r="E2318" s="945">
        <v>60</v>
      </c>
      <c r="F2318" s="945">
        <v>1</v>
      </c>
      <c r="G2318" s="946">
        <v>420</v>
      </c>
      <c r="H2318" s="946">
        <v>428.33</v>
      </c>
    </row>
    <row r="2319" spans="1:9" s="26" customFormat="1">
      <c r="A2319" s="947">
        <v>5</v>
      </c>
      <c r="B2319" s="948">
        <v>477</v>
      </c>
      <c r="C2319" s="948" t="s">
        <v>1384</v>
      </c>
      <c r="D2319" s="947" t="s">
        <v>17</v>
      </c>
      <c r="E2319" s="949">
        <v>300990</v>
      </c>
      <c r="F2319" s="950">
        <v>5</v>
      </c>
      <c r="G2319" s="951">
        <v>10</v>
      </c>
      <c r="H2319" s="951">
        <v>8.98</v>
      </c>
      <c r="I2319" s="18"/>
    </row>
    <row r="2320" spans="1:9">
      <c r="A2320" s="943">
        <v>5</v>
      </c>
      <c r="B2320" s="944">
        <v>477.1</v>
      </c>
      <c r="C2320" s="944" t="s">
        <v>1385</v>
      </c>
      <c r="D2320" s="943" t="s">
        <v>17</v>
      </c>
      <c r="E2320" s="952">
        <v>69000</v>
      </c>
      <c r="F2320" s="945">
        <v>1</v>
      </c>
      <c r="G2320" s="946">
        <v>0.71</v>
      </c>
      <c r="H2320" s="946">
        <v>0.8</v>
      </c>
    </row>
    <row r="2321" spans="1:9" s="26" customFormat="1">
      <c r="A2321" s="947">
        <v>5</v>
      </c>
      <c r="B2321" s="948">
        <v>477.2</v>
      </c>
      <c r="C2321" s="948" t="s">
        <v>1386</v>
      </c>
      <c r="D2321" s="947" t="s">
        <v>17</v>
      </c>
      <c r="E2321" s="949">
        <v>49920</v>
      </c>
      <c r="F2321" s="950">
        <v>6</v>
      </c>
      <c r="G2321" s="951">
        <v>12</v>
      </c>
      <c r="H2321" s="951">
        <v>8.74</v>
      </c>
      <c r="I2321" s="18"/>
    </row>
    <row r="2322" spans="1:9">
      <c r="A2322" s="943">
        <v>5</v>
      </c>
      <c r="B2322" s="944">
        <v>480.1</v>
      </c>
      <c r="C2322" s="944" t="s">
        <v>4001</v>
      </c>
      <c r="D2322" s="943" t="s">
        <v>20</v>
      </c>
      <c r="E2322" s="945">
        <v>50</v>
      </c>
      <c r="F2322" s="945">
        <v>1</v>
      </c>
      <c r="G2322" s="946">
        <v>43</v>
      </c>
      <c r="H2322" s="946">
        <v>43</v>
      </c>
    </row>
    <row r="2323" spans="1:9" s="26" customFormat="1">
      <c r="A2323" s="947">
        <v>5</v>
      </c>
      <c r="B2323" s="948">
        <v>482.3</v>
      </c>
      <c r="C2323" s="948" t="s">
        <v>319</v>
      </c>
      <c r="D2323" s="947" t="s">
        <v>17</v>
      </c>
      <c r="E2323" s="949">
        <v>6709</v>
      </c>
      <c r="F2323" s="950">
        <v>3</v>
      </c>
      <c r="G2323" s="951">
        <v>6.5</v>
      </c>
      <c r="H2323" s="951">
        <v>6.09</v>
      </c>
      <c r="I2323" s="18"/>
    </row>
    <row r="2324" spans="1:9">
      <c r="A2324" s="943">
        <v>5</v>
      </c>
      <c r="B2324" s="944">
        <v>482.31</v>
      </c>
      <c r="C2324" s="944" t="s">
        <v>4038</v>
      </c>
      <c r="D2324" s="943" t="s">
        <v>17</v>
      </c>
      <c r="E2324" s="952">
        <v>4529</v>
      </c>
      <c r="F2324" s="945">
        <v>6</v>
      </c>
      <c r="G2324" s="946">
        <v>43.2</v>
      </c>
      <c r="H2324" s="946">
        <v>45.12</v>
      </c>
    </row>
    <row r="2325" spans="1:9" s="26" customFormat="1">
      <c r="A2325" s="947">
        <v>5</v>
      </c>
      <c r="B2325" s="948">
        <v>482.32</v>
      </c>
      <c r="C2325" s="948" t="s">
        <v>2381</v>
      </c>
      <c r="D2325" s="947" t="s">
        <v>17</v>
      </c>
      <c r="E2325" s="949">
        <v>11000</v>
      </c>
      <c r="F2325" s="950">
        <v>1</v>
      </c>
      <c r="G2325" s="951">
        <v>5</v>
      </c>
      <c r="H2325" s="951">
        <v>4.5</v>
      </c>
      <c r="I2325" s="18"/>
    </row>
    <row r="2326" spans="1:9">
      <c r="A2326" s="943">
        <v>5</v>
      </c>
      <c r="B2326" s="944">
        <v>482.4</v>
      </c>
      <c r="C2326" s="944" t="s">
        <v>321</v>
      </c>
      <c r="D2326" s="943" t="s">
        <v>17</v>
      </c>
      <c r="E2326" s="952">
        <v>18680</v>
      </c>
      <c r="F2326" s="945">
        <v>6</v>
      </c>
      <c r="G2326" s="946">
        <v>10</v>
      </c>
      <c r="H2326" s="946">
        <v>10.3</v>
      </c>
    </row>
    <row r="2327" spans="1:9" s="26" customFormat="1">
      <c r="A2327" s="947">
        <v>5</v>
      </c>
      <c r="B2327" s="948">
        <v>482.5</v>
      </c>
      <c r="C2327" s="948" t="s">
        <v>43</v>
      </c>
      <c r="D2327" s="947" t="s">
        <v>17</v>
      </c>
      <c r="E2327" s="949">
        <v>40195</v>
      </c>
      <c r="F2327" s="950">
        <v>8</v>
      </c>
      <c r="G2327" s="951">
        <v>5.6</v>
      </c>
      <c r="H2327" s="951">
        <v>7.31</v>
      </c>
      <c r="I2327" s="18"/>
    </row>
    <row r="2328" spans="1:9">
      <c r="A2328" s="943">
        <v>5</v>
      </c>
      <c r="B2328" s="944">
        <v>486.2</v>
      </c>
      <c r="C2328" s="944" t="s">
        <v>4075</v>
      </c>
      <c r="D2328" s="943" t="s">
        <v>1</v>
      </c>
      <c r="E2328" s="952">
        <v>1100000</v>
      </c>
      <c r="F2328" s="945">
        <v>1</v>
      </c>
      <c r="G2328" s="946">
        <v>10.95</v>
      </c>
      <c r="H2328" s="946">
        <v>10.57</v>
      </c>
    </row>
    <row r="2329" spans="1:9" s="26" customFormat="1">
      <c r="A2329" s="947">
        <v>5</v>
      </c>
      <c r="B2329" s="948">
        <v>501</v>
      </c>
      <c r="C2329" s="948" t="s">
        <v>1391</v>
      </c>
      <c r="D2329" s="947" t="s">
        <v>17</v>
      </c>
      <c r="E2329" s="950">
        <v>144</v>
      </c>
      <c r="F2329" s="950">
        <v>1</v>
      </c>
      <c r="G2329" s="951">
        <v>109</v>
      </c>
      <c r="H2329" s="951">
        <v>101.75</v>
      </c>
      <c r="I2329" s="18"/>
    </row>
    <row r="2330" spans="1:9">
      <c r="A2330" s="943">
        <v>5</v>
      </c>
      <c r="B2330" s="944">
        <v>504</v>
      </c>
      <c r="C2330" s="944" t="s">
        <v>325</v>
      </c>
      <c r="D2330" s="943" t="s">
        <v>17</v>
      </c>
      <c r="E2330" s="952">
        <v>3150</v>
      </c>
      <c r="F2330" s="945">
        <v>2</v>
      </c>
      <c r="G2330" s="946">
        <v>65</v>
      </c>
      <c r="H2330" s="946">
        <v>67.260000000000005</v>
      </c>
    </row>
    <row r="2331" spans="1:9" s="26" customFormat="1">
      <c r="A2331" s="947">
        <v>5</v>
      </c>
      <c r="B2331" s="948">
        <v>504.1</v>
      </c>
      <c r="C2331" s="948" t="s">
        <v>326</v>
      </c>
      <c r="D2331" s="947" t="s">
        <v>17</v>
      </c>
      <c r="E2331" s="950">
        <v>420</v>
      </c>
      <c r="F2331" s="950">
        <v>1</v>
      </c>
      <c r="G2331" s="951">
        <v>97</v>
      </c>
      <c r="H2331" s="951">
        <v>102.33</v>
      </c>
      <c r="I2331" s="18"/>
    </row>
    <row r="2332" spans="1:9">
      <c r="A2332" s="943">
        <v>5</v>
      </c>
      <c r="B2332" s="944">
        <v>504.2</v>
      </c>
      <c r="C2332" s="944" t="s">
        <v>327</v>
      </c>
      <c r="D2332" s="943" t="s">
        <v>2</v>
      </c>
      <c r="E2332" s="945">
        <v>30</v>
      </c>
      <c r="F2332" s="945">
        <v>2</v>
      </c>
      <c r="G2332" s="946">
        <v>900</v>
      </c>
      <c r="H2332" s="946">
        <v>879.22</v>
      </c>
    </row>
    <row r="2333" spans="1:9" s="26" customFormat="1">
      <c r="A2333" s="947">
        <v>5</v>
      </c>
      <c r="B2333" s="948">
        <v>505</v>
      </c>
      <c r="C2333" s="948" t="s">
        <v>328</v>
      </c>
      <c r="D2333" s="947" t="s">
        <v>17</v>
      </c>
      <c r="E2333" s="950">
        <v>260</v>
      </c>
      <c r="F2333" s="950">
        <v>1</v>
      </c>
      <c r="G2333" s="951">
        <v>70</v>
      </c>
      <c r="H2333" s="951">
        <v>68.25</v>
      </c>
      <c r="I2333" s="18"/>
    </row>
    <row r="2334" spans="1:9">
      <c r="A2334" s="943">
        <v>5</v>
      </c>
      <c r="B2334" s="944">
        <v>505.1</v>
      </c>
      <c r="C2334" s="944" t="s">
        <v>329</v>
      </c>
      <c r="D2334" s="943" t="s">
        <v>17</v>
      </c>
      <c r="E2334" s="945">
        <v>200</v>
      </c>
      <c r="F2334" s="945">
        <v>1</v>
      </c>
      <c r="G2334" s="946">
        <v>85</v>
      </c>
      <c r="H2334" s="946">
        <v>88</v>
      </c>
    </row>
    <row r="2335" spans="1:9" s="26" customFormat="1">
      <c r="A2335" s="947">
        <v>5</v>
      </c>
      <c r="B2335" s="948">
        <v>506</v>
      </c>
      <c r="C2335" s="948" t="s">
        <v>40</v>
      </c>
      <c r="D2335" s="947" t="s">
        <v>17</v>
      </c>
      <c r="E2335" s="949">
        <v>45845</v>
      </c>
      <c r="F2335" s="950">
        <v>12</v>
      </c>
      <c r="G2335" s="951">
        <v>82</v>
      </c>
      <c r="H2335" s="951">
        <v>81.13</v>
      </c>
      <c r="I2335" s="18"/>
    </row>
    <row r="2336" spans="1:9">
      <c r="A2336" s="943">
        <v>5</v>
      </c>
      <c r="B2336" s="944">
        <v>506.1</v>
      </c>
      <c r="C2336" s="944" t="s">
        <v>41</v>
      </c>
      <c r="D2336" s="943" t="s">
        <v>17</v>
      </c>
      <c r="E2336" s="952">
        <v>16335</v>
      </c>
      <c r="F2336" s="945">
        <v>11</v>
      </c>
      <c r="G2336" s="946">
        <v>98.83</v>
      </c>
      <c r="H2336" s="946">
        <v>95.64</v>
      </c>
    </row>
    <row r="2337" spans="1:9" s="26" customFormat="1">
      <c r="A2337" s="947">
        <v>5</v>
      </c>
      <c r="B2337" s="948">
        <v>509</v>
      </c>
      <c r="C2337" s="948" t="s">
        <v>1394</v>
      </c>
      <c r="D2337" s="947" t="s">
        <v>17</v>
      </c>
      <c r="E2337" s="949">
        <v>18479</v>
      </c>
      <c r="F2337" s="950">
        <v>15</v>
      </c>
      <c r="G2337" s="951">
        <v>90.5</v>
      </c>
      <c r="H2337" s="951">
        <v>90.51</v>
      </c>
      <c r="I2337" s="18"/>
    </row>
    <row r="2338" spans="1:9">
      <c r="A2338" s="943">
        <v>5</v>
      </c>
      <c r="B2338" s="944">
        <v>509.1</v>
      </c>
      <c r="C2338" s="944" t="s">
        <v>1395</v>
      </c>
      <c r="D2338" s="943" t="s">
        <v>17</v>
      </c>
      <c r="E2338" s="952">
        <v>14005</v>
      </c>
      <c r="F2338" s="945">
        <v>13</v>
      </c>
      <c r="G2338" s="946">
        <v>110</v>
      </c>
      <c r="H2338" s="946">
        <v>105.98</v>
      </c>
    </row>
    <row r="2339" spans="1:9" s="26" customFormat="1">
      <c r="A2339" s="947">
        <v>5</v>
      </c>
      <c r="B2339" s="948">
        <v>510</v>
      </c>
      <c r="C2339" s="948" t="s">
        <v>330</v>
      </c>
      <c r="D2339" s="947" t="s">
        <v>17</v>
      </c>
      <c r="E2339" s="949">
        <v>3125</v>
      </c>
      <c r="F2339" s="950">
        <v>3</v>
      </c>
      <c r="G2339" s="951">
        <v>80.5</v>
      </c>
      <c r="H2339" s="951">
        <v>83.67</v>
      </c>
      <c r="I2339" s="18"/>
    </row>
    <row r="2340" spans="1:9">
      <c r="A2340" s="943">
        <v>5</v>
      </c>
      <c r="B2340" s="944">
        <v>510.1</v>
      </c>
      <c r="C2340" s="944" t="s">
        <v>331</v>
      </c>
      <c r="D2340" s="943" t="s">
        <v>17</v>
      </c>
      <c r="E2340" s="945">
        <v>320</v>
      </c>
      <c r="F2340" s="945">
        <v>3</v>
      </c>
      <c r="G2340" s="946">
        <v>97</v>
      </c>
      <c r="H2340" s="946">
        <v>96.6</v>
      </c>
    </row>
    <row r="2341" spans="1:9" s="26" customFormat="1">
      <c r="A2341" s="947">
        <v>5</v>
      </c>
      <c r="B2341" s="948">
        <v>511.1</v>
      </c>
      <c r="C2341" s="948" t="s">
        <v>332</v>
      </c>
      <c r="D2341" s="947" t="s">
        <v>17</v>
      </c>
      <c r="E2341" s="949">
        <v>22385</v>
      </c>
      <c r="F2341" s="950">
        <v>6</v>
      </c>
      <c r="G2341" s="951">
        <v>59.93</v>
      </c>
      <c r="H2341" s="951">
        <v>57.68</v>
      </c>
      <c r="I2341" s="18"/>
    </row>
    <row r="2342" spans="1:9">
      <c r="A2342" s="943">
        <v>5</v>
      </c>
      <c r="B2342" s="944">
        <v>512.1</v>
      </c>
      <c r="C2342" s="944" t="s">
        <v>333</v>
      </c>
      <c r="D2342" s="943" t="s">
        <v>17</v>
      </c>
      <c r="E2342" s="952">
        <v>1060</v>
      </c>
      <c r="F2342" s="945">
        <v>4</v>
      </c>
      <c r="G2342" s="946">
        <v>66</v>
      </c>
      <c r="H2342" s="946">
        <v>67.75</v>
      </c>
    </row>
    <row r="2343" spans="1:9" s="26" customFormat="1">
      <c r="A2343" s="947">
        <v>5</v>
      </c>
      <c r="B2343" s="948">
        <v>514</v>
      </c>
      <c r="C2343" s="948" t="s">
        <v>38</v>
      </c>
      <c r="D2343" s="947" t="s">
        <v>2</v>
      </c>
      <c r="E2343" s="950">
        <v>641</v>
      </c>
      <c r="F2343" s="950">
        <v>14</v>
      </c>
      <c r="G2343" s="951">
        <v>842.8</v>
      </c>
      <c r="H2343" s="951">
        <v>799.62</v>
      </c>
      <c r="I2343" s="18"/>
    </row>
    <row r="2344" spans="1:9">
      <c r="A2344" s="943">
        <v>5</v>
      </c>
      <c r="B2344" s="944">
        <v>515</v>
      </c>
      <c r="C2344" s="944" t="s">
        <v>45</v>
      </c>
      <c r="D2344" s="943" t="s">
        <v>2</v>
      </c>
      <c r="E2344" s="945">
        <v>21</v>
      </c>
      <c r="F2344" s="945">
        <v>5</v>
      </c>
      <c r="G2344" s="946">
        <v>980</v>
      </c>
      <c r="H2344" s="946">
        <v>958.07</v>
      </c>
    </row>
    <row r="2345" spans="1:9" s="26" customFormat="1">
      <c r="A2345" s="947">
        <v>5</v>
      </c>
      <c r="B2345" s="948">
        <v>516</v>
      </c>
      <c r="C2345" s="948" t="s">
        <v>47</v>
      </c>
      <c r="D2345" s="947" t="s">
        <v>2</v>
      </c>
      <c r="E2345" s="950">
        <v>33</v>
      </c>
      <c r="F2345" s="950">
        <v>3</v>
      </c>
      <c r="G2345" s="951">
        <v>620</v>
      </c>
      <c r="H2345" s="951">
        <v>600</v>
      </c>
      <c r="I2345" s="18"/>
    </row>
    <row r="2346" spans="1:9">
      <c r="A2346" s="943">
        <v>5</v>
      </c>
      <c r="B2346" s="944">
        <v>517</v>
      </c>
      <c r="C2346" s="944" t="s">
        <v>334</v>
      </c>
      <c r="D2346" s="943" t="s">
        <v>2</v>
      </c>
      <c r="E2346" s="945">
        <v>6</v>
      </c>
      <c r="F2346" s="945">
        <v>1</v>
      </c>
      <c r="G2346" s="946">
        <v>1100</v>
      </c>
      <c r="H2346" s="946">
        <v>1016.67</v>
      </c>
    </row>
    <row r="2347" spans="1:9" s="26" customFormat="1">
      <c r="A2347" s="947">
        <v>5</v>
      </c>
      <c r="B2347" s="948">
        <v>517.01</v>
      </c>
      <c r="C2347" s="948" t="s">
        <v>335</v>
      </c>
      <c r="D2347" s="947" t="s">
        <v>2</v>
      </c>
      <c r="E2347" s="950">
        <v>20</v>
      </c>
      <c r="F2347" s="950">
        <v>1</v>
      </c>
      <c r="G2347" s="951">
        <v>1120</v>
      </c>
      <c r="H2347" s="951">
        <v>1118</v>
      </c>
      <c r="I2347" s="18"/>
    </row>
    <row r="2348" spans="1:9">
      <c r="A2348" s="943">
        <v>5</v>
      </c>
      <c r="B2348" s="944">
        <v>520</v>
      </c>
      <c r="C2348" s="944" t="s">
        <v>336</v>
      </c>
      <c r="D2348" s="943" t="s">
        <v>17</v>
      </c>
      <c r="E2348" s="945">
        <v>30</v>
      </c>
      <c r="F2348" s="945">
        <v>1</v>
      </c>
      <c r="G2348" s="946">
        <v>55</v>
      </c>
      <c r="H2348" s="946">
        <v>55</v>
      </c>
    </row>
    <row r="2349" spans="1:9" s="26" customFormat="1">
      <c r="A2349" s="947">
        <v>5</v>
      </c>
      <c r="B2349" s="948">
        <v>570.20000000000005</v>
      </c>
      <c r="C2349" s="948" t="s">
        <v>338</v>
      </c>
      <c r="D2349" s="947" t="s">
        <v>17</v>
      </c>
      <c r="E2349" s="949">
        <v>1940</v>
      </c>
      <c r="F2349" s="950">
        <v>2</v>
      </c>
      <c r="G2349" s="951">
        <v>30</v>
      </c>
      <c r="H2349" s="951">
        <v>30.28</v>
      </c>
      <c r="I2349" s="18"/>
    </row>
    <row r="2350" spans="1:9">
      <c r="A2350" s="943">
        <v>5</v>
      </c>
      <c r="B2350" s="944">
        <v>570.29999999999995</v>
      </c>
      <c r="C2350" s="944" t="s">
        <v>339</v>
      </c>
      <c r="D2350" s="943" t="s">
        <v>17</v>
      </c>
      <c r="E2350" s="945">
        <v>165</v>
      </c>
      <c r="F2350" s="945">
        <v>2</v>
      </c>
      <c r="G2350" s="946">
        <v>44</v>
      </c>
      <c r="H2350" s="946">
        <v>37.67</v>
      </c>
    </row>
    <row r="2351" spans="1:9" s="26" customFormat="1">
      <c r="A2351" s="947">
        <v>5</v>
      </c>
      <c r="B2351" s="948">
        <v>580</v>
      </c>
      <c r="C2351" s="948" t="s">
        <v>56</v>
      </c>
      <c r="D2351" s="947" t="s">
        <v>17</v>
      </c>
      <c r="E2351" s="949">
        <v>81126</v>
      </c>
      <c r="F2351" s="950">
        <v>11</v>
      </c>
      <c r="G2351" s="951">
        <v>69</v>
      </c>
      <c r="H2351" s="951">
        <v>59.03</v>
      </c>
      <c r="I2351" s="18"/>
    </row>
    <row r="2352" spans="1:9">
      <c r="A2352" s="943">
        <v>5</v>
      </c>
      <c r="B2352" s="944">
        <v>581</v>
      </c>
      <c r="C2352" s="944" t="s">
        <v>340</v>
      </c>
      <c r="D2352" s="943" t="s">
        <v>2</v>
      </c>
      <c r="E2352" s="945">
        <v>577</v>
      </c>
      <c r="F2352" s="945">
        <v>8</v>
      </c>
      <c r="G2352" s="946">
        <v>419</v>
      </c>
      <c r="H2352" s="946">
        <v>446.06</v>
      </c>
    </row>
    <row r="2353" spans="1:9" s="26" customFormat="1">
      <c r="A2353" s="947">
        <v>5</v>
      </c>
      <c r="B2353" s="948">
        <v>582</v>
      </c>
      <c r="C2353" s="948" t="s">
        <v>341</v>
      </c>
      <c r="D2353" s="947" t="s">
        <v>2</v>
      </c>
      <c r="E2353" s="950">
        <v>3</v>
      </c>
      <c r="F2353" s="950">
        <v>1</v>
      </c>
      <c r="G2353" s="951">
        <v>153</v>
      </c>
      <c r="H2353" s="951">
        <v>153</v>
      </c>
      <c r="I2353" s="18"/>
    </row>
    <row r="2354" spans="1:9">
      <c r="A2354" s="943">
        <v>5</v>
      </c>
      <c r="B2354" s="944">
        <v>583</v>
      </c>
      <c r="C2354" s="944" t="s">
        <v>342</v>
      </c>
      <c r="D2354" s="943" t="s">
        <v>17</v>
      </c>
      <c r="E2354" s="952">
        <v>17070</v>
      </c>
      <c r="F2354" s="945">
        <v>8</v>
      </c>
      <c r="G2354" s="946">
        <v>55.7</v>
      </c>
      <c r="H2354" s="946">
        <v>48.55</v>
      </c>
    </row>
    <row r="2355" spans="1:9" s="26" customFormat="1">
      <c r="A2355" s="947">
        <v>5</v>
      </c>
      <c r="B2355" s="948">
        <v>590</v>
      </c>
      <c r="C2355" s="948" t="s">
        <v>343</v>
      </c>
      <c r="D2355" s="947" t="s">
        <v>17</v>
      </c>
      <c r="E2355" s="949">
        <v>9860</v>
      </c>
      <c r="F2355" s="950">
        <v>3</v>
      </c>
      <c r="G2355" s="951">
        <v>14.25</v>
      </c>
      <c r="H2355" s="951">
        <v>13.07</v>
      </c>
      <c r="I2355" s="18"/>
    </row>
    <row r="2356" spans="1:9">
      <c r="A2356" s="943">
        <v>5</v>
      </c>
      <c r="B2356" s="944">
        <v>591</v>
      </c>
      <c r="C2356" s="944" t="s">
        <v>344</v>
      </c>
      <c r="D2356" s="943" t="s">
        <v>2</v>
      </c>
      <c r="E2356" s="945">
        <v>100</v>
      </c>
      <c r="F2356" s="945">
        <v>2</v>
      </c>
      <c r="G2356" s="946">
        <v>80</v>
      </c>
      <c r="H2356" s="946">
        <v>71.5</v>
      </c>
    </row>
    <row r="2357" spans="1:9" s="26" customFormat="1">
      <c r="A2357" s="947">
        <v>5</v>
      </c>
      <c r="B2357" s="948">
        <v>592</v>
      </c>
      <c r="C2357" s="948" t="s">
        <v>345</v>
      </c>
      <c r="D2357" s="947" t="s">
        <v>2</v>
      </c>
      <c r="E2357" s="950">
        <v>22</v>
      </c>
      <c r="F2357" s="950">
        <v>2</v>
      </c>
      <c r="G2357" s="951">
        <v>70</v>
      </c>
      <c r="H2357" s="951">
        <v>62.38</v>
      </c>
      <c r="I2357" s="18"/>
    </row>
    <row r="2358" spans="1:9">
      <c r="A2358" s="943">
        <v>5</v>
      </c>
      <c r="B2358" s="944">
        <v>594</v>
      </c>
      <c r="C2358" s="944" t="s">
        <v>346</v>
      </c>
      <c r="D2358" s="943" t="s">
        <v>17</v>
      </c>
      <c r="E2358" s="952">
        <v>41847</v>
      </c>
      <c r="F2358" s="945">
        <v>11</v>
      </c>
      <c r="G2358" s="946">
        <v>10.5</v>
      </c>
      <c r="H2358" s="946">
        <v>11.88</v>
      </c>
    </row>
    <row r="2359" spans="1:9" s="26" customFormat="1">
      <c r="A2359" s="947">
        <v>5</v>
      </c>
      <c r="B2359" s="948">
        <v>595</v>
      </c>
      <c r="C2359" s="948" t="s">
        <v>347</v>
      </c>
      <c r="D2359" s="947" t="s">
        <v>2</v>
      </c>
      <c r="E2359" s="950">
        <v>315</v>
      </c>
      <c r="F2359" s="950">
        <v>6</v>
      </c>
      <c r="G2359" s="951">
        <v>75</v>
      </c>
      <c r="H2359" s="951">
        <v>71</v>
      </c>
      <c r="I2359" s="18"/>
    </row>
    <row r="2360" spans="1:9">
      <c r="A2360" s="943">
        <v>5</v>
      </c>
      <c r="B2360" s="944">
        <v>596</v>
      </c>
      <c r="C2360" s="944" t="s">
        <v>348</v>
      </c>
      <c r="D2360" s="943" t="s">
        <v>2</v>
      </c>
      <c r="E2360" s="945">
        <v>41</v>
      </c>
      <c r="F2360" s="945">
        <v>2</v>
      </c>
      <c r="G2360" s="946">
        <v>80</v>
      </c>
      <c r="H2360" s="946">
        <v>91.67</v>
      </c>
    </row>
    <row r="2361" spans="1:9" s="26" customFormat="1">
      <c r="A2361" s="947">
        <v>5</v>
      </c>
      <c r="B2361" s="948">
        <v>597</v>
      </c>
      <c r="C2361" s="948" t="s">
        <v>349</v>
      </c>
      <c r="D2361" s="947" t="s">
        <v>17</v>
      </c>
      <c r="E2361" s="949">
        <v>27240</v>
      </c>
      <c r="F2361" s="950">
        <v>7</v>
      </c>
      <c r="G2361" s="951">
        <v>8</v>
      </c>
      <c r="H2361" s="951">
        <v>7.69</v>
      </c>
      <c r="I2361" s="18"/>
    </row>
    <row r="2362" spans="1:9">
      <c r="A2362" s="943">
        <v>5</v>
      </c>
      <c r="B2362" s="944">
        <v>620.12</v>
      </c>
      <c r="C2362" s="944" t="s">
        <v>1252</v>
      </c>
      <c r="D2362" s="943" t="s">
        <v>17</v>
      </c>
      <c r="E2362" s="952">
        <v>3844</v>
      </c>
      <c r="F2362" s="945">
        <v>5</v>
      </c>
      <c r="G2362" s="946">
        <v>43</v>
      </c>
      <c r="H2362" s="946">
        <v>42.12</v>
      </c>
    </row>
    <row r="2363" spans="1:9" s="26" customFormat="1">
      <c r="A2363" s="947">
        <v>5</v>
      </c>
      <c r="B2363" s="948">
        <v>620.13</v>
      </c>
      <c r="C2363" s="948" t="s">
        <v>1398</v>
      </c>
      <c r="D2363" s="947" t="s">
        <v>17</v>
      </c>
      <c r="E2363" s="949">
        <v>170358</v>
      </c>
      <c r="F2363" s="950">
        <v>10</v>
      </c>
      <c r="G2363" s="951">
        <v>45</v>
      </c>
      <c r="H2363" s="951">
        <v>41.97</v>
      </c>
      <c r="I2363" s="18"/>
    </row>
    <row r="2364" spans="1:9">
      <c r="A2364" s="943">
        <v>5</v>
      </c>
      <c r="B2364" s="944">
        <v>620.13099999999997</v>
      </c>
      <c r="C2364" s="944" t="s">
        <v>1399</v>
      </c>
      <c r="D2364" s="943" t="s">
        <v>17</v>
      </c>
      <c r="E2364" s="945">
        <v>455</v>
      </c>
      <c r="F2364" s="945">
        <v>2</v>
      </c>
      <c r="G2364" s="946">
        <v>71</v>
      </c>
      <c r="H2364" s="946">
        <v>71</v>
      </c>
    </row>
    <row r="2365" spans="1:9" s="26" customFormat="1">
      <c r="A2365" s="947">
        <v>5</v>
      </c>
      <c r="B2365" s="948">
        <v>620.32000000000005</v>
      </c>
      <c r="C2365" s="948" t="s">
        <v>1253</v>
      </c>
      <c r="D2365" s="947" t="s">
        <v>17</v>
      </c>
      <c r="E2365" s="950">
        <v>96</v>
      </c>
      <c r="F2365" s="950">
        <v>1</v>
      </c>
      <c r="G2365" s="951">
        <v>57</v>
      </c>
      <c r="H2365" s="951">
        <v>57</v>
      </c>
      <c r="I2365" s="18"/>
    </row>
    <row r="2366" spans="1:9">
      <c r="A2366" s="943">
        <v>5</v>
      </c>
      <c r="B2366" s="944">
        <v>620.33000000000004</v>
      </c>
      <c r="C2366" s="944" t="s">
        <v>1400</v>
      </c>
      <c r="D2366" s="943" t="s">
        <v>17</v>
      </c>
      <c r="E2366" s="945">
        <v>540</v>
      </c>
      <c r="F2366" s="945">
        <v>2</v>
      </c>
      <c r="G2366" s="946">
        <v>78</v>
      </c>
      <c r="H2366" s="946">
        <v>78</v>
      </c>
    </row>
    <row r="2367" spans="1:9" s="26" customFormat="1">
      <c r="A2367" s="947">
        <v>5</v>
      </c>
      <c r="B2367" s="948">
        <v>627.1</v>
      </c>
      <c r="C2367" s="948" t="s">
        <v>1403</v>
      </c>
      <c r="D2367" s="947" t="s">
        <v>2</v>
      </c>
      <c r="E2367" s="950">
        <v>298</v>
      </c>
      <c r="F2367" s="950">
        <v>11</v>
      </c>
      <c r="G2367" s="951">
        <v>2625</v>
      </c>
      <c r="H2367" s="951">
        <v>2745.38</v>
      </c>
      <c r="I2367" s="18"/>
    </row>
    <row r="2368" spans="1:9">
      <c r="A2368" s="943">
        <v>5</v>
      </c>
      <c r="B2368" s="944">
        <v>627.82000000000005</v>
      </c>
      <c r="C2368" s="944" t="s">
        <v>1406</v>
      </c>
      <c r="D2368" s="943" t="s">
        <v>2</v>
      </c>
      <c r="E2368" s="945">
        <v>44</v>
      </c>
      <c r="F2368" s="945">
        <v>4</v>
      </c>
      <c r="G2368" s="946">
        <v>5665</v>
      </c>
      <c r="H2368" s="946">
        <v>5829.75</v>
      </c>
    </row>
    <row r="2369" spans="1:9" s="26" customFormat="1">
      <c r="A2369" s="947">
        <v>5</v>
      </c>
      <c r="B2369" s="948">
        <v>627.83000000000004</v>
      </c>
      <c r="C2369" s="948" t="s">
        <v>1407</v>
      </c>
      <c r="D2369" s="947" t="s">
        <v>2</v>
      </c>
      <c r="E2369" s="950">
        <v>335</v>
      </c>
      <c r="F2369" s="950">
        <v>9</v>
      </c>
      <c r="G2369" s="951">
        <v>6601.52</v>
      </c>
      <c r="H2369" s="951">
        <v>6483.6</v>
      </c>
      <c r="I2369" s="18"/>
    </row>
    <row r="2370" spans="1:9">
      <c r="A2370" s="943">
        <v>5</v>
      </c>
      <c r="B2370" s="944">
        <v>627.92999999999995</v>
      </c>
      <c r="C2370" s="944" t="s">
        <v>1409</v>
      </c>
      <c r="D2370" s="943" t="s">
        <v>2</v>
      </c>
      <c r="E2370" s="945">
        <v>60</v>
      </c>
      <c r="F2370" s="945">
        <v>1</v>
      </c>
      <c r="G2370" s="946">
        <v>6000</v>
      </c>
      <c r="H2370" s="946">
        <v>6167.5</v>
      </c>
    </row>
    <row r="2371" spans="1:9" s="26" customFormat="1">
      <c r="A2371" s="947">
        <v>5</v>
      </c>
      <c r="B2371" s="948">
        <v>628.21</v>
      </c>
      <c r="C2371" s="948" t="s">
        <v>1410</v>
      </c>
      <c r="D2371" s="947" t="s">
        <v>2</v>
      </c>
      <c r="E2371" s="950">
        <v>147</v>
      </c>
      <c r="F2371" s="950">
        <v>8</v>
      </c>
      <c r="G2371" s="951">
        <v>2400</v>
      </c>
      <c r="H2371" s="951">
        <v>2404.4899999999998</v>
      </c>
      <c r="I2371" s="18"/>
    </row>
    <row r="2372" spans="1:9">
      <c r="A2372" s="943">
        <v>5</v>
      </c>
      <c r="B2372" s="944">
        <v>628.22</v>
      </c>
      <c r="C2372" s="944" t="s">
        <v>1411</v>
      </c>
      <c r="D2372" s="943" t="s">
        <v>2</v>
      </c>
      <c r="E2372" s="945">
        <v>66</v>
      </c>
      <c r="F2372" s="945">
        <v>2</v>
      </c>
      <c r="G2372" s="946">
        <v>6750</v>
      </c>
      <c r="H2372" s="946">
        <v>6902.52</v>
      </c>
    </row>
    <row r="2373" spans="1:9" s="26" customFormat="1">
      <c r="A2373" s="947">
        <v>5</v>
      </c>
      <c r="B2373" s="948">
        <v>628.24</v>
      </c>
      <c r="C2373" s="948" t="s">
        <v>1413</v>
      </c>
      <c r="D2373" s="947" t="s">
        <v>2</v>
      </c>
      <c r="E2373" s="950">
        <v>98</v>
      </c>
      <c r="F2373" s="950">
        <v>6</v>
      </c>
      <c r="G2373" s="951">
        <v>7000</v>
      </c>
      <c r="H2373" s="951">
        <v>6902.27</v>
      </c>
      <c r="I2373" s="18"/>
    </row>
    <row r="2374" spans="1:9">
      <c r="A2374" s="943">
        <v>5</v>
      </c>
      <c r="B2374" s="944">
        <v>628.25</v>
      </c>
      <c r="C2374" s="944" t="s">
        <v>1414</v>
      </c>
      <c r="D2374" s="943" t="s">
        <v>2</v>
      </c>
      <c r="E2374" s="945">
        <v>49</v>
      </c>
      <c r="F2374" s="945">
        <v>3</v>
      </c>
      <c r="G2374" s="946">
        <v>440.63</v>
      </c>
      <c r="H2374" s="946">
        <v>461.81</v>
      </c>
    </row>
    <row r="2375" spans="1:9" s="26" customFormat="1">
      <c r="A2375" s="947">
        <v>5</v>
      </c>
      <c r="B2375" s="948">
        <v>628.30399999999997</v>
      </c>
      <c r="C2375" s="948" t="s">
        <v>2412</v>
      </c>
      <c r="D2375" s="947" t="s">
        <v>2</v>
      </c>
      <c r="E2375" s="950">
        <v>5</v>
      </c>
      <c r="F2375" s="950">
        <v>1</v>
      </c>
      <c r="G2375" s="951">
        <v>8425</v>
      </c>
      <c r="H2375" s="951">
        <v>7980</v>
      </c>
      <c r="I2375" s="18"/>
    </row>
    <row r="2376" spans="1:9">
      <c r="A2376" s="943">
        <v>5</v>
      </c>
      <c r="B2376" s="944">
        <v>628.30499999999995</v>
      </c>
      <c r="C2376" s="944" t="s">
        <v>2413</v>
      </c>
      <c r="D2376" s="943" t="s">
        <v>2</v>
      </c>
      <c r="E2376" s="945">
        <v>13</v>
      </c>
      <c r="F2376" s="945">
        <v>2</v>
      </c>
      <c r="G2376" s="946">
        <v>10000</v>
      </c>
      <c r="H2376" s="946">
        <v>10363.75</v>
      </c>
    </row>
    <row r="2377" spans="1:9" s="26" customFormat="1">
      <c r="A2377" s="947">
        <v>5</v>
      </c>
      <c r="B2377" s="948">
        <v>628.31399999999996</v>
      </c>
      <c r="C2377" s="948" t="s">
        <v>2416</v>
      </c>
      <c r="D2377" s="947" t="s">
        <v>2</v>
      </c>
      <c r="E2377" s="950">
        <v>6</v>
      </c>
      <c r="F2377" s="950">
        <v>1</v>
      </c>
      <c r="G2377" s="951">
        <v>7000</v>
      </c>
      <c r="H2377" s="951">
        <v>6333.33</v>
      </c>
      <c r="I2377" s="18"/>
    </row>
    <row r="2378" spans="1:9">
      <c r="A2378" s="943">
        <v>5</v>
      </c>
      <c r="B2378" s="944">
        <v>628.31500000000005</v>
      </c>
      <c r="C2378" s="944" t="s">
        <v>2417</v>
      </c>
      <c r="D2378" s="943" t="s">
        <v>2</v>
      </c>
      <c r="E2378" s="945">
        <v>18</v>
      </c>
      <c r="F2378" s="945">
        <v>2</v>
      </c>
      <c r="G2378" s="946">
        <v>6500</v>
      </c>
      <c r="H2378" s="946">
        <v>7174</v>
      </c>
    </row>
    <row r="2379" spans="1:9" s="26" customFormat="1">
      <c r="A2379" s="947">
        <v>5</v>
      </c>
      <c r="B2379" s="948">
        <v>628.4</v>
      </c>
      <c r="C2379" s="948" t="s">
        <v>3901</v>
      </c>
      <c r="D2379" s="947" t="s">
        <v>2</v>
      </c>
      <c r="E2379" s="950">
        <v>70</v>
      </c>
      <c r="F2379" s="950">
        <v>6</v>
      </c>
      <c r="G2379" s="951">
        <v>2100</v>
      </c>
      <c r="H2379" s="951">
        <v>2135.79</v>
      </c>
      <c r="I2379" s="18"/>
    </row>
    <row r="2380" spans="1:9">
      <c r="A2380" s="943">
        <v>5</v>
      </c>
      <c r="B2380" s="944">
        <v>629.1</v>
      </c>
      <c r="C2380" s="944" t="s">
        <v>353</v>
      </c>
      <c r="D2380" s="943" t="s">
        <v>17</v>
      </c>
      <c r="E2380" s="945">
        <v>780</v>
      </c>
      <c r="F2380" s="945">
        <v>1</v>
      </c>
      <c r="G2380" s="946">
        <v>338.23</v>
      </c>
      <c r="H2380" s="946">
        <v>341.91</v>
      </c>
    </row>
    <row r="2381" spans="1:9" s="26" customFormat="1">
      <c r="A2381" s="947">
        <v>5</v>
      </c>
      <c r="B2381" s="948">
        <v>630</v>
      </c>
      <c r="C2381" s="948" t="s">
        <v>356</v>
      </c>
      <c r="D2381" s="947" t="s">
        <v>17</v>
      </c>
      <c r="E2381" s="949">
        <v>2390</v>
      </c>
      <c r="F2381" s="950">
        <v>3</v>
      </c>
      <c r="G2381" s="951">
        <v>45</v>
      </c>
      <c r="H2381" s="951">
        <v>39.450000000000003</v>
      </c>
      <c r="I2381" s="18"/>
    </row>
    <row r="2382" spans="1:9">
      <c r="A2382" s="943">
        <v>5</v>
      </c>
      <c r="B2382" s="944">
        <v>630.20000000000005</v>
      </c>
      <c r="C2382" s="944" t="s">
        <v>358</v>
      </c>
      <c r="D2382" s="943" t="s">
        <v>17</v>
      </c>
      <c r="E2382" s="952">
        <v>157183</v>
      </c>
      <c r="F2382" s="945">
        <v>11</v>
      </c>
      <c r="G2382" s="946">
        <v>8</v>
      </c>
      <c r="H2382" s="946">
        <v>7.39</v>
      </c>
    </row>
    <row r="2383" spans="1:9" s="26" customFormat="1">
      <c r="A2383" s="947">
        <v>5</v>
      </c>
      <c r="B2383" s="948">
        <v>632.29999999999995</v>
      </c>
      <c r="C2383" s="948" t="s">
        <v>2424</v>
      </c>
      <c r="D2383" s="947" t="s">
        <v>2</v>
      </c>
      <c r="E2383" s="950">
        <v>12</v>
      </c>
      <c r="F2383" s="950">
        <v>1</v>
      </c>
      <c r="G2383" s="951">
        <v>525</v>
      </c>
      <c r="H2383" s="951">
        <v>510</v>
      </c>
      <c r="I2383" s="18"/>
    </row>
    <row r="2384" spans="1:9">
      <c r="A2384" s="943">
        <v>5</v>
      </c>
      <c r="B2384" s="944">
        <v>644.048</v>
      </c>
      <c r="C2384" s="944" t="s">
        <v>2428</v>
      </c>
      <c r="D2384" s="943" t="s">
        <v>17</v>
      </c>
      <c r="E2384" s="945">
        <v>200</v>
      </c>
      <c r="F2384" s="945">
        <v>1</v>
      </c>
      <c r="G2384" s="946">
        <v>46.65</v>
      </c>
      <c r="H2384" s="946">
        <v>46.65</v>
      </c>
    </row>
    <row r="2385" spans="1:9" s="26" customFormat="1">
      <c r="A2385" s="947">
        <v>5</v>
      </c>
      <c r="B2385" s="948">
        <v>644.05999999999995</v>
      </c>
      <c r="C2385" s="948" t="s">
        <v>367</v>
      </c>
      <c r="D2385" s="947" t="s">
        <v>17</v>
      </c>
      <c r="E2385" s="950">
        <v>200</v>
      </c>
      <c r="F2385" s="950">
        <v>1</v>
      </c>
      <c r="G2385" s="951">
        <v>48.4</v>
      </c>
      <c r="H2385" s="951">
        <v>48.4</v>
      </c>
      <c r="I2385" s="18"/>
    </row>
    <row r="2386" spans="1:9">
      <c r="A2386" s="943">
        <v>5</v>
      </c>
      <c r="B2386" s="944">
        <v>644.072</v>
      </c>
      <c r="C2386" s="944" t="s">
        <v>368</v>
      </c>
      <c r="D2386" s="943" t="s">
        <v>17</v>
      </c>
      <c r="E2386" s="952">
        <v>14690</v>
      </c>
      <c r="F2386" s="945">
        <v>2</v>
      </c>
      <c r="G2386" s="946">
        <v>80</v>
      </c>
      <c r="H2386" s="946">
        <v>70.239999999999995</v>
      </c>
    </row>
    <row r="2387" spans="1:9" s="26" customFormat="1">
      <c r="A2387" s="947">
        <v>5</v>
      </c>
      <c r="B2387" s="948">
        <v>644.096</v>
      </c>
      <c r="C2387" s="948" t="s">
        <v>2430</v>
      </c>
      <c r="D2387" s="947" t="s">
        <v>17</v>
      </c>
      <c r="E2387" s="950">
        <v>200</v>
      </c>
      <c r="F2387" s="950">
        <v>1</v>
      </c>
      <c r="G2387" s="951">
        <v>64.599999999999994</v>
      </c>
      <c r="H2387" s="951">
        <v>64.599999999999994</v>
      </c>
      <c r="I2387" s="18"/>
    </row>
    <row r="2388" spans="1:9">
      <c r="A2388" s="943">
        <v>5</v>
      </c>
      <c r="B2388" s="944">
        <v>644.17200000000003</v>
      </c>
      <c r="C2388" s="944" t="s">
        <v>371</v>
      </c>
      <c r="D2388" s="943" t="s">
        <v>17</v>
      </c>
      <c r="E2388" s="945">
        <v>200</v>
      </c>
      <c r="F2388" s="945">
        <v>1</v>
      </c>
      <c r="G2388" s="946">
        <v>55.55</v>
      </c>
      <c r="H2388" s="946">
        <v>55.55</v>
      </c>
    </row>
    <row r="2389" spans="1:9" s="26" customFormat="1">
      <c r="A2389" s="947">
        <v>5</v>
      </c>
      <c r="B2389" s="948">
        <v>645.048</v>
      </c>
      <c r="C2389" s="948" t="s">
        <v>373</v>
      </c>
      <c r="D2389" s="947" t="s">
        <v>17</v>
      </c>
      <c r="E2389" s="949">
        <v>3630</v>
      </c>
      <c r="F2389" s="950">
        <v>2</v>
      </c>
      <c r="G2389" s="951">
        <v>72.25</v>
      </c>
      <c r="H2389" s="951">
        <v>75.75</v>
      </c>
      <c r="I2389" s="18"/>
    </row>
    <row r="2390" spans="1:9">
      <c r="A2390" s="943">
        <v>5</v>
      </c>
      <c r="B2390" s="944">
        <v>645.072</v>
      </c>
      <c r="C2390" s="944" t="s">
        <v>374</v>
      </c>
      <c r="D2390" s="943" t="s">
        <v>17</v>
      </c>
      <c r="E2390" s="952">
        <v>1000</v>
      </c>
      <c r="F2390" s="945">
        <v>1</v>
      </c>
      <c r="G2390" s="946">
        <v>54.53</v>
      </c>
      <c r="H2390" s="946">
        <v>54.53</v>
      </c>
    </row>
    <row r="2391" spans="1:9" s="26" customFormat="1">
      <c r="A2391" s="947">
        <v>5</v>
      </c>
      <c r="B2391" s="948">
        <v>645.14800000000002</v>
      </c>
      <c r="C2391" s="948" t="s">
        <v>375</v>
      </c>
      <c r="D2391" s="947" t="s">
        <v>17</v>
      </c>
      <c r="E2391" s="949">
        <v>3480</v>
      </c>
      <c r="F2391" s="950">
        <v>2</v>
      </c>
      <c r="G2391" s="951">
        <v>74.55</v>
      </c>
      <c r="H2391" s="951">
        <v>75.08</v>
      </c>
      <c r="I2391" s="18"/>
    </row>
    <row r="2392" spans="1:9">
      <c r="A2392" s="943">
        <v>5</v>
      </c>
      <c r="B2392" s="944">
        <v>647.072</v>
      </c>
      <c r="C2392" s="944" t="s">
        <v>2451</v>
      </c>
      <c r="D2392" s="943" t="s">
        <v>17</v>
      </c>
      <c r="E2392" s="952">
        <v>2000</v>
      </c>
      <c r="F2392" s="945">
        <v>1</v>
      </c>
      <c r="G2392" s="946">
        <v>66.8</v>
      </c>
      <c r="H2392" s="946">
        <v>66.8</v>
      </c>
    </row>
    <row r="2393" spans="1:9" s="26" customFormat="1">
      <c r="A2393" s="947">
        <v>5</v>
      </c>
      <c r="B2393" s="948">
        <v>650.048</v>
      </c>
      <c r="C2393" s="948" t="s">
        <v>377</v>
      </c>
      <c r="D2393" s="947" t="s">
        <v>17</v>
      </c>
      <c r="E2393" s="950">
        <v>50</v>
      </c>
      <c r="F2393" s="950">
        <v>1</v>
      </c>
      <c r="G2393" s="951">
        <v>550</v>
      </c>
      <c r="H2393" s="951">
        <v>625</v>
      </c>
      <c r="I2393" s="18"/>
    </row>
    <row r="2394" spans="1:9">
      <c r="A2394" s="943">
        <v>5</v>
      </c>
      <c r="B2394" s="944">
        <v>650.072</v>
      </c>
      <c r="C2394" s="944" t="s">
        <v>378</v>
      </c>
      <c r="D2394" s="943" t="s">
        <v>17</v>
      </c>
      <c r="E2394" s="945">
        <v>236</v>
      </c>
      <c r="F2394" s="945">
        <v>2</v>
      </c>
      <c r="G2394" s="946">
        <v>246</v>
      </c>
      <c r="H2394" s="946">
        <v>244.25</v>
      </c>
    </row>
    <row r="2395" spans="1:9" s="26" customFormat="1">
      <c r="A2395" s="947">
        <v>5</v>
      </c>
      <c r="B2395" s="948">
        <v>651.072</v>
      </c>
      <c r="C2395" s="948" t="s">
        <v>379</v>
      </c>
      <c r="D2395" s="947" t="s">
        <v>17</v>
      </c>
      <c r="E2395" s="950">
        <v>200</v>
      </c>
      <c r="F2395" s="950">
        <v>1</v>
      </c>
      <c r="G2395" s="951">
        <v>259.08</v>
      </c>
      <c r="H2395" s="951">
        <v>259.08</v>
      </c>
      <c r="I2395" s="18"/>
    </row>
    <row r="2396" spans="1:9">
      <c r="A2396" s="943">
        <v>5</v>
      </c>
      <c r="B2396" s="944">
        <v>652.048</v>
      </c>
      <c r="C2396" s="944" t="s">
        <v>380</v>
      </c>
      <c r="D2396" s="943" t="s">
        <v>2</v>
      </c>
      <c r="E2396" s="945">
        <v>50</v>
      </c>
      <c r="F2396" s="945">
        <v>4</v>
      </c>
      <c r="G2396" s="946">
        <v>450</v>
      </c>
      <c r="H2396" s="946">
        <v>446.14</v>
      </c>
    </row>
    <row r="2397" spans="1:9" s="26" customFormat="1">
      <c r="A2397" s="947">
        <v>5</v>
      </c>
      <c r="B2397" s="948">
        <v>652.05999999999995</v>
      </c>
      <c r="C2397" s="948" t="s">
        <v>2475</v>
      </c>
      <c r="D2397" s="947" t="s">
        <v>2</v>
      </c>
      <c r="E2397" s="950">
        <v>4</v>
      </c>
      <c r="F2397" s="950">
        <v>1</v>
      </c>
      <c r="G2397" s="951">
        <v>480.5</v>
      </c>
      <c r="H2397" s="951">
        <v>480.5</v>
      </c>
      <c r="I2397" s="18"/>
    </row>
    <row r="2398" spans="1:9">
      <c r="A2398" s="943">
        <v>5</v>
      </c>
      <c r="B2398" s="944">
        <v>652.072</v>
      </c>
      <c r="C2398" s="944" t="s">
        <v>381</v>
      </c>
      <c r="D2398" s="943" t="s">
        <v>2</v>
      </c>
      <c r="E2398" s="945">
        <v>100</v>
      </c>
      <c r="F2398" s="945">
        <v>1</v>
      </c>
      <c r="G2398" s="946">
        <v>504.43</v>
      </c>
      <c r="H2398" s="946">
        <v>504.43</v>
      </c>
    </row>
    <row r="2399" spans="1:9" s="26" customFormat="1">
      <c r="A2399" s="947">
        <v>5</v>
      </c>
      <c r="B2399" s="948">
        <v>652.096</v>
      </c>
      <c r="C2399" s="948" t="s">
        <v>2477</v>
      </c>
      <c r="D2399" s="947" t="s">
        <v>2</v>
      </c>
      <c r="E2399" s="950">
        <v>20</v>
      </c>
      <c r="F2399" s="950">
        <v>1</v>
      </c>
      <c r="G2399" s="951">
        <v>568.70000000000005</v>
      </c>
      <c r="H2399" s="951">
        <v>568.70000000000005</v>
      </c>
      <c r="I2399" s="18"/>
    </row>
    <row r="2400" spans="1:9">
      <c r="A2400" s="943">
        <v>5</v>
      </c>
      <c r="B2400" s="944">
        <v>653.048</v>
      </c>
      <c r="C2400" s="944" t="s">
        <v>382</v>
      </c>
      <c r="D2400" s="943" t="s">
        <v>2</v>
      </c>
      <c r="E2400" s="945">
        <v>16</v>
      </c>
      <c r="F2400" s="945">
        <v>3</v>
      </c>
      <c r="G2400" s="946">
        <v>613</v>
      </c>
      <c r="H2400" s="946">
        <v>579.70000000000005</v>
      </c>
    </row>
    <row r="2401" spans="1:9" s="26" customFormat="1">
      <c r="A2401" s="947">
        <v>5</v>
      </c>
      <c r="B2401" s="948">
        <v>653.05999999999995</v>
      </c>
      <c r="C2401" s="948" t="s">
        <v>2481</v>
      </c>
      <c r="D2401" s="947" t="s">
        <v>2</v>
      </c>
      <c r="E2401" s="950">
        <v>4</v>
      </c>
      <c r="F2401" s="950">
        <v>1</v>
      </c>
      <c r="G2401" s="951">
        <v>525.48</v>
      </c>
      <c r="H2401" s="951">
        <v>525.48</v>
      </c>
      <c r="I2401" s="18"/>
    </row>
    <row r="2402" spans="1:9">
      <c r="A2402" s="943">
        <v>5</v>
      </c>
      <c r="B2402" s="944">
        <v>653.072</v>
      </c>
      <c r="C2402" s="944" t="s">
        <v>383</v>
      </c>
      <c r="D2402" s="943" t="s">
        <v>2</v>
      </c>
      <c r="E2402" s="945">
        <v>100</v>
      </c>
      <c r="F2402" s="945">
        <v>1</v>
      </c>
      <c r="G2402" s="946">
        <v>620.83000000000004</v>
      </c>
      <c r="H2402" s="946">
        <v>620.83000000000004</v>
      </c>
    </row>
    <row r="2403" spans="1:9" s="26" customFormat="1">
      <c r="A2403" s="947">
        <v>5</v>
      </c>
      <c r="B2403" s="948">
        <v>653.096</v>
      </c>
      <c r="C2403" s="948" t="s">
        <v>384</v>
      </c>
      <c r="D2403" s="947" t="s">
        <v>2</v>
      </c>
      <c r="E2403" s="950">
        <v>40</v>
      </c>
      <c r="F2403" s="950">
        <v>1</v>
      </c>
      <c r="G2403" s="951">
        <v>710.7</v>
      </c>
      <c r="H2403" s="951">
        <v>710.7</v>
      </c>
      <c r="I2403" s="18"/>
    </row>
    <row r="2404" spans="1:9">
      <c r="A2404" s="943">
        <v>5</v>
      </c>
      <c r="B2404" s="944">
        <v>654.072</v>
      </c>
      <c r="C2404" s="944" t="s">
        <v>385</v>
      </c>
      <c r="D2404" s="943" t="s">
        <v>17</v>
      </c>
      <c r="E2404" s="952">
        <v>2000</v>
      </c>
      <c r="F2404" s="945">
        <v>1</v>
      </c>
      <c r="G2404" s="946">
        <v>20.73</v>
      </c>
      <c r="H2404" s="946">
        <v>20.73</v>
      </c>
    </row>
    <row r="2405" spans="1:9" s="26" customFormat="1">
      <c r="A2405" s="947">
        <v>5</v>
      </c>
      <c r="B2405" s="948">
        <v>655</v>
      </c>
      <c r="C2405" s="948" t="s">
        <v>386</v>
      </c>
      <c r="D2405" s="947" t="s">
        <v>17</v>
      </c>
      <c r="E2405" s="950">
        <v>800</v>
      </c>
      <c r="F2405" s="950">
        <v>1</v>
      </c>
      <c r="G2405" s="951">
        <v>93</v>
      </c>
      <c r="H2405" s="951">
        <v>105.25</v>
      </c>
      <c r="I2405" s="18"/>
    </row>
    <row r="2406" spans="1:9">
      <c r="A2406" s="943">
        <v>5</v>
      </c>
      <c r="B2406" s="944">
        <v>657</v>
      </c>
      <c r="C2406" s="944" t="s">
        <v>387</v>
      </c>
      <c r="D2406" s="943" t="s">
        <v>17</v>
      </c>
      <c r="E2406" s="952">
        <v>6300</v>
      </c>
      <c r="F2406" s="945">
        <v>5</v>
      </c>
      <c r="G2406" s="946">
        <v>39.04</v>
      </c>
      <c r="H2406" s="946">
        <v>38.86</v>
      </c>
    </row>
    <row r="2407" spans="1:9" s="26" customFormat="1">
      <c r="A2407" s="947">
        <v>5</v>
      </c>
      <c r="B2407" s="948">
        <v>657.5</v>
      </c>
      <c r="C2407" s="948" t="s">
        <v>388</v>
      </c>
      <c r="D2407" s="947" t="s">
        <v>17</v>
      </c>
      <c r="E2407" s="949">
        <v>1400</v>
      </c>
      <c r="F2407" s="950">
        <v>3</v>
      </c>
      <c r="G2407" s="951">
        <v>20.75</v>
      </c>
      <c r="H2407" s="951">
        <v>22.21</v>
      </c>
      <c r="I2407" s="18"/>
    </row>
    <row r="2408" spans="1:9">
      <c r="A2408" s="943">
        <v>5</v>
      </c>
      <c r="B2408" s="944">
        <v>660</v>
      </c>
      <c r="C2408" s="944" t="s">
        <v>389</v>
      </c>
      <c r="D2408" s="943" t="s">
        <v>17</v>
      </c>
      <c r="E2408" s="945">
        <v>100</v>
      </c>
      <c r="F2408" s="945">
        <v>1</v>
      </c>
      <c r="G2408" s="946">
        <v>495</v>
      </c>
      <c r="H2408" s="946">
        <v>495</v>
      </c>
    </row>
    <row r="2409" spans="1:9" s="26" customFormat="1">
      <c r="A2409" s="947">
        <v>5</v>
      </c>
      <c r="B2409" s="948">
        <v>665</v>
      </c>
      <c r="C2409" s="948" t="s">
        <v>390</v>
      </c>
      <c r="D2409" s="947" t="s">
        <v>17</v>
      </c>
      <c r="E2409" s="949">
        <v>1160</v>
      </c>
      <c r="F2409" s="950">
        <v>2</v>
      </c>
      <c r="G2409" s="951">
        <v>45</v>
      </c>
      <c r="H2409" s="951">
        <v>47.35</v>
      </c>
      <c r="I2409" s="18"/>
    </row>
    <row r="2410" spans="1:9">
      <c r="A2410" s="943">
        <v>5</v>
      </c>
      <c r="B2410" s="944">
        <v>666</v>
      </c>
      <c r="C2410" s="944" t="s">
        <v>391</v>
      </c>
      <c r="D2410" s="943" t="s">
        <v>17</v>
      </c>
      <c r="E2410" s="952">
        <v>1065</v>
      </c>
      <c r="F2410" s="945">
        <v>2</v>
      </c>
      <c r="G2410" s="946">
        <v>60</v>
      </c>
      <c r="H2410" s="946">
        <v>60.28</v>
      </c>
    </row>
    <row r="2411" spans="1:9" s="26" customFormat="1">
      <c r="A2411" s="947">
        <v>5</v>
      </c>
      <c r="B2411" s="948">
        <v>667</v>
      </c>
      <c r="C2411" s="948" t="s">
        <v>4039</v>
      </c>
      <c r="D2411" s="947" t="s">
        <v>2</v>
      </c>
      <c r="E2411" s="950">
        <v>27</v>
      </c>
      <c r="F2411" s="950">
        <v>1</v>
      </c>
      <c r="G2411" s="951">
        <v>1175</v>
      </c>
      <c r="H2411" s="951">
        <v>1141.67</v>
      </c>
      <c r="I2411" s="18"/>
    </row>
    <row r="2412" spans="1:9">
      <c r="A2412" s="943">
        <v>5</v>
      </c>
      <c r="B2412" s="944">
        <v>669</v>
      </c>
      <c r="C2412" s="944" t="s">
        <v>393</v>
      </c>
      <c r="D2412" s="943" t="s">
        <v>17</v>
      </c>
      <c r="E2412" s="952">
        <v>1310</v>
      </c>
      <c r="F2412" s="945">
        <v>4</v>
      </c>
      <c r="G2412" s="946">
        <v>34.6</v>
      </c>
      <c r="H2412" s="946">
        <v>34.83</v>
      </c>
    </row>
    <row r="2413" spans="1:9" s="26" customFormat="1">
      <c r="A2413" s="947">
        <v>5</v>
      </c>
      <c r="B2413" s="948">
        <v>670</v>
      </c>
      <c r="C2413" s="948" t="s">
        <v>394</v>
      </c>
      <c r="D2413" s="947" t="s">
        <v>17</v>
      </c>
      <c r="E2413" s="950">
        <v>320</v>
      </c>
      <c r="F2413" s="950">
        <v>1</v>
      </c>
      <c r="G2413" s="951">
        <v>92</v>
      </c>
      <c r="H2413" s="951">
        <v>92</v>
      </c>
      <c r="I2413" s="18"/>
    </row>
    <row r="2414" spans="1:9">
      <c r="A2414" s="943">
        <v>5</v>
      </c>
      <c r="B2414" s="944">
        <v>672</v>
      </c>
      <c r="C2414" s="944" t="s">
        <v>395</v>
      </c>
      <c r="D2414" s="943" t="s">
        <v>2</v>
      </c>
      <c r="E2414" s="945">
        <v>7</v>
      </c>
      <c r="F2414" s="945">
        <v>2</v>
      </c>
      <c r="G2414" s="946">
        <v>2890</v>
      </c>
      <c r="H2414" s="946">
        <v>3522.5</v>
      </c>
    </row>
    <row r="2415" spans="1:9" s="26" customFormat="1">
      <c r="A2415" s="947">
        <v>5</v>
      </c>
      <c r="B2415" s="948">
        <v>685</v>
      </c>
      <c r="C2415" s="948" t="s">
        <v>396</v>
      </c>
      <c r="D2415" s="947" t="s">
        <v>4</v>
      </c>
      <c r="E2415" s="950">
        <v>480</v>
      </c>
      <c r="F2415" s="950">
        <v>2</v>
      </c>
      <c r="G2415" s="951">
        <v>1500</v>
      </c>
      <c r="H2415" s="951">
        <v>1598.46</v>
      </c>
      <c r="I2415" s="18"/>
    </row>
    <row r="2416" spans="1:9">
      <c r="A2416" s="943">
        <v>5</v>
      </c>
      <c r="B2416" s="944">
        <v>685.2</v>
      </c>
      <c r="C2416" s="944" t="s">
        <v>2507</v>
      </c>
      <c r="D2416" s="943" t="s">
        <v>2</v>
      </c>
      <c r="E2416" s="945">
        <v>12</v>
      </c>
      <c r="F2416" s="945">
        <v>1</v>
      </c>
      <c r="G2416" s="946">
        <v>2000</v>
      </c>
      <c r="H2416" s="946">
        <v>2033.33</v>
      </c>
    </row>
    <row r="2417" spans="1:9" s="26" customFormat="1">
      <c r="A2417" s="947">
        <v>5</v>
      </c>
      <c r="B2417" s="948">
        <v>690</v>
      </c>
      <c r="C2417" s="948" t="s">
        <v>397</v>
      </c>
      <c r="D2417" s="947" t="s">
        <v>4</v>
      </c>
      <c r="E2417" s="949">
        <v>1215</v>
      </c>
      <c r="F2417" s="950">
        <v>2</v>
      </c>
      <c r="G2417" s="951">
        <v>1400</v>
      </c>
      <c r="H2417" s="951">
        <v>1358.13</v>
      </c>
      <c r="I2417" s="18"/>
    </row>
    <row r="2418" spans="1:9">
      <c r="A2418" s="943">
        <v>5</v>
      </c>
      <c r="B2418" s="944">
        <v>691</v>
      </c>
      <c r="C2418" s="944" t="s">
        <v>399</v>
      </c>
      <c r="D2418" s="943" t="s">
        <v>17</v>
      </c>
      <c r="E2418" s="945">
        <v>180</v>
      </c>
      <c r="F2418" s="945">
        <v>1</v>
      </c>
      <c r="G2418" s="946">
        <v>435</v>
      </c>
      <c r="H2418" s="946">
        <v>435</v>
      </c>
    </row>
    <row r="2419" spans="1:9" s="26" customFormat="1">
      <c r="A2419" s="947">
        <v>5</v>
      </c>
      <c r="B2419" s="948">
        <v>697.1</v>
      </c>
      <c r="C2419" s="948" t="s">
        <v>401</v>
      </c>
      <c r="D2419" s="947" t="s">
        <v>2</v>
      </c>
      <c r="E2419" s="949">
        <v>2078</v>
      </c>
      <c r="F2419" s="950">
        <v>14</v>
      </c>
      <c r="G2419" s="951">
        <v>250</v>
      </c>
      <c r="H2419" s="951">
        <v>232.08</v>
      </c>
      <c r="I2419" s="18"/>
    </row>
    <row r="2420" spans="1:9">
      <c r="A2420" s="943">
        <v>5</v>
      </c>
      <c r="B2420" s="944">
        <v>697.2</v>
      </c>
      <c r="C2420" s="944" t="s">
        <v>402</v>
      </c>
      <c r="D2420" s="943" t="s">
        <v>17</v>
      </c>
      <c r="E2420" s="952">
        <v>1000</v>
      </c>
      <c r="F2420" s="945">
        <v>1</v>
      </c>
      <c r="G2420" s="946">
        <v>65</v>
      </c>
      <c r="H2420" s="946">
        <v>65.95</v>
      </c>
    </row>
    <row r="2421" spans="1:9" s="26" customFormat="1">
      <c r="A2421" s="947">
        <v>5</v>
      </c>
      <c r="B2421" s="948">
        <v>698.1</v>
      </c>
      <c r="C2421" s="948" t="s">
        <v>403</v>
      </c>
      <c r="D2421" s="947" t="s">
        <v>1</v>
      </c>
      <c r="E2421" s="950">
        <v>210</v>
      </c>
      <c r="F2421" s="950">
        <v>1</v>
      </c>
      <c r="G2421" s="951">
        <v>20</v>
      </c>
      <c r="H2421" s="951">
        <v>18.71</v>
      </c>
      <c r="I2421" s="18"/>
    </row>
    <row r="2422" spans="1:9">
      <c r="A2422" s="943">
        <v>5</v>
      </c>
      <c r="B2422" s="944">
        <v>698.2</v>
      </c>
      <c r="C2422" s="944" t="s">
        <v>63</v>
      </c>
      <c r="D2422" s="943" t="s">
        <v>1</v>
      </c>
      <c r="E2422" s="945">
        <v>150</v>
      </c>
      <c r="F2422" s="945">
        <v>1</v>
      </c>
      <c r="G2422" s="946">
        <v>3</v>
      </c>
      <c r="H2422" s="946">
        <v>3.33</v>
      </c>
    </row>
    <row r="2423" spans="1:9" s="26" customFormat="1">
      <c r="A2423" s="947">
        <v>5</v>
      </c>
      <c r="B2423" s="948">
        <v>698.3</v>
      </c>
      <c r="C2423" s="948" t="s">
        <v>404</v>
      </c>
      <c r="D2423" s="947" t="s">
        <v>1</v>
      </c>
      <c r="E2423" s="949">
        <v>2138</v>
      </c>
      <c r="F2423" s="950">
        <v>5</v>
      </c>
      <c r="G2423" s="951">
        <v>10</v>
      </c>
      <c r="H2423" s="951">
        <v>13.53</v>
      </c>
      <c r="I2423" s="18"/>
    </row>
    <row r="2424" spans="1:9">
      <c r="A2424" s="943">
        <v>5</v>
      </c>
      <c r="B2424" s="944">
        <v>698.4</v>
      </c>
      <c r="C2424" s="944" t="s">
        <v>405</v>
      </c>
      <c r="D2424" s="943" t="s">
        <v>1</v>
      </c>
      <c r="E2424" s="952">
        <v>4000</v>
      </c>
      <c r="F2424" s="945">
        <v>2</v>
      </c>
      <c r="G2424" s="946">
        <v>10</v>
      </c>
      <c r="H2424" s="946">
        <v>10.72</v>
      </c>
    </row>
    <row r="2425" spans="1:9" s="26" customFormat="1">
      <c r="A2425" s="947">
        <v>5</v>
      </c>
      <c r="B2425" s="948">
        <v>701</v>
      </c>
      <c r="C2425" s="948" t="s">
        <v>406</v>
      </c>
      <c r="D2425" s="947" t="s">
        <v>1</v>
      </c>
      <c r="E2425" s="949">
        <v>38791</v>
      </c>
      <c r="F2425" s="950">
        <v>13</v>
      </c>
      <c r="G2425" s="951">
        <v>136</v>
      </c>
      <c r="H2425" s="951">
        <v>131.22999999999999</v>
      </c>
      <c r="I2425" s="18"/>
    </row>
    <row r="2426" spans="1:9">
      <c r="A2426" s="943">
        <v>5</v>
      </c>
      <c r="B2426" s="944">
        <v>701.1</v>
      </c>
      <c r="C2426" s="944" t="s">
        <v>407</v>
      </c>
      <c r="D2426" s="943" t="s">
        <v>1</v>
      </c>
      <c r="E2426" s="952">
        <v>10950</v>
      </c>
      <c r="F2426" s="945">
        <v>6</v>
      </c>
      <c r="G2426" s="946">
        <v>135</v>
      </c>
      <c r="H2426" s="946">
        <v>133.30000000000001</v>
      </c>
    </row>
    <row r="2427" spans="1:9" s="26" customFormat="1">
      <c r="A2427" s="947">
        <v>5</v>
      </c>
      <c r="B2427" s="948">
        <v>701.2</v>
      </c>
      <c r="C2427" s="948" t="s">
        <v>1422</v>
      </c>
      <c r="D2427" s="947" t="s">
        <v>1</v>
      </c>
      <c r="E2427" s="949">
        <v>14800</v>
      </c>
      <c r="F2427" s="950">
        <v>13</v>
      </c>
      <c r="G2427" s="951">
        <v>170</v>
      </c>
      <c r="H2427" s="951">
        <v>164.34</v>
      </c>
      <c r="I2427" s="18"/>
    </row>
    <row r="2428" spans="1:9">
      <c r="A2428" s="943">
        <v>5</v>
      </c>
      <c r="B2428" s="944">
        <v>702</v>
      </c>
      <c r="C2428" s="944" t="s">
        <v>1423</v>
      </c>
      <c r="D2428" s="943" t="s">
        <v>7</v>
      </c>
      <c r="E2428" s="952">
        <v>20181</v>
      </c>
      <c r="F2428" s="945">
        <v>17</v>
      </c>
      <c r="G2428" s="946">
        <v>327.5</v>
      </c>
      <c r="H2428" s="946">
        <v>311.31</v>
      </c>
    </row>
    <row r="2429" spans="1:9" s="26" customFormat="1">
      <c r="A2429" s="947">
        <v>5</v>
      </c>
      <c r="B2429" s="948">
        <v>703.1</v>
      </c>
      <c r="C2429" s="948" t="s">
        <v>408</v>
      </c>
      <c r="D2429" s="947" t="s">
        <v>2</v>
      </c>
      <c r="E2429" s="950">
        <v>12</v>
      </c>
      <c r="F2429" s="950">
        <v>1</v>
      </c>
      <c r="G2429" s="951">
        <v>500</v>
      </c>
      <c r="H2429" s="951">
        <v>483.33</v>
      </c>
      <c r="I2429" s="18"/>
    </row>
    <row r="2430" spans="1:9">
      <c r="A2430" s="943">
        <v>5</v>
      </c>
      <c r="B2430" s="944">
        <v>705.1</v>
      </c>
      <c r="C2430" s="944" t="s">
        <v>409</v>
      </c>
      <c r="D2430" s="943" t="s">
        <v>1</v>
      </c>
      <c r="E2430" s="945">
        <v>18</v>
      </c>
      <c r="F2430" s="945">
        <v>1</v>
      </c>
      <c r="G2430" s="946">
        <v>500</v>
      </c>
      <c r="H2430" s="946">
        <v>500</v>
      </c>
    </row>
    <row r="2431" spans="1:9" s="26" customFormat="1">
      <c r="A2431" s="947">
        <v>5</v>
      </c>
      <c r="B2431" s="948">
        <v>706.1</v>
      </c>
      <c r="C2431" s="948" t="s">
        <v>411</v>
      </c>
      <c r="D2431" s="947" t="s">
        <v>1</v>
      </c>
      <c r="E2431" s="950">
        <v>63</v>
      </c>
      <c r="F2431" s="950">
        <v>2</v>
      </c>
      <c r="G2431" s="951">
        <v>450</v>
      </c>
      <c r="H2431" s="951">
        <v>425</v>
      </c>
      <c r="I2431" s="18"/>
    </row>
    <row r="2432" spans="1:9">
      <c r="A2432" s="943">
        <v>5</v>
      </c>
      <c r="B2432" s="944">
        <v>707.1</v>
      </c>
      <c r="C2432" s="944" t="s">
        <v>60</v>
      </c>
      <c r="D2432" s="943" t="s">
        <v>2</v>
      </c>
      <c r="E2432" s="945">
        <v>6</v>
      </c>
      <c r="F2432" s="945">
        <v>1</v>
      </c>
      <c r="G2432" s="946">
        <v>4530</v>
      </c>
      <c r="H2432" s="946">
        <v>4098.6499999999996</v>
      </c>
    </row>
    <row r="2433" spans="1:9" s="26" customFormat="1">
      <c r="A2433" s="947">
        <v>5</v>
      </c>
      <c r="B2433" s="948">
        <v>707.15</v>
      </c>
      <c r="C2433" s="948" t="s">
        <v>414</v>
      </c>
      <c r="D2433" s="947" t="s">
        <v>2</v>
      </c>
      <c r="E2433" s="950">
        <v>3</v>
      </c>
      <c r="F2433" s="950">
        <v>1</v>
      </c>
      <c r="G2433" s="951">
        <v>1850</v>
      </c>
      <c r="H2433" s="951">
        <v>1600</v>
      </c>
      <c r="I2433" s="18"/>
    </row>
    <row r="2434" spans="1:9">
      <c r="A2434" s="943">
        <v>5</v>
      </c>
      <c r="B2434" s="944">
        <v>707.8</v>
      </c>
      <c r="C2434" s="944" t="s">
        <v>416</v>
      </c>
      <c r="D2434" s="943" t="s">
        <v>2</v>
      </c>
      <c r="E2434" s="945">
        <v>4</v>
      </c>
      <c r="F2434" s="945">
        <v>1</v>
      </c>
      <c r="G2434" s="946">
        <v>1500</v>
      </c>
      <c r="H2434" s="946">
        <v>1500</v>
      </c>
    </row>
    <row r="2435" spans="1:9" s="26" customFormat="1">
      <c r="A2435" s="947">
        <v>5</v>
      </c>
      <c r="B2435" s="948">
        <v>710.3</v>
      </c>
      <c r="C2435" s="948" t="s">
        <v>48</v>
      </c>
      <c r="D2435" s="947" t="s">
        <v>2</v>
      </c>
      <c r="E2435" s="950">
        <v>304</v>
      </c>
      <c r="F2435" s="950">
        <v>3</v>
      </c>
      <c r="G2435" s="951">
        <v>757.5</v>
      </c>
      <c r="H2435" s="951">
        <v>747.73</v>
      </c>
      <c r="I2435" s="18"/>
    </row>
    <row r="2436" spans="1:9">
      <c r="A2436" s="943">
        <v>5</v>
      </c>
      <c r="B2436" s="944">
        <v>710.4</v>
      </c>
      <c r="C2436" s="944" t="s">
        <v>417</v>
      </c>
      <c r="D2436" s="943" t="s">
        <v>2</v>
      </c>
      <c r="E2436" s="945">
        <v>176</v>
      </c>
      <c r="F2436" s="945">
        <v>5</v>
      </c>
      <c r="G2436" s="946">
        <v>840</v>
      </c>
      <c r="H2436" s="946">
        <v>871.5</v>
      </c>
    </row>
    <row r="2437" spans="1:9" s="26" customFormat="1">
      <c r="A2437" s="947">
        <v>5</v>
      </c>
      <c r="B2437" s="948">
        <v>711</v>
      </c>
      <c r="C2437" s="948" t="s">
        <v>418</v>
      </c>
      <c r="D2437" s="947" t="s">
        <v>2</v>
      </c>
      <c r="E2437" s="950">
        <v>109</v>
      </c>
      <c r="F2437" s="950">
        <v>7</v>
      </c>
      <c r="G2437" s="951">
        <v>689</v>
      </c>
      <c r="H2437" s="951">
        <v>652.83000000000004</v>
      </c>
      <c r="I2437" s="18"/>
    </row>
    <row r="2438" spans="1:9">
      <c r="A2438" s="943">
        <v>5</v>
      </c>
      <c r="B2438" s="944">
        <v>712</v>
      </c>
      <c r="C2438" s="944" t="s">
        <v>44</v>
      </c>
      <c r="D2438" s="943" t="s">
        <v>2</v>
      </c>
      <c r="E2438" s="945">
        <v>12</v>
      </c>
      <c r="F2438" s="945">
        <v>2</v>
      </c>
      <c r="G2438" s="946">
        <v>307.5</v>
      </c>
      <c r="H2438" s="946">
        <v>307.5</v>
      </c>
    </row>
    <row r="2439" spans="1:9" s="26" customFormat="1">
      <c r="A2439" s="947">
        <v>5</v>
      </c>
      <c r="B2439" s="948">
        <v>714</v>
      </c>
      <c r="C2439" s="948" t="s">
        <v>420</v>
      </c>
      <c r="D2439" s="947" t="s">
        <v>2</v>
      </c>
      <c r="E2439" s="950">
        <v>1</v>
      </c>
      <c r="F2439" s="950">
        <v>1</v>
      </c>
      <c r="G2439" s="951">
        <v>2500</v>
      </c>
      <c r="H2439" s="951">
        <v>2500</v>
      </c>
      <c r="I2439" s="18"/>
    </row>
    <row r="2440" spans="1:9">
      <c r="A2440" s="943">
        <v>5</v>
      </c>
      <c r="B2440" s="944">
        <v>715</v>
      </c>
      <c r="C2440" s="944" t="s">
        <v>422</v>
      </c>
      <c r="D2440" s="943" t="s">
        <v>2</v>
      </c>
      <c r="E2440" s="945">
        <v>72</v>
      </c>
      <c r="F2440" s="945">
        <v>4</v>
      </c>
      <c r="G2440" s="946">
        <v>395.5</v>
      </c>
      <c r="H2440" s="946">
        <v>365.23</v>
      </c>
    </row>
    <row r="2441" spans="1:9" s="26" customFormat="1">
      <c r="A2441" s="947">
        <v>5</v>
      </c>
      <c r="B2441" s="948">
        <v>718.1</v>
      </c>
      <c r="C2441" s="948" t="s">
        <v>425</v>
      </c>
      <c r="D2441" s="947" t="s">
        <v>22</v>
      </c>
      <c r="E2441" s="950">
        <v>4</v>
      </c>
      <c r="F2441" s="950">
        <v>1</v>
      </c>
      <c r="G2441" s="951">
        <v>5800</v>
      </c>
      <c r="H2441" s="951">
        <v>4703.75</v>
      </c>
      <c r="I2441" s="18"/>
    </row>
    <row r="2442" spans="1:9">
      <c r="A2442" s="943">
        <v>5</v>
      </c>
      <c r="B2442" s="944">
        <v>734</v>
      </c>
      <c r="C2442" s="944" t="s">
        <v>426</v>
      </c>
      <c r="D2442" s="943" t="s">
        <v>2</v>
      </c>
      <c r="E2442" s="945">
        <v>8</v>
      </c>
      <c r="F2442" s="945">
        <v>2</v>
      </c>
      <c r="G2442" s="946">
        <v>700</v>
      </c>
      <c r="H2442" s="946">
        <v>725</v>
      </c>
    </row>
    <row r="2443" spans="1:9" s="26" customFormat="1">
      <c r="A2443" s="947">
        <v>5</v>
      </c>
      <c r="B2443" s="948">
        <v>740</v>
      </c>
      <c r="C2443" s="948" t="s">
        <v>4023</v>
      </c>
      <c r="D2443" s="947" t="s">
        <v>428</v>
      </c>
      <c r="E2443" s="949">
        <v>2302</v>
      </c>
      <c r="F2443" s="950">
        <v>25</v>
      </c>
      <c r="G2443" s="951">
        <v>3500</v>
      </c>
      <c r="H2443" s="951">
        <v>3435.23</v>
      </c>
      <c r="I2443" s="18"/>
    </row>
    <row r="2444" spans="1:9">
      <c r="A2444" s="943">
        <v>5</v>
      </c>
      <c r="B2444" s="944">
        <v>741</v>
      </c>
      <c r="C2444" s="944" t="s">
        <v>2524</v>
      </c>
      <c r="D2444" s="943" t="s">
        <v>428</v>
      </c>
      <c r="E2444" s="945">
        <v>24</v>
      </c>
      <c r="F2444" s="945">
        <v>1</v>
      </c>
      <c r="G2444" s="946">
        <v>2800</v>
      </c>
      <c r="H2444" s="946">
        <v>2800</v>
      </c>
    </row>
    <row r="2445" spans="1:9" s="26" customFormat="1">
      <c r="A2445" s="947">
        <v>5</v>
      </c>
      <c r="B2445" s="948">
        <v>747</v>
      </c>
      <c r="C2445" s="948" t="s">
        <v>429</v>
      </c>
      <c r="D2445" s="947" t="s">
        <v>22</v>
      </c>
      <c r="E2445" s="950">
        <v>7</v>
      </c>
      <c r="F2445" s="950">
        <v>5</v>
      </c>
      <c r="G2445" s="951">
        <v>20300</v>
      </c>
      <c r="H2445" s="951">
        <v>18814.29</v>
      </c>
      <c r="I2445" s="18"/>
    </row>
    <row r="2446" spans="1:9">
      <c r="A2446" s="943">
        <v>5</v>
      </c>
      <c r="B2446" s="944">
        <v>748</v>
      </c>
      <c r="C2446" s="944" t="s">
        <v>430</v>
      </c>
      <c r="D2446" s="943" t="s">
        <v>22</v>
      </c>
      <c r="E2446" s="945">
        <v>53</v>
      </c>
      <c r="F2446" s="945">
        <v>19</v>
      </c>
      <c r="G2446" s="946">
        <v>138000</v>
      </c>
      <c r="H2446" s="946">
        <v>122113.97</v>
      </c>
    </row>
    <row r="2447" spans="1:9" s="26" customFormat="1">
      <c r="A2447" s="947">
        <v>5</v>
      </c>
      <c r="B2447" s="948">
        <v>748.1</v>
      </c>
      <c r="C2447" s="948" t="s">
        <v>431</v>
      </c>
      <c r="D2447" s="947" t="s">
        <v>2</v>
      </c>
      <c r="E2447" s="950">
        <v>156</v>
      </c>
      <c r="F2447" s="950">
        <v>9</v>
      </c>
      <c r="G2447" s="951">
        <v>500</v>
      </c>
      <c r="H2447" s="951">
        <v>810</v>
      </c>
      <c r="I2447" s="18"/>
    </row>
    <row r="2448" spans="1:9">
      <c r="A2448" s="943">
        <v>5</v>
      </c>
      <c r="B2448" s="944">
        <v>751</v>
      </c>
      <c r="C2448" s="944" t="s">
        <v>3902</v>
      </c>
      <c r="D2448" s="943" t="s">
        <v>4</v>
      </c>
      <c r="E2448" s="952">
        <v>27292</v>
      </c>
      <c r="F2448" s="945">
        <v>21</v>
      </c>
      <c r="G2448" s="946">
        <v>100</v>
      </c>
      <c r="H2448" s="946">
        <v>100.47</v>
      </c>
    </row>
    <row r="2449" spans="1:9" s="26" customFormat="1">
      <c r="A2449" s="947">
        <v>5</v>
      </c>
      <c r="B2449" s="948">
        <v>751.1</v>
      </c>
      <c r="C2449" s="948" t="s">
        <v>4004</v>
      </c>
      <c r="D2449" s="947" t="s">
        <v>4</v>
      </c>
      <c r="E2449" s="949">
        <v>8420</v>
      </c>
      <c r="F2449" s="950">
        <v>7</v>
      </c>
      <c r="G2449" s="951">
        <v>90</v>
      </c>
      <c r="H2449" s="951">
        <v>90.58</v>
      </c>
      <c r="I2449" s="18"/>
    </row>
    <row r="2450" spans="1:9">
      <c r="A2450" s="943">
        <v>5</v>
      </c>
      <c r="B2450" s="944">
        <v>751.7</v>
      </c>
      <c r="C2450" s="944" t="s">
        <v>4005</v>
      </c>
      <c r="D2450" s="943" t="s">
        <v>4</v>
      </c>
      <c r="E2450" s="952">
        <v>2205</v>
      </c>
      <c r="F2450" s="945">
        <v>4</v>
      </c>
      <c r="G2450" s="946">
        <v>95.5</v>
      </c>
      <c r="H2450" s="946">
        <v>97.63</v>
      </c>
    </row>
    <row r="2451" spans="1:9" s="26" customFormat="1">
      <c r="A2451" s="947">
        <v>5</v>
      </c>
      <c r="B2451" s="948">
        <v>755.35</v>
      </c>
      <c r="C2451" s="948" t="s">
        <v>1428</v>
      </c>
      <c r="D2451" s="947" t="s">
        <v>22</v>
      </c>
      <c r="E2451" s="950">
        <v>5</v>
      </c>
      <c r="F2451" s="950">
        <v>1</v>
      </c>
      <c r="G2451" s="951">
        <v>6500</v>
      </c>
      <c r="H2451" s="951">
        <v>5480</v>
      </c>
      <c r="I2451" s="18"/>
    </row>
    <row r="2452" spans="1:9">
      <c r="A2452" s="943">
        <v>5</v>
      </c>
      <c r="B2452" s="944">
        <v>755.45</v>
      </c>
      <c r="C2452" s="944" t="s">
        <v>1429</v>
      </c>
      <c r="D2452" s="943" t="s">
        <v>1</v>
      </c>
      <c r="E2452" s="945">
        <v>120</v>
      </c>
      <c r="F2452" s="945">
        <v>1</v>
      </c>
      <c r="G2452" s="946">
        <v>100</v>
      </c>
      <c r="H2452" s="946">
        <v>118.75</v>
      </c>
    </row>
    <row r="2453" spans="1:9" s="26" customFormat="1">
      <c r="A2453" s="947">
        <v>5</v>
      </c>
      <c r="B2453" s="948">
        <v>755.75</v>
      </c>
      <c r="C2453" s="948" t="s">
        <v>1430</v>
      </c>
      <c r="D2453" s="947" t="s">
        <v>24</v>
      </c>
      <c r="E2453" s="950">
        <v>3</v>
      </c>
      <c r="F2453" s="950">
        <v>1</v>
      </c>
      <c r="G2453" s="951">
        <v>300</v>
      </c>
      <c r="H2453" s="951">
        <v>283.33</v>
      </c>
      <c r="I2453" s="18"/>
    </row>
    <row r="2454" spans="1:9">
      <c r="A2454" s="943">
        <v>5</v>
      </c>
      <c r="B2454" s="944">
        <v>755.76</v>
      </c>
      <c r="C2454" s="944" t="s">
        <v>1431</v>
      </c>
      <c r="D2454" s="943" t="s">
        <v>22</v>
      </c>
      <c r="E2454" s="945">
        <v>6</v>
      </c>
      <c r="F2454" s="945">
        <v>1</v>
      </c>
      <c r="G2454" s="946">
        <v>7500</v>
      </c>
      <c r="H2454" s="946">
        <v>7916.67</v>
      </c>
    </row>
    <row r="2455" spans="1:9" s="26" customFormat="1">
      <c r="A2455" s="947">
        <v>5</v>
      </c>
      <c r="B2455" s="948">
        <v>756</v>
      </c>
      <c r="C2455" s="948" t="s">
        <v>432</v>
      </c>
      <c r="D2455" s="947" t="s">
        <v>22</v>
      </c>
      <c r="E2455" s="950">
        <v>28</v>
      </c>
      <c r="F2455" s="950">
        <v>9</v>
      </c>
      <c r="G2455" s="951">
        <v>10000</v>
      </c>
      <c r="H2455" s="951">
        <v>9335.4599999999991</v>
      </c>
      <c r="I2455" s="18"/>
    </row>
    <row r="2456" spans="1:9">
      <c r="A2456" s="943">
        <v>5</v>
      </c>
      <c r="B2456" s="944">
        <v>760</v>
      </c>
      <c r="C2456" s="944" t="s">
        <v>433</v>
      </c>
      <c r="D2456" s="943" t="s">
        <v>4</v>
      </c>
      <c r="E2456" s="952">
        <v>1440</v>
      </c>
      <c r="F2456" s="945">
        <v>1</v>
      </c>
      <c r="G2456" s="946">
        <v>100</v>
      </c>
      <c r="H2456" s="946">
        <v>105.75</v>
      </c>
    </row>
    <row r="2457" spans="1:9" s="26" customFormat="1">
      <c r="A2457" s="947">
        <v>5</v>
      </c>
      <c r="B2457" s="948">
        <v>765</v>
      </c>
      <c r="C2457" s="948" t="s">
        <v>34</v>
      </c>
      <c r="D2457" s="947" t="s">
        <v>1</v>
      </c>
      <c r="E2457" s="949">
        <v>237089</v>
      </c>
      <c r="F2457" s="950">
        <v>18</v>
      </c>
      <c r="G2457" s="951">
        <v>4</v>
      </c>
      <c r="H2457" s="951">
        <v>3.77</v>
      </c>
      <c r="I2457" s="18"/>
    </row>
    <row r="2458" spans="1:9">
      <c r="A2458" s="943">
        <v>5</v>
      </c>
      <c r="B2458" s="944">
        <v>767.12099999999998</v>
      </c>
      <c r="C2458" s="944" t="s">
        <v>1436</v>
      </c>
      <c r="D2458" s="943" t="s">
        <v>17</v>
      </c>
      <c r="E2458" s="952">
        <v>160135</v>
      </c>
      <c r="F2458" s="945">
        <v>15</v>
      </c>
      <c r="G2458" s="946">
        <v>8.1999999999999993</v>
      </c>
      <c r="H2458" s="946">
        <v>7.91</v>
      </c>
    </row>
    <row r="2459" spans="1:9" s="26" customFormat="1">
      <c r="A2459" s="947">
        <v>5</v>
      </c>
      <c r="B2459" s="948">
        <v>767.6</v>
      </c>
      <c r="C2459" s="948" t="s">
        <v>441</v>
      </c>
      <c r="D2459" s="947" t="s">
        <v>4</v>
      </c>
      <c r="E2459" s="949">
        <v>1117</v>
      </c>
      <c r="F2459" s="950">
        <v>9</v>
      </c>
      <c r="G2459" s="951">
        <v>108</v>
      </c>
      <c r="H2459" s="951">
        <v>108.46</v>
      </c>
      <c r="I2459" s="18"/>
    </row>
    <row r="2460" spans="1:9">
      <c r="A2460" s="943">
        <v>5</v>
      </c>
      <c r="B2460" s="944">
        <v>767.9</v>
      </c>
      <c r="C2460" s="944" t="s">
        <v>1437</v>
      </c>
      <c r="D2460" s="943" t="s">
        <v>1</v>
      </c>
      <c r="E2460" s="952">
        <v>2400</v>
      </c>
      <c r="F2460" s="945">
        <v>1</v>
      </c>
      <c r="G2460" s="946">
        <v>6.5</v>
      </c>
      <c r="H2460" s="946">
        <v>6.2</v>
      </c>
    </row>
    <row r="2461" spans="1:9" s="26" customFormat="1">
      <c r="A2461" s="947">
        <v>5</v>
      </c>
      <c r="B2461" s="948">
        <v>769</v>
      </c>
      <c r="C2461" s="948" t="s">
        <v>443</v>
      </c>
      <c r="D2461" s="947" t="s">
        <v>17</v>
      </c>
      <c r="E2461" s="949">
        <v>179130</v>
      </c>
      <c r="F2461" s="950">
        <v>9</v>
      </c>
      <c r="G2461" s="951">
        <v>10</v>
      </c>
      <c r="H2461" s="951">
        <v>9.7799999999999994</v>
      </c>
      <c r="I2461" s="18"/>
    </row>
    <row r="2462" spans="1:9">
      <c r="A2462" s="943">
        <v>5</v>
      </c>
      <c r="B2462" s="944">
        <v>773.22400000000005</v>
      </c>
      <c r="C2462" s="944" t="s">
        <v>1471</v>
      </c>
      <c r="D2462" s="943" t="s">
        <v>2</v>
      </c>
      <c r="E2462" s="945">
        <v>6</v>
      </c>
      <c r="F2462" s="945">
        <v>1</v>
      </c>
      <c r="G2462" s="946">
        <v>660</v>
      </c>
      <c r="H2462" s="946">
        <v>660</v>
      </c>
    </row>
    <row r="2463" spans="1:9" s="26" customFormat="1">
      <c r="A2463" s="947">
        <v>5</v>
      </c>
      <c r="B2463" s="948">
        <v>775.43700000000001</v>
      </c>
      <c r="C2463" s="948" t="s">
        <v>4070</v>
      </c>
      <c r="D2463" s="947" t="s">
        <v>2</v>
      </c>
      <c r="E2463" s="950">
        <v>18</v>
      </c>
      <c r="F2463" s="950">
        <v>1</v>
      </c>
      <c r="G2463" s="951">
        <v>850</v>
      </c>
      <c r="H2463" s="951">
        <v>862.5</v>
      </c>
      <c r="I2463" s="18"/>
    </row>
    <row r="2464" spans="1:9">
      <c r="A2464" s="943">
        <v>5</v>
      </c>
      <c r="B2464" s="944">
        <v>776.52300000000002</v>
      </c>
      <c r="C2464" s="944" t="s">
        <v>4012</v>
      </c>
      <c r="D2464" s="943" t="s">
        <v>2</v>
      </c>
      <c r="E2464" s="945">
        <v>42</v>
      </c>
      <c r="F2464" s="945">
        <v>1</v>
      </c>
      <c r="G2464" s="946">
        <v>881</v>
      </c>
      <c r="H2464" s="946">
        <v>857.33</v>
      </c>
    </row>
    <row r="2465" spans="1:9" s="26" customFormat="1">
      <c r="A2465" s="947">
        <v>5</v>
      </c>
      <c r="B2465" s="948">
        <v>776.524</v>
      </c>
      <c r="C2465" s="948" t="s">
        <v>4071</v>
      </c>
      <c r="D2465" s="947" t="s">
        <v>2</v>
      </c>
      <c r="E2465" s="950">
        <v>51</v>
      </c>
      <c r="F2465" s="950">
        <v>1</v>
      </c>
      <c r="G2465" s="951">
        <v>825</v>
      </c>
      <c r="H2465" s="951">
        <v>825</v>
      </c>
      <c r="I2465" s="18"/>
    </row>
    <row r="2466" spans="1:9">
      <c r="A2466" s="943">
        <v>5</v>
      </c>
      <c r="B2466" s="944">
        <v>776.54300000000001</v>
      </c>
      <c r="C2466" s="944" t="s">
        <v>4072</v>
      </c>
      <c r="D2466" s="943" t="s">
        <v>2</v>
      </c>
      <c r="E2466" s="945">
        <v>13</v>
      </c>
      <c r="F2466" s="945">
        <v>2</v>
      </c>
      <c r="G2466" s="946">
        <v>900</v>
      </c>
      <c r="H2466" s="946">
        <v>925</v>
      </c>
    </row>
    <row r="2467" spans="1:9" s="26" customFormat="1">
      <c r="A2467" s="947">
        <v>5</v>
      </c>
      <c r="B2467" s="948">
        <v>777.32799999999997</v>
      </c>
      <c r="C2467" s="948" t="s">
        <v>4046</v>
      </c>
      <c r="D2467" s="947" t="s">
        <v>2</v>
      </c>
      <c r="E2467" s="950">
        <v>55</v>
      </c>
      <c r="F2467" s="950">
        <v>3</v>
      </c>
      <c r="G2467" s="951">
        <v>1138</v>
      </c>
      <c r="H2467" s="951">
        <v>1228.46</v>
      </c>
      <c r="I2467" s="18"/>
    </row>
    <row r="2468" spans="1:9">
      <c r="A2468" s="943">
        <v>5</v>
      </c>
      <c r="B2468" s="944">
        <v>777.673</v>
      </c>
      <c r="C2468" s="944" t="s">
        <v>4006</v>
      </c>
      <c r="D2468" s="943" t="s">
        <v>2</v>
      </c>
      <c r="E2468" s="945">
        <v>3</v>
      </c>
      <c r="F2468" s="945">
        <v>1</v>
      </c>
      <c r="G2468" s="946">
        <v>1150</v>
      </c>
      <c r="H2468" s="946">
        <v>1150</v>
      </c>
    </row>
    <row r="2469" spans="1:9" s="26" customFormat="1">
      <c r="A2469" s="947">
        <v>5</v>
      </c>
      <c r="B2469" s="948">
        <v>778.16</v>
      </c>
      <c r="C2469" s="948" t="s">
        <v>4048</v>
      </c>
      <c r="D2469" s="947" t="s">
        <v>2</v>
      </c>
      <c r="E2469" s="950">
        <v>24</v>
      </c>
      <c r="F2469" s="950">
        <v>1</v>
      </c>
      <c r="G2469" s="951">
        <v>200</v>
      </c>
      <c r="H2469" s="951">
        <v>216.67</v>
      </c>
      <c r="I2469" s="18"/>
    </row>
    <row r="2470" spans="1:9">
      <c r="A2470" s="943">
        <v>5</v>
      </c>
      <c r="B2470" s="944">
        <v>783.03599999999994</v>
      </c>
      <c r="C2470" s="944" t="s">
        <v>4054</v>
      </c>
      <c r="D2470" s="943" t="s">
        <v>2</v>
      </c>
      <c r="E2470" s="945">
        <v>9</v>
      </c>
      <c r="F2470" s="945">
        <v>1</v>
      </c>
      <c r="G2470" s="946">
        <v>500</v>
      </c>
      <c r="H2470" s="946">
        <v>536.66999999999996</v>
      </c>
    </row>
    <row r="2471" spans="1:9" s="26" customFormat="1">
      <c r="A2471" s="947">
        <v>5</v>
      </c>
      <c r="B2471" s="948">
        <v>783.03899999999999</v>
      </c>
      <c r="C2471" s="948" t="s">
        <v>4055</v>
      </c>
      <c r="D2471" s="947" t="s">
        <v>2</v>
      </c>
      <c r="E2471" s="950">
        <v>8</v>
      </c>
      <c r="F2471" s="950">
        <v>2</v>
      </c>
      <c r="G2471" s="951">
        <v>1270</v>
      </c>
      <c r="H2471" s="951">
        <v>1270</v>
      </c>
      <c r="I2471" s="18"/>
    </row>
    <row r="2472" spans="1:9">
      <c r="A2472" s="943">
        <v>5</v>
      </c>
      <c r="B2472" s="944">
        <v>783.46699999999998</v>
      </c>
      <c r="C2472" s="944" t="s">
        <v>463</v>
      </c>
      <c r="D2472" s="943" t="s">
        <v>2</v>
      </c>
      <c r="E2472" s="945">
        <v>18</v>
      </c>
      <c r="F2472" s="945">
        <v>2</v>
      </c>
      <c r="G2472" s="946">
        <v>1000</v>
      </c>
      <c r="H2472" s="946">
        <v>1099.17</v>
      </c>
    </row>
    <row r="2473" spans="1:9" s="26" customFormat="1">
      <c r="A2473" s="947">
        <v>5</v>
      </c>
      <c r="B2473" s="948">
        <v>783.64499999999998</v>
      </c>
      <c r="C2473" s="948" t="s">
        <v>4073</v>
      </c>
      <c r="D2473" s="947" t="s">
        <v>2</v>
      </c>
      <c r="E2473" s="950">
        <v>3</v>
      </c>
      <c r="F2473" s="950">
        <v>1</v>
      </c>
      <c r="G2473" s="951">
        <v>850</v>
      </c>
      <c r="H2473" s="951">
        <v>858.33</v>
      </c>
      <c r="I2473" s="18"/>
    </row>
    <row r="2474" spans="1:9">
      <c r="A2474" s="943">
        <v>5</v>
      </c>
      <c r="B2474" s="944">
        <v>789.33299999999997</v>
      </c>
      <c r="C2474" s="944" t="s">
        <v>4015</v>
      </c>
      <c r="D2474" s="943" t="s">
        <v>2</v>
      </c>
      <c r="E2474" s="945">
        <v>56</v>
      </c>
      <c r="F2474" s="945">
        <v>2</v>
      </c>
      <c r="G2474" s="946">
        <v>160</v>
      </c>
      <c r="H2474" s="946">
        <v>159.47999999999999</v>
      </c>
    </row>
    <row r="2475" spans="1:9" s="26" customFormat="1">
      <c r="A2475" s="947">
        <v>5</v>
      </c>
      <c r="B2475" s="948">
        <v>789.43299999999999</v>
      </c>
      <c r="C2475" s="948" t="s">
        <v>4057</v>
      </c>
      <c r="D2475" s="947" t="s">
        <v>2</v>
      </c>
      <c r="E2475" s="950">
        <v>10</v>
      </c>
      <c r="F2475" s="950">
        <v>1</v>
      </c>
      <c r="G2475" s="951">
        <v>135</v>
      </c>
      <c r="H2475" s="951">
        <v>135</v>
      </c>
      <c r="I2475" s="18"/>
    </row>
    <row r="2476" spans="1:9">
      <c r="A2476" s="943">
        <v>5</v>
      </c>
      <c r="B2476" s="944">
        <v>793.44500000000005</v>
      </c>
      <c r="C2476" s="944" t="s">
        <v>4060</v>
      </c>
      <c r="D2476" s="943" t="s">
        <v>2</v>
      </c>
      <c r="E2476" s="945">
        <v>14</v>
      </c>
      <c r="F2476" s="945">
        <v>1</v>
      </c>
      <c r="G2476" s="946">
        <v>110</v>
      </c>
      <c r="H2476" s="946">
        <v>110</v>
      </c>
    </row>
    <row r="2477" spans="1:9" s="26" customFormat="1">
      <c r="A2477" s="947">
        <v>5</v>
      </c>
      <c r="B2477" s="948">
        <v>795.15300000000002</v>
      </c>
      <c r="C2477" s="948" t="s">
        <v>4062</v>
      </c>
      <c r="D2477" s="947" t="s">
        <v>2</v>
      </c>
      <c r="E2477" s="950">
        <v>4</v>
      </c>
      <c r="F2477" s="950">
        <v>1</v>
      </c>
      <c r="G2477" s="951">
        <v>114</v>
      </c>
      <c r="H2477" s="951">
        <v>122.62</v>
      </c>
      <c r="I2477" s="18"/>
    </row>
    <row r="2478" spans="1:9">
      <c r="A2478" s="943">
        <v>5</v>
      </c>
      <c r="B2478" s="944">
        <v>795.15700000000004</v>
      </c>
      <c r="C2478" s="944" t="s">
        <v>4063</v>
      </c>
      <c r="D2478" s="943" t="s">
        <v>2</v>
      </c>
      <c r="E2478" s="945">
        <v>16</v>
      </c>
      <c r="F2478" s="945">
        <v>1</v>
      </c>
      <c r="G2478" s="946">
        <v>114</v>
      </c>
      <c r="H2478" s="946">
        <v>122.62</v>
      </c>
    </row>
    <row r="2479" spans="1:9" s="26" customFormat="1">
      <c r="A2479" s="947">
        <v>5</v>
      </c>
      <c r="B2479" s="948">
        <v>801.22</v>
      </c>
      <c r="C2479" s="948" t="s">
        <v>3054</v>
      </c>
      <c r="D2479" s="947" t="s">
        <v>17</v>
      </c>
      <c r="E2479" s="949">
        <v>16620</v>
      </c>
      <c r="F2479" s="950">
        <v>1</v>
      </c>
      <c r="G2479" s="951">
        <v>60</v>
      </c>
      <c r="H2479" s="951">
        <v>61.67</v>
      </c>
      <c r="I2479" s="18"/>
    </row>
    <row r="2480" spans="1:9">
      <c r="A2480" s="943">
        <v>5</v>
      </c>
      <c r="B2480" s="944">
        <v>801.24</v>
      </c>
      <c r="C2480" s="944" t="s">
        <v>3055</v>
      </c>
      <c r="D2480" s="943" t="s">
        <v>17</v>
      </c>
      <c r="E2480" s="952">
        <v>12400</v>
      </c>
      <c r="F2480" s="945">
        <v>1</v>
      </c>
      <c r="G2480" s="946">
        <v>70</v>
      </c>
      <c r="H2480" s="946">
        <v>62.5</v>
      </c>
    </row>
    <row r="2481" spans="1:9" s="26" customFormat="1">
      <c r="A2481" s="947">
        <v>5</v>
      </c>
      <c r="B2481" s="948">
        <v>801.32</v>
      </c>
      <c r="C2481" s="948" t="s">
        <v>483</v>
      </c>
      <c r="D2481" s="947" t="s">
        <v>17</v>
      </c>
      <c r="E2481" s="949">
        <v>1200</v>
      </c>
      <c r="F2481" s="950">
        <v>1</v>
      </c>
      <c r="G2481" s="951">
        <v>99</v>
      </c>
      <c r="H2481" s="951">
        <v>94.5</v>
      </c>
      <c r="I2481" s="18"/>
    </row>
    <row r="2482" spans="1:9">
      <c r="A2482" s="943">
        <v>5</v>
      </c>
      <c r="B2482" s="944">
        <v>804.2</v>
      </c>
      <c r="C2482" s="944" t="s">
        <v>487</v>
      </c>
      <c r="D2482" s="943" t="s">
        <v>17</v>
      </c>
      <c r="E2482" s="952">
        <v>23485</v>
      </c>
      <c r="F2482" s="945">
        <v>5</v>
      </c>
      <c r="G2482" s="946">
        <v>55</v>
      </c>
      <c r="H2482" s="946">
        <v>50.85</v>
      </c>
    </row>
    <row r="2483" spans="1:9" s="26" customFormat="1">
      <c r="A2483" s="947">
        <v>5</v>
      </c>
      <c r="B2483" s="948">
        <v>804.3</v>
      </c>
      <c r="C2483" s="948" t="s">
        <v>488</v>
      </c>
      <c r="D2483" s="947" t="s">
        <v>17</v>
      </c>
      <c r="E2483" s="949">
        <v>27679</v>
      </c>
      <c r="F2483" s="950">
        <v>12</v>
      </c>
      <c r="G2483" s="951">
        <v>85.5</v>
      </c>
      <c r="H2483" s="951">
        <v>92.12</v>
      </c>
      <c r="I2483" s="18"/>
    </row>
    <row r="2484" spans="1:9">
      <c r="A2484" s="943">
        <v>5</v>
      </c>
      <c r="B2484" s="944">
        <v>806.15</v>
      </c>
      <c r="C2484" s="944" t="s">
        <v>1442</v>
      </c>
      <c r="D2484" s="943" t="s">
        <v>17</v>
      </c>
      <c r="E2484" s="952">
        <v>1570</v>
      </c>
      <c r="F2484" s="945">
        <v>1</v>
      </c>
      <c r="G2484" s="946">
        <v>63</v>
      </c>
      <c r="H2484" s="946">
        <v>54</v>
      </c>
    </row>
    <row r="2485" spans="1:9" s="26" customFormat="1">
      <c r="A2485" s="947">
        <v>5</v>
      </c>
      <c r="B2485" s="948">
        <v>806.2</v>
      </c>
      <c r="C2485" s="948" t="s">
        <v>490</v>
      </c>
      <c r="D2485" s="947" t="s">
        <v>17</v>
      </c>
      <c r="E2485" s="949">
        <v>2600</v>
      </c>
      <c r="F2485" s="950">
        <v>1</v>
      </c>
      <c r="G2485" s="951">
        <v>77</v>
      </c>
      <c r="H2485" s="951">
        <v>66</v>
      </c>
      <c r="I2485" s="18"/>
    </row>
    <row r="2486" spans="1:9">
      <c r="A2486" s="943">
        <v>5</v>
      </c>
      <c r="B2486" s="944">
        <v>806.3</v>
      </c>
      <c r="C2486" s="944" t="s">
        <v>491</v>
      </c>
      <c r="D2486" s="943" t="s">
        <v>17</v>
      </c>
      <c r="E2486" s="945">
        <v>880</v>
      </c>
      <c r="F2486" s="945">
        <v>2</v>
      </c>
      <c r="G2486" s="946">
        <v>125</v>
      </c>
      <c r="H2486" s="946">
        <v>127</v>
      </c>
    </row>
    <row r="2487" spans="1:9" s="26" customFormat="1">
      <c r="A2487" s="947">
        <v>5</v>
      </c>
      <c r="B2487" s="948">
        <v>811.22</v>
      </c>
      <c r="C2487" s="948" t="s">
        <v>496</v>
      </c>
      <c r="D2487" s="947" t="s">
        <v>2</v>
      </c>
      <c r="E2487" s="950">
        <v>153</v>
      </c>
      <c r="F2487" s="950">
        <v>7</v>
      </c>
      <c r="G2487" s="951">
        <v>2500</v>
      </c>
      <c r="H2487" s="951">
        <v>2505.84</v>
      </c>
      <c r="I2487" s="18"/>
    </row>
    <row r="2488" spans="1:9">
      <c r="A2488" s="943">
        <v>5</v>
      </c>
      <c r="B2488" s="944">
        <v>811.23</v>
      </c>
      <c r="C2488" s="944" t="s">
        <v>497</v>
      </c>
      <c r="D2488" s="943" t="s">
        <v>2</v>
      </c>
      <c r="E2488" s="945">
        <v>60</v>
      </c>
      <c r="F2488" s="945">
        <v>1</v>
      </c>
      <c r="G2488" s="946">
        <v>1800</v>
      </c>
      <c r="H2488" s="946">
        <v>1775</v>
      </c>
    </row>
    <row r="2489" spans="1:9" s="26" customFormat="1">
      <c r="A2489" s="947">
        <v>5</v>
      </c>
      <c r="B2489" s="948">
        <v>811.27</v>
      </c>
      <c r="C2489" s="948" t="s">
        <v>499</v>
      </c>
      <c r="D2489" s="947" t="s">
        <v>2</v>
      </c>
      <c r="E2489" s="950">
        <v>259</v>
      </c>
      <c r="F2489" s="950">
        <v>2</v>
      </c>
      <c r="G2489" s="951">
        <v>2500</v>
      </c>
      <c r="H2489" s="951">
        <v>2263.84</v>
      </c>
      <c r="I2489" s="18"/>
    </row>
    <row r="2490" spans="1:9">
      <c r="A2490" s="943">
        <v>5</v>
      </c>
      <c r="B2490" s="944">
        <v>811.31</v>
      </c>
      <c r="C2490" s="944" t="s">
        <v>501</v>
      </c>
      <c r="D2490" s="943" t="s">
        <v>2</v>
      </c>
      <c r="E2490" s="945">
        <v>110</v>
      </c>
      <c r="F2490" s="945">
        <v>6</v>
      </c>
      <c r="G2490" s="946">
        <v>1800</v>
      </c>
      <c r="H2490" s="946">
        <v>1660.82</v>
      </c>
    </row>
    <row r="2491" spans="1:9" s="26" customFormat="1">
      <c r="A2491" s="947">
        <v>5</v>
      </c>
      <c r="B2491" s="948">
        <v>811.35</v>
      </c>
      <c r="C2491" s="948" t="s">
        <v>502</v>
      </c>
      <c r="D2491" s="947" t="s">
        <v>2</v>
      </c>
      <c r="E2491" s="950">
        <v>57</v>
      </c>
      <c r="F2491" s="950">
        <v>1</v>
      </c>
      <c r="G2491" s="951">
        <v>310</v>
      </c>
      <c r="H2491" s="951">
        <v>253.33</v>
      </c>
      <c r="I2491" s="18"/>
    </row>
    <row r="2492" spans="1:9">
      <c r="A2492" s="943">
        <v>5</v>
      </c>
      <c r="B2492" s="944">
        <v>811.36</v>
      </c>
      <c r="C2492" s="944" t="s">
        <v>503</v>
      </c>
      <c r="D2492" s="943" t="s">
        <v>2</v>
      </c>
      <c r="E2492" s="945">
        <v>15</v>
      </c>
      <c r="F2492" s="945">
        <v>2</v>
      </c>
      <c r="G2492" s="946">
        <v>550</v>
      </c>
      <c r="H2492" s="946">
        <v>599.66</v>
      </c>
    </row>
    <row r="2493" spans="1:9" s="26" customFormat="1">
      <c r="A2493" s="947">
        <v>5</v>
      </c>
      <c r="B2493" s="948">
        <v>811.37</v>
      </c>
      <c r="C2493" s="948" t="s">
        <v>504</v>
      </c>
      <c r="D2493" s="947" t="s">
        <v>2</v>
      </c>
      <c r="E2493" s="950">
        <v>69</v>
      </c>
      <c r="F2493" s="950">
        <v>2</v>
      </c>
      <c r="G2493" s="951">
        <v>355</v>
      </c>
      <c r="H2493" s="951">
        <v>343.33</v>
      </c>
      <c r="I2493" s="18"/>
    </row>
    <row r="2494" spans="1:9">
      <c r="A2494" s="943">
        <v>5</v>
      </c>
      <c r="B2494" s="944">
        <v>811.87</v>
      </c>
      <c r="C2494" s="944" t="s">
        <v>4066</v>
      </c>
      <c r="D2494" s="943" t="s">
        <v>2</v>
      </c>
      <c r="E2494" s="945">
        <v>6</v>
      </c>
      <c r="F2494" s="945">
        <v>1</v>
      </c>
      <c r="G2494" s="946">
        <v>2600</v>
      </c>
      <c r="H2494" s="946">
        <v>2458.64</v>
      </c>
    </row>
    <row r="2495" spans="1:9" s="26" customFormat="1">
      <c r="A2495" s="947">
        <v>5</v>
      </c>
      <c r="B2495" s="948">
        <v>812.09</v>
      </c>
      <c r="C2495" s="948" t="s">
        <v>506</v>
      </c>
      <c r="D2495" s="947" t="s">
        <v>2</v>
      </c>
      <c r="E2495" s="950">
        <v>474</v>
      </c>
      <c r="F2495" s="950">
        <v>3</v>
      </c>
      <c r="G2495" s="951">
        <v>3633.73</v>
      </c>
      <c r="H2495" s="951">
        <v>3524.83</v>
      </c>
      <c r="I2495" s="18"/>
    </row>
    <row r="2496" spans="1:9">
      <c r="A2496" s="943">
        <v>5</v>
      </c>
      <c r="B2496" s="944">
        <v>812.11</v>
      </c>
      <c r="C2496" s="944" t="s">
        <v>3110</v>
      </c>
      <c r="D2496" s="943" t="s">
        <v>2</v>
      </c>
      <c r="E2496" s="945">
        <v>7</v>
      </c>
      <c r="F2496" s="945">
        <v>1</v>
      </c>
      <c r="G2496" s="946">
        <v>4450</v>
      </c>
      <c r="H2496" s="946">
        <v>4450</v>
      </c>
    </row>
    <row r="2497" spans="1:9" s="26" customFormat="1">
      <c r="A2497" s="947">
        <v>5</v>
      </c>
      <c r="B2497" s="948">
        <v>812.2</v>
      </c>
      <c r="C2497" s="948" t="s">
        <v>509</v>
      </c>
      <c r="D2497" s="947" t="s">
        <v>2</v>
      </c>
      <c r="E2497" s="950">
        <v>6</v>
      </c>
      <c r="F2497" s="950">
        <v>1</v>
      </c>
      <c r="G2497" s="951">
        <v>8000</v>
      </c>
      <c r="H2497" s="951">
        <v>8500</v>
      </c>
      <c r="I2497" s="18"/>
    </row>
    <row r="2498" spans="1:9">
      <c r="A2498" s="943">
        <v>5</v>
      </c>
      <c r="B2498" s="944">
        <v>812.3</v>
      </c>
      <c r="C2498" s="944" t="s">
        <v>3113</v>
      </c>
      <c r="D2498" s="943" t="s">
        <v>2</v>
      </c>
      <c r="E2498" s="945">
        <v>8</v>
      </c>
      <c r="F2498" s="945">
        <v>1</v>
      </c>
      <c r="G2498" s="946">
        <v>3536</v>
      </c>
      <c r="H2498" s="946">
        <v>3168</v>
      </c>
    </row>
    <row r="2499" spans="1:9" s="26" customFormat="1">
      <c r="A2499" s="947">
        <v>5</v>
      </c>
      <c r="B2499" s="948">
        <v>812.31</v>
      </c>
      <c r="C2499" s="948" t="s">
        <v>3114</v>
      </c>
      <c r="D2499" s="947" t="s">
        <v>2</v>
      </c>
      <c r="E2499" s="950">
        <v>4</v>
      </c>
      <c r="F2499" s="950">
        <v>1</v>
      </c>
      <c r="G2499" s="951">
        <v>2165</v>
      </c>
      <c r="H2499" s="951">
        <v>2165</v>
      </c>
      <c r="I2499" s="18"/>
    </row>
    <row r="2500" spans="1:9">
      <c r="A2500" s="943">
        <v>5</v>
      </c>
      <c r="B2500" s="944">
        <v>813.4</v>
      </c>
      <c r="C2500" s="944" t="s">
        <v>64</v>
      </c>
      <c r="D2500" s="943" t="s">
        <v>17</v>
      </c>
      <c r="E2500" s="952">
        <v>1270</v>
      </c>
      <c r="F2500" s="945">
        <v>1</v>
      </c>
      <c r="G2500" s="946">
        <v>5.5</v>
      </c>
      <c r="H2500" s="946">
        <v>5.5</v>
      </c>
    </row>
    <row r="2501" spans="1:9" s="26" customFormat="1">
      <c r="A2501" s="947">
        <v>5</v>
      </c>
      <c r="B2501" s="948">
        <v>813.41</v>
      </c>
      <c r="C2501" s="948" t="s">
        <v>518</v>
      </c>
      <c r="D2501" s="947" t="s">
        <v>17</v>
      </c>
      <c r="E2501" s="949">
        <v>51900</v>
      </c>
      <c r="F2501" s="950">
        <v>1</v>
      </c>
      <c r="G2501" s="951">
        <v>2.25</v>
      </c>
      <c r="H2501" s="951">
        <v>2.25</v>
      </c>
      <c r="I2501" s="18"/>
    </row>
    <row r="2502" spans="1:9">
      <c r="A2502" s="943">
        <v>5</v>
      </c>
      <c r="B2502" s="944">
        <v>813.42</v>
      </c>
      <c r="C2502" s="944" t="s">
        <v>519</v>
      </c>
      <c r="D2502" s="943" t="s">
        <v>17</v>
      </c>
      <c r="E2502" s="952">
        <v>102300</v>
      </c>
      <c r="F2502" s="945">
        <v>2</v>
      </c>
      <c r="G2502" s="946">
        <v>2.85</v>
      </c>
      <c r="H2502" s="946">
        <v>2.74</v>
      </c>
    </row>
    <row r="2503" spans="1:9" s="26" customFormat="1">
      <c r="A2503" s="947">
        <v>5</v>
      </c>
      <c r="B2503" s="948">
        <v>813.43</v>
      </c>
      <c r="C2503" s="948" t="s">
        <v>65</v>
      </c>
      <c r="D2503" s="947" t="s">
        <v>17</v>
      </c>
      <c r="E2503" s="949">
        <v>83400</v>
      </c>
      <c r="F2503" s="950">
        <v>1</v>
      </c>
      <c r="G2503" s="951">
        <v>3.4</v>
      </c>
      <c r="H2503" s="951">
        <v>3.53</v>
      </c>
      <c r="I2503" s="18"/>
    </row>
    <row r="2504" spans="1:9">
      <c r="A2504" s="943">
        <v>5</v>
      </c>
      <c r="B2504" s="944">
        <v>813.44</v>
      </c>
      <c r="C2504" s="944" t="s">
        <v>520</v>
      </c>
      <c r="D2504" s="943" t="s">
        <v>17</v>
      </c>
      <c r="E2504" s="952">
        <v>101700</v>
      </c>
      <c r="F2504" s="945">
        <v>1</v>
      </c>
      <c r="G2504" s="946">
        <v>4.3</v>
      </c>
      <c r="H2504" s="946">
        <v>4.0999999999999996</v>
      </c>
    </row>
    <row r="2505" spans="1:9" s="26" customFormat="1">
      <c r="A2505" s="947">
        <v>5</v>
      </c>
      <c r="B2505" s="948">
        <v>813.45</v>
      </c>
      <c r="C2505" s="948" t="s">
        <v>3126</v>
      </c>
      <c r="D2505" s="947" t="s">
        <v>17</v>
      </c>
      <c r="E2505" s="949">
        <v>1425</v>
      </c>
      <c r="F2505" s="950">
        <v>1</v>
      </c>
      <c r="G2505" s="951">
        <v>7</v>
      </c>
      <c r="H2505" s="951">
        <v>6.8</v>
      </c>
      <c r="I2505" s="18"/>
    </row>
    <row r="2506" spans="1:9">
      <c r="A2506" s="943">
        <v>5</v>
      </c>
      <c r="B2506" s="944">
        <v>813.52</v>
      </c>
      <c r="C2506" s="944" t="s">
        <v>521</v>
      </c>
      <c r="D2506" s="943" t="s">
        <v>17</v>
      </c>
      <c r="E2506" s="952">
        <v>8000</v>
      </c>
      <c r="F2506" s="945">
        <v>1</v>
      </c>
      <c r="G2506" s="946">
        <v>3.75</v>
      </c>
      <c r="H2506" s="946">
        <v>3.75</v>
      </c>
    </row>
    <row r="2507" spans="1:9" s="26" customFormat="1">
      <c r="A2507" s="947">
        <v>5</v>
      </c>
      <c r="B2507" s="948">
        <v>813.53</v>
      </c>
      <c r="C2507" s="948" t="s">
        <v>3132</v>
      </c>
      <c r="D2507" s="947" t="s">
        <v>17</v>
      </c>
      <c r="E2507" s="949">
        <v>1600</v>
      </c>
      <c r="F2507" s="950">
        <v>1</v>
      </c>
      <c r="G2507" s="951">
        <v>2</v>
      </c>
      <c r="H2507" s="951">
        <v>2</v>
      </c>
      <c r="I2507" s="18"/>
    </row>
    <row r="2508" spans="1:9">
      <c r="A2508" s="943">
        <v>5</v>
      </c>
      <c r="B2508" s="944">
        <v>813.6</v>
      </c>
      <c r="C2508" s="944" t="s">
        <v>522</v>
      </c>
      <c r="D2508" s="943" t="s">
        <v>22</v>
      </c>
      <c r="E2508" s="945">
        <v>7</v>
      </c>
      <c r="F2508" s="945">
        <v>2</v>
      </c>
      <c r="G2508" s="946">
        <v>29000</v>
      </c>
      <c r="H2508" s="946">
        <v>24012.400000000001</v>
      </c>
    </row>
    <row r="2509" spans="1:9" s="26" customFormat="1">
      <c r="A2509" s="947">
        <v>5</v>
      </c>
      <c r="B2509" s="948">
        <v>813.7</v>
      </c>
      <c r="C2509" s="948" t="s">
        <v>3135</v>
      </c>
      <c r="D2509" s="947" t="s">
        <v>17</v>
      </c>
      <c r="E2509" s="950">
        <v>9</v>
      </c>
      <c r="F2509" s="950">
        <v>1</v>
      </c>
      <c r="G2509" s="951">
        <v>200</v>
      </c>
      <c r="H2509" s="951">
        <v>191.67</v>
      </c>
      <c r="I2509" s="18"/>
    </row>
    <row r="2510" spans="1:9">
      <c r="A2510" s="943">
        <v>5</v>
      </c>
      <c r="B2510" s="944">
        <v>813.8</v>
      </c>
      <c r="C2510" s="944" t="s">
        <v>1445</v>
      </c>
      <c r="D2510" s="943" t="s">
        <v>22</v>
      </c>
      <c r="E2510" s="945">
        <v>3</v>
      </c>
      <c r="F2510" s="945">
        <v>1</v>
      </c>
      <c r="G2510" s="946">
        <v>6267.69</v>
      </c>
      <c r="H2510" s="946">
        <v>5825.12</v>
      </c>
    </row>
    <row r="2511" spans="1:9" s="26" customFormat="1">
      <c r="A2511" s="947">
        <v>5</v>
      </c>
      <c r="B2511" s="948">
        <v>815.1</v>
      </c>
      <c r="C2511" s="948" t="s">
        <v>526</v>
      </c>
      <c r="D2511" s="947" t="s">
        <v>22</v>
      </c>
      <c r="E2511" s="950">
        <v>8</v>
      </c>
      <c r="F2511" s="950">
        <v>2</v>
      </c>
      <c r="G2511" s="951">
        <v>489500</v>
      </c>
      <c r="H2511" s="951">
        <v>503000</v>
      </c>
      <c r="I2511" s="18"/>
    </row>
    <row r="2512" spans="1:9">
      <c r="A2512" s="943">
        <v>5</v>
      </c>
      <c r="B2512" s="944">
        <v>816.01</v>
      </c>
      <c r="C2512" s="944" t="s">
        <v>531</v>
      </c>
      <c r="D2512" s="943" t="s">
        <v>22</v>
      </c>
      <c r="E2512" s="945">
        <v>6</v>
      </c>
      <c r="F2512" s="945">
        <v>3</v>
      </c>
      <c r="G2512" s="946">
        <v>237500</v>
      </c>
      <c r="H2512" s="946">
        <v>234694</v>
      </c>
    </row>
    <row r="2513" spans="1:9" s="26" customFormat="1">
      <c r="A2513" s="947">
        <v>5</v>
      </c>
      <c r="B2513" s="948">
        <v>816.02</v>
      </c>
      <c r="C2513" s="948" t="s">
        <v>532</v>
      </c>
      <c r="D2513" s="947" t="s">
        <v>22</v>
      </c>
      <c r="E2513" s="950">
        <v>5</v>
      </c>
      <c r="F2513" s="950">
        <v>3</v>
      </c>
      <c r="G2513" s="951">
        <v>77525</v>
      </c>
      <c r="H2513" s="951">
        <v>82815</v>
      </c>
      <c r="I2513" s="18"/>
    </row>
    <row r="2514" spans="1:9">
      <c r="A2514" s="943">
        <v>5</v>
      </c>
      <c r="B2514" s="944">
        <v>816.03</v>
      </c>
      <c r="C2514" s="944" t="s">
        <v>533</v>
      </c>
      <c r="D2514" s="943" t="s">
        <v>22</v>
      </c>
      <c r="E2514" s="945">
        <v>3</v>
      </c>
      <c r="F2514" s="945">
        <v>1</v>
      </c>
      <c r="G2514" s="946">
        <v>90000</v>
      </c>
      <c r="H2514" s="946">
        <v>98255</v>
      </c>
    </row>
    <row r="2515" spans="1:9" s="26" customFormat="1">
      <c r="A2515" s="947">
        <v>5</v>
      </c>
      <c r="B2515" s="948">
        <v>816.8</v>
      </c>
      <c r="C2515" s="948" t="s">
        <v>534</v>
      </c>
      <c r="D2515" s="947" t="s">
        <v>22</v>
      </c>
      <c r="E2515" s="950">
        <v>2</v>
      </c>
      <c r="F2515" s="950">
        <v>1</v>
      </c>
      <c r="G2515" s="951">
        <v>10000</v>
      </c>
      <c r="H2515" s="951">
        <v>9500</v>
      </c>
      <c r="I2515" s="18"/>
    </row>
    <row r="2516" spans="1:9">
      <c r="A2516" s="943">
        <v>5</v>
      </c>
      <c r="B2516" s="944">
        <v>817.1</v>
      </c>
      <c r="C2516" s="944" t="s">
        <v>537</v>
      </c>
      <c r="D2516" s="943" t="s">
        <v>2</v>
      </c>
      <c r="E2516" s="945">
        <v>25</v>
      </c>
      <c r="F2516" s="945">
        <v>2</v>
      </c>
      <c r="G2516" s="946">
        <v>1500</v>
      </c>
      <c r="H2516" s="946">
        <v>1386.67</v>
      </c>
    </row>
    <row r="2517" spans="1:9" s="26" customFormat="1">
      <c r="A2517" s="947">
        <v>5</v>
      </c>
      <c r="B2517" s="948">
        <v>817.11</v>
      </c>
      <c r="C2517" s="948" t="s">
        <v>538</v>
      </c>
      <c r="D2517" s="947" t="s">
        <v>2</v>
      </c>
      <c r="E2517" s="950">
        <v>35</v>
      </c>
      <c r="F2517" s="950">
        <v>2</v>
      </c>
      <c r="G2517" s="951">
        <v>1500</v>
      </c>
      <c r="H2517" s="951">
        <v>1315</v>
      </c>
      <c r="I2517" s="18"/>
    </row>
    <row r="2518" spans="1:9">
      <c r="A2518" s="943">
        <v>5</v>
      </c>
      <c r="B2518" s="944">
        <v>817.2</v>
      </c>
      <c r="C2518" s="944" t="s">
        <v>3139</v>
      </c>
      <c r="D2518" s="943" t="s">
        <v>2</v>
      </c>
      <c r="E2518" s="945">
        <v>44</v>
      </c>
      <c r="F2518" s="945">
        <v>2</v>
      </c>
      <c r="G2518" s="946">
        <v>800</v>
      </c>
      <c r="H2518" s="946">
        <v>1035</v>
      </c>
    </row>
    <row r="2519" spans="1:9" s="26" customFormat="1">
      <c r="A2519" s="947">
        <v>5</v>
      </c>
      <c r="B2519" s="948">
        <v>817.21</v>
      </c>
      <c r="C2519" s="948" t="s">
        <v>3140</v>
      </c>
      <c r="D2519" s="947" t="s">
        <v>2</v>
      </c>
      <c r="E2519" s="950">
        <v>30</v>
      </c>
      <c r="F2519" s="950">
        <v>1</v>
      </c>
      <c r="G2519" s="951">
        <v>900</v>
      </c>
      <c r="H2519" s="951">
        <v>816.67</v>
      </c>
      <c r="I2519" s="18"/>
    </row>
    <row r="2520" spans="1:9">
      <c r="A2520" s="943">
        <v>5</v>
      </c>
      <c r="B2520" s="944">
        <v>818.11</v>
      </c>
      <c r="C2520" s="944" t="s">
        <v>3160</v>
      </c>
      <c r="D2520" s="943" t="s">
        <v>2</v>
      </c>
      <c r="E2520" s="945">
        <v>2</v>
      </c>
      <c r="F2520" s="945">
        <v>1</v>
      </c>
      <c r="G2520" s="946">
        <v>3720</v>
      </c>
      <c r="H2520" s="946">
        <v>3720</v>
      </c>
    </row>
    <row r="2521" spans="1:9" s="26" customFormat="1">
      <c r="A2521" s="947">
        <v>5</v>
      </c>
      <c r="B2521" s="948">
        <v>818.42</v>
      </c>
      <c r="C2521" s="948" t="s">
        <v>3172</v>
      </c>
      <c r="D2521" s="947" t="s">
        <v>2</v>
      </c>
      <c r="E2521" s="950">
        <v>60</v>
      </c>
      <c r="F2521" s="950">
        <v>1</v>
      </c>
      <c r="G2521" s="951">
        <v>755</v>
      </c>
      <c r="H2521" s="951">
        <v>790</v>
      </c>
      <c r="I2521" s="18"/>
    </row>
    <row r="2522" spans="1:9">
      <c r="A2522" s="943">
        <v>5</v>
      </c>
      <c r="B2522" s="944">
        <v>819.83</v>
      </c>
      <c r="C2522" s="944" t="s">
        <v>3213</v>
      </c>
      <c r="D2522" s="943" t="s">
        <v>2</v>
      </c>
      <c r="E2522" s="945">
        <v>8</v>
      </c>
      <c r="F2522" s="945">
        <v>1</v>
      </c>
      <c r="G2522" s="946">
        <v>250</v>
      </c>
      <c r="H2522" s="946">
        <v>250</v>
      </c>
    </row>
    <row r="2523" spans="1:9" s="26" customFormat="1">
      <c r="A2523" s="947">
        <v>5</v>
      </c>
      <c r="B2523" s="948">
        <v>819.83100000000002</v>
      </c>
      <c r="C2523" s="948" t="s">
        <v>540</v>
      </c>
      <c r="D2523" s="947" t="s">
        <v>17</v>
      </c>
      <c r="E2523" s="949">
        <v>15200</v>
      </c>
      <c r="F2523" s="950">
        <v>4</v>
      </c>
      <c r="G2523" s="951">
        <v>16.78</v>
      </c>
      <c r="H2523" s="951">
        <v>17.73</v>
      </c>
      <c r="I2523" s="18"/>
    </row>
    <row r="2524" spans="1:9">
      <c r="A2524" s="943">
        <v>5</v>
      </c>
      <c r="B2524" s="944">
        <v>819.85</v>
      </c>
      <c r="C2524" s="944" t="s">
        <v>3215</v>
      </c>
      <c r="D2524" s="943" t="s">
        <v>2</v>
      </c>
      <c r="E2524" s="945">
        <v>80</v>
      </c>
      <c r="F2524" s="945">
        <v>1</v>
      </c>
      <c r="G2524" s="946">
        <v>137.5</v>
      </c>
      <c r="H2524" s="946">
        <v>146.25</v>
      </c>
    </row>
    <row r="2525" spans="1:9" s="26" customFormat="1">
      <c r="A2525" s="947">
        <v>5</v>
      </c>
      <c r="B2525" s="948">
        <v>821.12</v>
      </c>
      <c r="C2525" s="948" t="s">
        <v>3222</v>
      </c>
      <c r="D2525" s="947" t="s">
        <v>2</v>
      </c>
      <c r="E2525" s="950">
        <v>7</v>
      </c>
      <c r="F2525" s="950">
        <v>1</v>
      </c>
      <c r="G2525" s="951">
        <v>9150</v>
      </c>
      <c r="H2525" s="951">
        <v>9150</v>
      </c>
      <c r="I2525" s="18"/>
    </row>
    <row r="2526" spans="1:9">
      <c r="A2526" s="943">
        <v>5</v>
      </c>
      <c r="B2526" s="944">
        <v>823.6</v>
      </c>
      <c r="C2526" s="944" t="s">
        <v>544</v>
      </c>
      <c r="D2526" s="943" t="s">
        <v>22</v>
      </c>
      <c r="E2526" s="945">
        <v>3</v>
      </c>
      <c r="F2526" s="945">
        <v>1</v>
      </c>
      <c r="G2526" s="946">
        <v>30351.73</v>
      </c>
      <c r="H2526" s="946">
        <v>29977.15</v>
      </c>
    </row>
    <row r="2527" spans="1:9" s="26" customFormat="1">
      <c r="A2527" s="947">
        <v>5</v>
      </c>
      <c r="B2527" s="948">
        <v>823.61</v>
      </c>
      <c r="C2527" s="948" t="s">
        <v>545</v>
      </c>
      <c r="D2527" s="947" t="s">
        <v>22</v>
      </c>
      <c r="E2527" s="950">
        <v>3</v>
      </c>
      <c r="F2527" s="950">
        <v>1</v>
      </c>
      <c r="G2527" s="951">
        <v>28000</v>
      </c>
      <c r="H2527" s="951">
        <v>25500</v>
      </c>
      <c r="I2527" s="18"/>
    </row>
    <row r="2528" spans="1:9">
      <c r="A2528" s="943">
        <v>5</v>
      </c>
      <c r="B2528" s="944">
        <v>823.62</v>
      </c>
      <c r="C2528" s="944" t="s">
        <v>546</v>
      </c>
      <c r="D2528" s="943" t="s">
        <v>22</v>
      </c>
      <c r="E2528" s="945">
        <v>3</v>
      </c>
      <c r="F2528" s="945">
        <v>1</v>
      </c>
      <c r="G2528" s="946">
        <v>28000</v>
      </c>
      <c r="H2528" s="946">
        <v>25500</v>
      </c>
    </row>
    <row r="2529" spans="1:9" s="26" customFormat="1">
      <c r="A2529" s="947">
        <v>5</v>
      </c>
      <c r="B2529" s="948">
        <v>823.71</v>
      </c>
      <c r="C2529" s="948" t="s">
        <v>548</v>
      </c>
      <c r="D2529" s="947" t="s">
        <v>2</v>
      </c>
      <c r="E2529" s="950">
        <v>276</v>
      </c>
      <c r="F2529" s="950">
        <v>2</v>
      </c>
      <c r="G2529" s="951">
        <v>630</v>
      </c>
      <c r="H2529" s="951">
        <v>762</v>
      </c>
      <c r="I2529" s="18"/>
    </row>
    <row r="2530" spans="1:9">
      <c r="A2530" s="943">
        <v>5</v>
      </c>
      <c r="B2530" s="944">
        <v>824.5</v>
      </c>
      <c r="C2530" s="944" t="s">
        <v>3291</v>
      </c>
      <c r="D2530" s="943" t="s">
        <v>22</v>
      </c>
      <c r="E2530" s="945">
        <v>2</v>
      </c>
      <c r="F2530" s="945">
        <v>1</v>
      </c>
      <c r="G2530" s="946">
        <v>11000</v>
      </c>
      <c r="H2530" s="946">
        <v>8344</v>
      </c>
    </row>
    <row r="2531" spans="1:9" s="26" customFormat="1">
      <c r="A2531" s="947">
        <v>5</v>
      </c>
      <c r="B2531" s="948">
        <v>824.51</v>
      </c>
      <c r="C2531" s="948" t="s">
        <v>550</v>
      </c>
      <c r="D2531" s="947" t="s">
        <v>22</v>
      </c>
      <c r="E2531" s="950">
        <v>2</v>
      </c>
      <c r="F2531" s="950">
        <v>1</v>
      </c>
      <c r="G2531" s="951">
        <v>6000</v>
      </c>
      <c r="H2531" s="951">
        <v>5164</v>
      </c>
      <c r="I2531" s="18"/>
    </row>
    <row r="2532" spans="1:9">
      <c r="A2532" s="943">
        <v>5</v>
      </c>
      <c r="B2532" s="944">
        <v>826.52</v>
      </c>
      <c r="C2532" s="944" t="s">
        <v>3302</v>
      </c>
      <c r="D2532" s="943" t="s">
        <v>2</v>
      </c>
      <c r="E2532" s="945">
        <v>6</v>
      </c>
      <c r="F2532" s="945">
        <v>1</v>
      </c>
      <c r="G2532" s="946">
        <v>1500</v>
      </c>
      <c r="H2532" s="946">
        <v>1566.67</v>
      </c>
    </row>
    <row r="2533" spans="1:9" s="26" customFormat="1">
      <c r="A2533" s="947">
        <v>5</v>
      </c>
      <c r="B2533" s="948">
        <v>828.1</v>
      </c>
      <c r="C2533" s="948" t="s">
        <v>553</v>
      </c>
      <c r="D2533" s="947" t="s">
        <v>3</v>
      </c>
      <c r="E2533" s="954">
        <v>44315.5</v>
      </c>
      <c r="F2533" s="950">
        <v>3</v>
      </c>
      <c r="G2533" s="951">
        <v>28</v>
      </c>
      <c r="H2533" s="951">
        <v>31.46</v>
      </c>
      <c r="I2533" s="18"/>
    </row>
    <row r="2534" spans="1:9">
      <c r="A2534" s="943">
        <v>5</v>
      </c>
      <c r="B2534" s="944">
        <v>829</v>
      </c>
      <c r="C2534" s="944" t="s">
        <v>554</v>
      </c>
      <c r="D2534" s="943" t="s">
        <v>3</v>
      </c>
      <c r="E2534" s="952">
        <v>14960</v>
      </c>
      <c r="F2534" s="945">
        <v>3</v>
      </c>
      <c r="G2534" s="946">
        <v>28</v>
      </c>
      <c r="H2534" s="946">
        <v>30.64</v>
      </c>
    </row>
    <row r="2535" spans="1:9" s="26" customFormat="1">
      <c r="A2535" s="947">
        <v>5</v>
      </c>
      <c r="B2535" s="948">
        <v>831</v>
      </c>
      <c r="C2535" s="948" t="s">
        <v>555</v>
      </c>
      <c r="D2535" s="947" t="s">
        <v>3</v>
      </c>
      <c r="E2535" s="949">
        <v>2820</v>
      </c>
      <c r="F2535" s="950">
        <v>4</v>
      </c>
      <c r="G2535" s="951">
        <v>40</v>
      </c>
      <c r="H2535" s="951">
        <v>40.450000000000003</v>
      </c>
      <c r="I2535" s="18"/>
    </row>
    <row r="2536" spans="1:9">
      <c r="A2536" s="943">
        <v>5</v>
      </c>
      <c r="B2536" s="944">
        <v>832</v>
      </c>
      <c r="C2536" s="944" t="s">
        <v>556</v>
      </c>
      <c r="D2536" s="943" t="s">
        <v>3</v>
      </c>
      <c r="E2536" s="952">
        <v>31314</v>
      </c>
      <c r="F2536" s="945">
        <v>16</v>
      </c>
      <c r="G2536" s="946">
        <v>15.5</v>
      </c>
      <c r="H2536" s="946">
        <v>15.94</v>
      </c>
    </row>
    <row r="2537" spans="1:9" s="26" customFormat="1">
      <c r="A2537" s="947">
        <v>5</v>
      </c>
      <c r="B2537" s="948">
        <v>833.5</v>
      </c>
      <c r="C2537" s="948" t="s">
        <v>557</v>
      </c>
      <c r="D2537" s="947" t="s">
        <v>2</v>
      </c>
      <c r="E2537" s="949">
        <v>1100</v>
      </c>
      <c r="F2537" s="950">
        <v>2</v>
      </c>
      <c r="G2537" s="951">
        <v>9</v>
      </c>
      <c r="H2537" s="951">
        <v>10</v>
      </c>
      <c r="I2537" s="18"/>
    </row>
    <row r="2538" spans="1:9">
      <c r="A2538" s="943">
        <v>5</v>
      </c>
      <c r="B2538" s="944">
        <v>833.7</v>
      </c>
      <c r="C2538" s="944" t="s">
        <v>558</v>
      </c>
      <c r="D2538" s="943" t="s">
        <v>2</v>
      </c>
      <c r="E2538" s="945">
        <v>541</v>
      </c>
      <c r="F2538" s="945">
        <v>3</v>
      </c>
      <c r="G2538" s="946">
        <v>69.25</v>
      </c>
      <c r="H2538" s="946">
        <v>73.58</v>
      </c>
    </row>
    <row r="2539" spans="1:9" s="26" customFormat="1">
      <c r="A2539" s="947">
        <v>5</v>
      </c>
      <c r="B2539" s="948">
        <v>834.17</v>
      </c>
      <c r="C2539" s="948" t="s">
        <v>560</v>
      </c>
      <c r="D2539" s="947" t="s">
        <v>2</v>
      </c>
      <c r="E2539" s="949">
        <v>2962</v>
      </c>
      <c r="F2539" s="950">
        <v>3</v>
      </c>
      <c r="G2539" s="951">
        <v>65</v>
      </c>
      <c r="H2539" s="951">
        <v>66.56</v>
      </c>
      <c r="I2539" s="18"/>
    </row>
    <row r="2540" spans="1:9">
      <c r="A2540" s="943">
        <v>5</v>
      </c>
      <c r="B2540" s="944">
        <v>834.18</v>
      </c>
      <c r="C2540" s="944" t="s">
        <v>561</v>
      </c>
      <c r="D2540" s="943" t="s">
        <v>2</v>
      </c>
      <c r="E2540" s="952">
        <v>2875</v>
      </c>
      <c r="F2540" s="945">
        <v>2</v>
      </c>
      <c r="G2540" s="946">
        <v>67</v>
      </c>
      <c r="H2540" s="946">
        <v>67.05</v>
      </c>
    </row>
    <row r="2541" spans="1:9" s="26" customFormat="1">
      <c r="A2541" s="947">
        <v>5</v>
      </c>
      <c r="B2541" s="948">
        <v>840.101</v>
      </c>
      <c r="C2541" s="948" t="s">
        <v>1446</v>
      </c>
      <c r="D2541" s="947" t="s">
        <v>22</v>
      </c>
      <c r="E2541" s="950">
        <v>4</v>
      </c>
      <c r="F2541" s="950">
        <v>2</v>
      </c>
      <c r="G2541" s="951">
        <v>94000</v>
      </c>
      <c r="H2541" s="951">
        <v>91512.5</v>
      </c>
      <c r="I2541" s="18"/>
    </row>
    <row r="2542" spans="1:9">
      <c r="A2542" s="943">
        <v>5</v>
      </c>
      <c r="B2542" s="944">
        <v>840.10199999999998</v>
      </c>
      <c r="C2542" s="944" t="s">
        <v>563</v>
      </c>
      <c r="D2542" s="943" t="s">
        <v>22</v>
      </c>
      <c r="E2542" s="945">
        <v>4</v>
      </c>
      <c r="F2542" s="945">
        <v>2</v>
      </c>
      <c r="G2542" s="946">
        <v>92500</v>
      </c>
      <c r="H2542" s="946">
        <v>91175</v>
      </c>
    </row>
    <row r="2543" spans="1:9" s="26" customFormat="1">
      <c r="A2543" s="947">
        <v>5</v>
      </c>
      <c r="B2543" s="948">
        <v>840.10299999999995</v>
      </c>
      <c r="C2543" s="948" t="s">
        <v>564</v>
      </c>
      <c r="D2543" s="947" t="s">
        <v>22</v>
      </c>
      <c r="E2543" s="950">
        <v>4</v>
      </c>
      <c r="F2543" s="950">
        <v>2</v>
      </c>
      <c r="G2543" s="951">
        <v>70100</v>
      </c>
      <c r="H2543" s="951">
        <v>69900</v>
      </c>
      <c r="I2543" s="18"/>
    </row>
    <row r="2544" spans="1:9">
      <c r="A2544" s="943">
        <v>5</v>
      </c>
      <c r="B2544" s="944">
        <v>840.10400000000004</v>
      </c>
      <c r="C2544" s="944" t="s">
        <v>565</v>
      </c>
      <c r="D2544" s="943" t="s">
        <v>22</v>
      </c>
      <c r="E2544" s="945">
        <v>4</v>
      </c>
      <c r="F2544" s="945">
        <v>2</v>
      </c>
      <c r="G2544" s="946">
        <v>74000</v>
      </c>
      <c r="H2544" s="946">
        <v>71950</v>
      </c>
    </row>
    <row r="2545" spans="1:9" s="26" customFormat="1">
      <c r="A2545" s="947">
        <v>5</v>
      </c>
      <c r="B2545" s="948">
        <v>840.10500000000002</v>
      </c>
      <c r="C2545" s="948" t="s">
        <v>1447</v>
      </c>
      <c r="D2545" s="947" t="s">
        <v>22</v>
      </c>
      <c r="E2545" s="950">
        <v>2</v>
      </c>
      <c r="F2545" s="950">
        <v>1</v>
      </c>
      <c r="G2545" s="951">
        <v>68450</v>
      </c>
      <c r="H2545" s="951">
        <v>68450</v>
      </c>
      <c r="I2545" s="18"/>
    </row>
    <row r="2546" spans="1:9">
      <c r="A2546" s="943">
        <v>5</v>
      </c>
      <c r="B2546" s="944">
        <v>840.10599999999999</v>
      </c>
      <c r="C2546" s="944" t="s">
        <v>1448</v>
      </c>
      <c r="D2546" s="943" t="s">
        <v>22</v>
      </c>
      <c r="E2546" s="945">
        <v>2</v>
      </c>
      <c r="F2546" s="945">
        <v>1</v>
      </c>
      <c r="G2546" s="946">
        <v>68450</v>
      </c>
      <c r="H2546" s="946">
        <v>68450</v>
      </c>
    </row>
    <row r="2547" spans="1:9" s="26" customFormat="1">
      <c r="A2547" s="947">
        <v>5</v>
      </c>
      <c r="B2547" s="948">
        <v>840.10699999999997</v>
      </c>
      <c r="C2547" s="948" t="s">
        <v>1449</v>
      </c>
      <c r="D2547" s="947" t="s">
        <v>22</v>
      </c>
      <c r="E2547" s="950">
        <v>2</v>
      </c>
      <c r="F2547" s="950">
        <v>1</v>
      </c>
      <c r="G2547" s="951">
        <v>63450</v>
      </c>
      <c r="H2547" s="951">
        <v>63450</v>
      </c>
      <c r="I2547" s="18"/>
    </row>
    <row r="2548" spans="1:9">
      <c r="A2548" s="943">
        <v>5</v>
      </c>
      <c r="B2548" s="944">
        <v>840.10799999999995</v>
      </c>
      <c r="C2548" s="944" t="s">
        <v>1450</v>
      </c>
      <c r="D2548" s="943" t="s">
        <v>22</v>
      </c>
      <c r="E2548" s="945">
        <v>4</v>
      </c>
      <c r="F2548" s="945">
        <v>2</v>
      </c>
      <c r="G2548" s="946">
        <v>68450</v>
      </c>
      <c r="H2548" s="946">
        <v>71675</v>
      </c>
    </row>
    <row r="2549" spans="1:9" s="26" customFormat="1">
      <c r="A2549" s="947">
        <v>5</v>
      </c>
      <c r="B2549" s="948">
        <v>840.10900000000004</v>
      </c>
      <c r="C2549" s="948" t="s">
        <v>1451</v>
      </c>
      <c r="D2549" s="947" t="s">
        <v>22</v>
      </c>
      <c r="E2549" s="950">
        <v>4</v>
      </c>
      <c r="F2549" s="950">
        <v>2</v>
      </c>
      <c r="G2549" s="951">
        <v>68450</v>
      </c>
      <c r="H2549" s="951">
        <v>71675</v>
      </c>
      <c r="I2549" s="18"/>
    </row>
    <row r="2550" spans="1:9">
      <c r="A2550" s="943">
        <v>5</v>
      </c>
      <c r="B2550" s="944">
        <v>840.11</v>
      </c>
      <c r="C2550" s="944" t="s">
        <v>1452</v>
      </c>
      <c r="D2550" s="943" t="s">
        <v>22</v>
      </c>
      <c r="E2550" s="945">
        <v>4</v>
      </c>
      <c r="F2550" s="945">
        <v>2</v>
      </c>
      <c r="G2550" s="946">
        <v>76000</v>
      </c>
      <c r="H2550" s="946">
        <v>73175</v>
      </c>
    </row>
    <row r="2551" spans="1:9" s="26" customFormat="1">
      <c r="A2551" s="947">
        <v>5</v>
      </c>
      <c r="B2551" s="948">
        <v>841.1</v>
      </c>
      <c r="C2551" s="948" t="s">
        <v>566</v>
      </c>
      <c r="D2551" s="947" t="s">
        <v>2</v>
      </c>
      <c r="E2551" s="950">
        <v>50</v>
      </c>
      <c r="F2551" s="950">
        <v>3</v>
      </c>
      <c r="G2551" s="951">
        <v>2580</v>
      </c>
      <c r="H2551" s="951">
        <v>2608.33</v>
      </c>
      <c r="I2551" s="18"/>
    </row>
    <row r="2552" spans="1:9">
      <c r="A2552" s="943">
        <v>5</v>
      </c>
      <c r="B2552" s="944">
        <v>841.2</v>
      </c>
      <c r="C2552" s="944" t="s">
        <v>567</v>
      </c>
      <c r="D2552" s="943" t="s">
        <v>2</v>
      </c>
      <c r="E2552" s="945">
        <v>13</v>
      </c>
      <c r="F2552" s="945">
        <v>2</v>
      </c>
      <c r="G2552" s="946">
        <v>2600</v>
      </c>
      <c r="H2552" s="946">
        <v>2600</v>
      </c>
    </row>
    <row r="2553" spans="1:9" s="26" customFormat="1">
      <c r="A2553" s="947">
        <v>5</v>
      </c>
      <c r="B2553" s="948">
        <v>841.4</v>
      </c>
      <c r="C2553" s="948" t="s">
        <v>568</v>
      </c>
      <c r="D2553" s="947" t="s">
        <v>2</v>
      </c>
      <c r="E2553" s="950">
        <v>6</v>
      </c>
      <c r="F2553" s="950">
        <v>1</v>
      </c>
      <c r="G2553" s="951">
        <v>2400</v>
      </c>
      <c r="H2553" s="951">
        <v>2515.83</v>
      </c>
      <c r="I2553" s="18"/>
    </row>
    <row r="2554" spans="1:9">
      <c r="A2554" s="943">
        <v>5</v>
      </c>
      <c r="B2554" s="944">
        <v>844.101</v>
      </c>
      <c r="C2554" s="944" t="s">
        <v>572</v>
      </c>
      <c r="D2554" s="943" t="s">
        <v>22</v>
      </c>
      <c r="E2554" s="945">
        <v>7</v>
      </c>
      <c r="F2554" s="945">
        <v>3</v>
      </c>
      <c r="G2554" s="946">
        <v>7225</v>
      </c>
      <c r="H2554" s="946">
        <v>7165</v>
      </c>
    </row>
    <row r="2555" spans="1:9" s="26" customFormat="1">
      <c r="A2555" s="947">
        <v>5</v>
      </c>
      <c r="B2555" s="948">
        <v>844.10199999999998</v>
      </c>
      <c r="C2555" s="948" t="s">
        <v>573</v>
      </c>
      <c r="D2555" s="947" t="s">
        <v>22</v>
      </c>
      <c r="E2555" s="950">
        <v>4</v>
      </c>
      <c r="F2555" s="950">
        <v>2</v>
      </c>
      <c r="G2555" s="951">
        <v>9600</v>
      </c>
      <c r="H2555" s="951">
        <v>9631.25</v>
      </c>
      <c r="I2555" s="18"/>
    </row>
    <row r="2556" spans="1:9">
      <c r="A2556" s="943">
        <v>5</v>
      </c>
      <c r="B2556" s="944">
        <v>844.10400000000004</v>
      </c>
      <c r="C2556" s="944" t="s">
        <v>575</v>
      </c>
      <c r="D2556" s="943" t="s">
        <v>22</v>
      </c>
      <c r="E2556" s="945">
        <v>2</v>
      </c>
      <c r="F2556" s="945">
        <v>1</v>
      </c>
      <c r="G2556" s="946">
        <v>2725</v>
      </c>
      <c r="H2556" s="946">
        <v>2725</v>
      </c>
    </row>
    <row r="2557" spans="1:9" s="26" customFormat="1">
      <c r="A2557" s="947">
        <v>5</v>
      </c>
      <c r="B2557" s="948">
        <v>844.10500000000002</v>
      </c>
      <c r="C2557" s="948" t="s">
        <v>1522</v>
      </c>
      <c r="D2557" s="947" t="s">
        <v>22</v>
      </c>
      <c r="E2557" s="950">
        <v>2</v>
      </c>
      <c r="F2557" s="950">
        <v>1</v>
      </c>
      <c r="G2557" s="951">
        <v>2725</v>
      </c>
      <c r="H2557" s="951">
        <v>2725</v>
      </c>
      <c r="I2557" s="18"/>
    </row>
    <row r="2558" spans="1:9">
      <c r="A2558" s="943">
        <v>5</v>
      </c>
      <c r="B2558" s="944">
        <v>846.1</v>
      </c>
      <c r="C2558" s="944" t="s">
        <v>577</v>
      </c>
      <c r="D2558" s="943" t="s">
        <v>2</v>
      </c>
      <c r="E2558" s="945">
        <v>80</v>
      </c>
      <c r="F2558" s="945">
        <v>2</v>
      </c>
      <c r="G2558" s="946">
        <v>3300</v>
      </c>
      <c r="H2558" s="946">
        <v>3268.75</v>
      </c>
    </row>
    <row r="2559" spans="1:9" s="26" customFormat="1">
      <c r="A2559" s="947">
        <v>5</v>
      </c>
      <c r="B2559" s="948">
        <v>847.1</v>
      </c>
      <c r="C2559" s="948" t="s">
        <v>578</v>
      </c>
      <c r="D2559" s="947" t="s">
        <v>2</v>
      </c>
      <c r="E2559" s="949">
        <v>2749</v>
      </c>
      <c r="F2559" s="950">
        <v>17</v>
      </c>
      <c r="G2559" s="951">
        <v>270</v>
      </c>
      <c r="H2559" s="951">
        <v>271.95</v>
      </c>
      <c r="I2559" s="18"/>
    </row>
    <row r="2560" spans="1:9">
      <c r="A2560" s="943">
        <v>5</v>
      </c>
      <c r="B2560" s="944">
        <v>848.1</v>
      </c>
      <c r="C2560" s="944" t="s">
        <v>579</v>
      </c>
      <c r="D2560" s="943" t="s">
        <v>2</v>
      </c>
      <c r="E2560" s="945">
        <v>949</v>
      </c>
      <c r="F2560" s="945">
        <v>6</v>
      </c>
      <c r="G2560" s="946">
        <v>427.5</v>
      </c>
      <c r="H2560" s="946">
        <v>447.54</v>
      </c>
    </row>
    <row r="2561" spans="1:9" s="26" customFormat="1">
      <c r="A2561" s="947">
        <v>5</v>
      </c>
      <c r="B2561" s="948">
        <v>850.41</v>
      </c>
      <c r="C2561" s="948" t="s">
        <v>580</v>
      </c>
      <c r="D2561" s="947" t="s">
        <v>24</v>
      </c>
      <c r="E2561" s="949">
        <v>13045</v>
      </c>
      <c r="F2561" s="950">
        <v>19</v>
      </c>
      <c r="G2561" s="951">
        <v>75</v>
      </c>
      <c r="H2561" s="951">
        <v>78.34</v>
      </c>
      <c r="I2561" s="18"/>
    </row>
    <row r="2562" spans="1:9">
      <c r="A2562" s="943">
        <v>5</v>
      </c>
      <c r="B2562" s="944">
        <v>851.1</v>
      </c>
      <c r="C2562" s="944" t="s">
        <v>581</v>
      </c>
      <c r="D2562" s="943" t="s">
        <v>42</v>
      </c>
      <c r="E2562" s="952">
        <v>3906</v>
      </c>
      <c r="F2562" s="945">
        <v>12</v>
      </c>
      <c r="G2562" s="946">
        <v>80.5</v>
      </c>
      <c r="H2562" s="946">
        <v>123.19</v>
      </c>
    </row>
    <row r="2563" spans="1:9" s="26" customFormat="1">
      <c r="A2563" s="947">
        <v>5</v>
      </c>
      <c r="B2563" s="948">
        <v>852</v>
      </c>
      <c r="C2563" s="948" t="s">
        <v>49</v>
      </c>
      <c r="D2563" s="947" t="s">
        <v>3</v>
      </c>
      <c r="E2563" s="949">
        <v>74630</v>
      </c>
      <c r="F2563" s="950">
        <v>34</v>
      </c>
      <c r="G2563" s="951">
        <v>16.63</v>
      </c>
      <c r="H2563" s="951">
        <v>19.489999999999998</v>
      </c>
      <c r="I2563" s="18"/>
    </row>
    <row r="2564" spans="1:9">
      <c r="A2564" s="943">
        <v>5</v>
      </c>
      <c r="B2564" s="944">
        <v>853.1</v>
      </c>
      <c r="C2564" s="944" t="s">
        <v>582</v>
      </c>
      <c r="D2564" s="943" t="s">
        <v>2</v>
      </c>
      <c r="E2564" s="945">
        <v>445</v>
      </c>
      <c r="F2564" s="945">
        <v>17</v>
      </c>
      <c r="G2564" s="946">
        <v>150</v>
      </c>
      <c r="H2564" s="946">
        <v>161.41</v>
      </c>
    </row>
    <row r="2565" spans="1:9" s="26" customFormat="1">
      <c r="A2565" s="947">
        <v>5</v>
      </c>
      <c r="B2565" s="948">
        <v>853.2</v>
      </c>
      <c r="C2565" s="948" t="s">
        <v>1453</v>
      </c>
      <c r="D2565" s="947" t="s">
        <v>17</v>
      </c>
      <c r="E2565" s="949">
        <v>6820</v>
      </c>
      <c r="F2565" s="950">
        <v>4</v>
      </c>
      <c r="G2565" s="951">
        <v>77.5</v>
      </c>
      <c r="H2565" s="951">
        <v>76.53</v>
      </c>
      <c r="I2565" s="18"/>
    </row>
    <row r="2566" spans="1:9">
      <c r="A2566" s="943">
        <v>5</v>
      </c>
      <c r="B2566" s="944">
        <v>853.21</v>
      </c>
      <c r="C2566" s="944" t="s">
        <v>583</v>
      </c>
      <c r="D2566" s="943" t="s">
        <v>17</v>
      </c>
      <c r="E2566" s="952">
        <v>14915</v>
      </c>
      <c r="F2566" s="945">
        <v>7</v>
      </c>
      <c r="G2566" s="946">
        <v>20</v>
      </c>
      <c r="H2566" s="946">
        <v>19.489999999999998</v>
      </c>
    </row>
    <row r="2567" spans="1:9" s="26" customFormat="1">
      <c r="A2567" s="947">
        <v>5</v>
      </c>
      <c r="B2567" s="948">
        <v>853.23</v>
      </c>
      <c r="C2567" s="948" t="s">
        <v>584</v>
      </c>
      <c r="D2567" s="947" t="s">
        <v>17</v>
      </c>
      <c r="E2567" s="949">
        <v>3450</v>
      </c>
      <c r="F2567" s="950">
        <v>3</v>
      </c>
      <c r="G2567" s="951">
        <v>66</v>
      </c>
      <c r="H2567" s="951">
        <v>63.57</v>
      </c>
      <c r="I2567" s="18"/>
    </row>
    <row r="2568" spans="1:9">
      <c r="A2568" s="943">
        <v>5</v>
      </c>
      <c r="B2568" s="944">
        <v>853.33</v>
      </c>
      <c r="C2568" s="944" t="s">
        <v>587</v>
      </c>
      <c r="D2568" s="943" t="s">
        <v>17</v>
      </c>
      <c r="E2568" s="952">
        <v>15790</v>
      </c>
      <c r="F2568" s="945">
        <v>6</v>
      </c>
      <c r="G2568" s="946">
        <v>85</v>
      </c>
      <c r="H2568" s="946">
        <v>88.26</v>
      </c>
    </row>
    <row r="2569" spans="1:9" s="26" customFormat="1">
      <c r="A2569" s="947">
        <v>5</v>
      </c>
      <c r="B2569" s="948">
        <v>853.40300000000002</v>
      </c>
      <c r="C2569" s="948" t="s">
        <v>588</v>
      </c>
      <c r="D2569" s="947" t="s">
        <v>42</v>
      </c>
      <c r="E2569" s="949">
        <v>11433</v>
      </c>
      <c r="F2569" s="950">
        <v>20</v>
      </c>
      <c r="G2569" s="951">
        <v>222.5</v>
      </c>
      <c r="H2569" s="951">
        <v>191.64</v>
      </c>
      <c r="I2569" s="18"/>
    </row>
    <row r="2570" spans="1:9">
      <c r="A2570" s="943">
        <v>5</v>
      </c>
      <c r="B2570" s="944">
        <v>853.8</v>
      </c>
      <c r="C2570" s="944" t="s">
        <v>589</v>
      </c>
      <c r="D2570" s="943" t="s">
        <v>42</v>
      </c>
      <c r="E2570" s="952">
        <v>4927</v>
      </c>
      <c r="F2570" s="945">
        <v>13</v>
      </c>
      <c r="G2570" s="946">
        <v>105</v>
      </c>
      <c r="H2570" s="946">
        <v>230.13</v>
      </c>
    </row>
    <row r="2571" spans="1:9" s="26" customFormat="1">
      <c r="A2571" s="947">
        <v>5</v>
      </c>
      <c r="B2571" s="948">
        <v>854.01599999999996</v>
      </c>
      <c r="C2571" s="948" t="s">
        <v>591</v>
      </c>
      <c r="D2571" s="947" t="s">
        <v>17</v>
      </c>
      <c r="E2571" s="949">
        <v>1902386</v>
      </c>
      <c r="F2571" s="950">
        <v>10</v>
      </c>
      <c r="G2571" s="951">
        <v>0.82</v>
      </c>
      <c r="H2571" s="951">
        <v>0.65</v>
      </c>
      <c r="I2571" s="18"/>
    </row>
    <row r="2572" spans="1:9">
      <c r="A2572" s="943">
        <v>5</v>
      </c>
      <c r="B2572" s="944">
        <v>854.03599999999994</v>
      </c>
      <c r="C2572" s="944" t="s">
        <v>592</v>
      </c>
      <c r="D2572" s="943" t="s">
        <v>17</v>
      </c>
      <c r="E2572" s="952">
        <v>479578</v>
      </c>
      <c r="F2572" s="945">
        <v>18</v>
      </c>
      <c r="G2572" s="946">
        <v>2</v>
      </c>
      <c r="H2572" s="946">
        <v>1.87</v>
      </c>
    </row>
    <row r="2573" spans="1:9" s="26" customFormat="1">
      <c r="A2573" s="947">
        <v>5</v>
      </c>
      <c r="B2573" s="948">
        <v>854.1</v>
      </c>
      <c r="C2573" s="948" t="s">
        <v>593</v>
      </c>
      <c r="D2573" s="947" t="s">
        <v>3</v>
      </c>
      <c r="E2573" s="949">
        <v>66330</v>
      </c>
      <c r="F2573" s="950">
        <v>9</v>
      </c>
      <c r="G2573" s="951">
        <v>3</v>
      </c>
      <c r="H2573" s="951">
        <v>2.7</v>
      </c>
      <c r="I2573" s="18"/>
    </row>
    <row r="2574" spans="1:9">
      <c r="A2574" s="943">
        <v>5</v>
      </c>
      <c r="B2574" s="944">
        <v>854.6</v>
      </c>
      <c r="C2574" s="944" t="s">
        <v>1454</v>
      </c>
      <c r="D2574" s="943" t="s">
        <v>42</v>
      </c>
      <c r="E2574" s="952">
        <v>5215</v>
      </c>
      <c r="F2574" s="945">
        <v>8</v>
      </c>
      <c r="G2574" s="946">
        <v>20</v>
      </c>
      <c r="H2574" s="946">
        <v>31.13</v>
      </c>
    </row>
    <row r="2575" spans="1:9" s="26" customFormat="1">
      <c r="A2575" s="947">
        <v>5</v>
      </c>
      <c r="B2575" s="948">
        <v>856</v>
      </c>
      <c r="C2575" s="948" t="s">
        <v>595</v>
      </c>
      <c r="D2575" s="947" t="s">
        <v>42</v>
      </c>
      <c r="E2575" s="949">
        <v>39029</v>
      </c>
      <c r="F2575" s="950">
        <v>30</v>
      </c>
      <c r="G2575" s="951">
        <v>12</v>
      </c>
      <c r="H2575" s="951">
        <v>12.67</v>
      </c>
      <c r="I2575" s="18"/>
    </row>
    <row r="2576" spans="1:9">
      <c r="A2576" s="943">
        <v>5</v>
      </c>
      <c r="B2576" s="944">
        <v>856.12</v>
      </c>
      <c r="C2576" s="944" t="s">
        <v>596</v>
      </c>
      <c r="D2576" s="943" t="s">
        <v>42</v>
      </c>
      <c r="E2576" s="952">
        <v>23508</v>
      </c>
      <c r="F2576" s="945">
        <v>27</v>
      </c>
      <c r="G2576" s="946">
        <v>25.28</v>
      </c>
      <c r="H2576" s="946">
        <v>25.9</v>
      </c>
    </row>
    <row r="2577" spans="1:9" s="26" customFormat="1">
      <c r="A2577" s="947">
        <v>5</v>
      </c>
      <c r="B2577" s="948">
        <v>859</v>
      </c>
      <c r="C2577" s="948" t="s">
        <v>28</v>
      </c>
      <c r="D2577" s="947" t="s">
        <v>42</v>
      </c>
      <c r="E2577" s="949">
        <v>2889721</v>
      </c>
      <c r="F2577" s="950">
        <v>25</v>
      </c>
      <c r="G2577" s="951">
        <v>0.3</v>
      </c>
      <c r="H2577" s="951">
        <v>0.3</v>
      </c>
      <c r="I2577" s="18"/>
    </row>
    <row r="2578" spans="1:9">
      <c r="A2578" s="943">
        <v>5</v>
      </c>
      <c r="B2578" s="944">
        <v>859.1</v>
      </c>
      <c r="C2578" s="944" t="s">
        <v>1455</v>
      </c>
      <c r="D2578" s="943" t="s">
        <v>42</v>
      </c>
      <c r="E2578" s="952">
        <v>33922</v>
      </c>
      <c r="F2578" s="945">
        <v>21</v>
      </c>
      <c r="G2578" s="946">
        <v>5</v>
      </c>
      <c r="H2578" s="946">
        <v>4.96</v>
      </c>
    </row>
    <row r="2579" spans="1:9" s="26" customFormat="1">
      <c r="A2579" s="947">
        <v>5</v>
      </c>
      <c r="B2579" s="948">
        <v>860.10599999999999</v>
      </c>
      <c r="C2579" s="948" t="s">
        <v>597</v>
      </c>
      <c r="D2579" s="947" t="s">
        <v>17</v>
      </c>
      <c r="E2579" s="949">
        <v>345000</v>
      </c>
      <c r="F2579" s="950">
        <v>1</v>
      </c>
      <c r="G2579" s="951">
        <v>0.3</v>
      </c>
      <c r="H2579" s="951">
        <v>0.32</v>
      </c>
      <c r="I2579" s="18"/>
    </row>
    <row r="2580" spans="1:9">
      <c r="A2580" s="943">
        <v>5</v>
      </c>
      <c r="B2580" s="944">
        <v>861.10599999999999</v>
      </c>
      <c r="C2580" s="944" t="s">
        <v>599</v>
      </c>
      <c r="D2580" s="943" t="s">
        <v>17</v>
      </c>
      <c r="E2580" s="952">
        <v>275000</v>
      </c>
      <c r="F2580" s="945">
        <v>1</v>
      </c>
      <c r="G2580" s="946">
        <v>0.3</v>
      </c>
      <c r="H2580" s="946">
        <v>0.32</v>
      </c>
    </row>
    <row r="2581" spans="1:9" s="26" customFormat="1">
      <c r="A2581" s="947">
        <v>5</v>
      </c>
      <c r="B2581" s="948">
        <v>864</v>
      </c>
      <c r="C2581" s="948" t="s">
        <v>601</v>
      </c>
      <c r="D2581" s="947" t="s">
        <v>3</v>
      </c>
      <c r="E2581" s="950">
        <v>840</v>
      </c>
      <c r="F2581" s="950">
        <v>1</v>
      </c>
      <c r="G2581" s="951">
        <v>13.5</v>
      </c>
      <c r="H2581" s="951">
        <v>14.35</v>
      </c>
      <c r="I2581" s="18"/>
    </row>
    <row r="2582" spans="1:9">
      <c r="A2582" s="943">
        <v>5</v>
      </c>
      <c r="B2582" s="944">
        <v>864.01</v>
      </c>
      <c r="C2582" s="944" t="s">
        <v>602</v>
      </c>
      <c r="D2582" s="943" t="s">
        <v>3</v>
      </c>
      <c r="E2582" s="952">
        <v>3500</v>
      </c>
      <c r="F2582" s="945">
        <v>1</v>
      </c>
      <c r="G2582" s="946">
        <v>20</v>
      </c>
      <c r="H2582" s="946">
        <v>20</v>
      </c>
    </row>
    <row r="2583" spans="1:9" s="26" customFormat="1">
      <c r="A2583" s="947">
        <v>5</v>
      </c>
      <c r="B2583" s="948">
        <v>864.02</v>
      </c>
      <c r="C2583" s="948" t="s">
        <v>603</v>
      </c>
      <c r="D2583" s="947" t="s">
        <v>3</v>
      </c>
      <c r="E2583" s="949">
        <v>2452</v>
      </c>
      <c r="F2583" s="950">
        <v>4</v>
      </c>
      <c r="G2583" s="951">
        <v>62</v>
      </c>
      <c r="H2583" s="951">
        <v>66.459999999999994</v>
      </c>
      <c r="I2583" s="18"/>
    </row>
    <row r="2584" spans="1:9">
      <c r="A2584" s="943">
        <v>5</v>
      </c>
      <c r="B2584" s="944">
        <v>864.04</v>
      </c>
      <c r="C2584" s="944" t="s">
        <v>1456</v>
      </c>
      <c r="D2584" s="943" t="s">
        <v>3</v>
      </c>
      <c r="E2584" s="952">
        <v>39711</v>
      </c>
      <c r="F2584" s="945">
        <v>11</v>
      </c>
      <c r="G2584" s="946">
        <v>11</v>
      </c>
      <c r="H2584" s="946">
        <v>10.84</v>
      </c>
    </row>
    <row r="2585" spans="1:9" s="26" customFormat="1">
      <c r="A2585" s="947">
        <v>5</v>
      </c>
      <c r="B2585" s="948">
        <v>864.31</v>
      </c>
      <c r="C2585" s="948" t="s">
        <v>605</v>
      </c>
      <c r="D2585" s="947" t="s">
        <v>2</v>
      </c>
      <c r="E2585" s="949">
        <v>3065</v>
      </c>
      <c r="F2585" s="950">
        <v>6</v>
      </c>
      <c r="G2585" s="951">
        <v>40</v>
      </c>
      <c r="H2585" s="951">
        <v>67.73</v>
      </c>
      <c r="I2585" s="18"/>
    </row>
    <row r="2586" spans="1:9">
      <c r="A2586" s="943">
        <v>5</v>
      </c>
      <c r="B2586" s="944">
        <v>864.32</v>
      </c>
      <c r="C2586" s="944" t="s">
        <v>606</v>
      </c>
      <c r="D2586" s="943" t="s">
        <v>2</v>
      </c>
      <c r="E2586" s="945">
        <v>23</v>
      </c>
      <c r="F2586" s="945">
        <v>3</v>
      </c>
      <c r="G2586" s="946">
        <v>84.5</v>
      </c>
      <c r="H2586" s="946">
        <v>94.75</v>
      </c>
    </row>
    <row r="2587" spans="1:9" s="26" customFormat="1">
      <c r="A2587" s="947">
        <v>5</v>
      </c>
      <c r="B2587" s="948">
        <v>864.33</v>
      </c>
      <c r="C2587" s="948" t="s">
        <v>607</v>
      </c>
      <c r="D2587" s="947" t="s">
        <v>2</v>
      </c>
      <c r="E2587" s="949">
        <v>2459</v>
      </c>
      <c r="F2587" s="950">
        <v>7</v>
      </c>
      <c r="G2587" s="951">
        <v>77</v>
      </c>
      <c r="H2587" s="951">
        <v>73.95</v>
      </c>
      <c r="I2587" s="18"/>
    </row>
    <row r="2588" spans="1:9">
      <c r="A2588" s="943">
        <v>5</v>
      </c>
      <c r="B2588" s="944">
        <v>864.34</v>
      </c>
      <c r="C2588" s="944" t="s">
        <v>608</v>
      </c>
      <c r="D2588" s="943" t="s">
        <v>2</v>
      </c>
      <c r="E2588" s="952">
        <v>6647</v>
      </c>
      <c r="F2588" s="945">
        <v>4</v>
      </c>
      <c r="G2588" s="946">
        <v>67.5</v>
      </c>
      <c r="H2588" s="946">
        <v>67.459999999999994</v>
      </c>
    </row>
    <row r="2589" spans="1:9" s="26" customFormat="1">
      <c r="A2589" s="947">
        <v>5</v>
      </c>
      <c r="B2589" s="948">
        <v>864.35</v>
      </c>
      <c r="C2589" s="948" t="s">
        <v>609</v>
      </c>
      <c r="D2589" s="947" t="s">
        <v>2</v>
      </c>
      <c r="E2589" s="949">
        <v>1463</v>
      </c>
      <c r="F2589" s="950">
        <v>5</v>
      </c>
      <c r="G2589" s="951">
        <v>80.25</v>
      </c>
      <c r="H2589" s="951">
        <v>73.02</v>
      </c>
      <c r="I2589" s="18"/>
    </row>
    <row r="2590" spans="1:9">
      <c r="A2590" s="943">
        <v>5</v>
      </c>
      <c r="B2590" s="944">
        <v>866.10599999999999</v>
      </c>
      <c r="C2590" s="944" t="s">
        <v>25</v>
      </c>
      <c r="D2590" s="943" t="s">
        <v>17</v>
      </c>
      <c r="E2590" s="952">
        <v>448394</v>
      </c>
      <c r="F2590" s="945">
        <v>17</v>
      </c>
      <c r="G2590" s="946">
        <v>2</v>
      </c>
      <c r="H2590" s="946">
        <v>1.88</v>
      </c>
    </row>
    <row r="2591" spans="1:9" s="26" customFormat="1">
      <c r="A2591" s="947">
        <v>5</v>
      </c>
      <c r="B2591" s="948">
        <v>866.11199999999997</v>
      </c>
      <c r="C2591" s="948" t="s">
        <v>610</v>
      </c>
      <c r="D2591" s="947" t="s">
        <v>17</v>
      </c>
      <c r="E2591" s="949">
        <v>120800</v>
      </c>
      <c r="F2591" s="950">
        <v>14</v>
      </c>
      <c r="G2591" s="951">
        <v>7</v>
      </c>
      <c r="H2591" s="951">
        <v>6.54</v>
      </c>
      <c r="I2591" s="18"/>
    </row>
    <row r="2592" spans="1:9">
      <c r="A2592" s="943" t="s">
        <v>81</v>
      </c>
      <c r="B2592" s="944">
        <v>841.1</v>
      </c>
      <c r="C2592" s="944" t="s">
        <v>566</v>
      </c>
      <c r="D2592" s="943" t="s">
        <v>2</v>
      </c>
      <c r="E2592" s="945">
        <v>327</v>
      </c>
      <c r="F2592" s="945">
        <v>14</v>
      </c>
      <c r="G2592" s="946">
        <v>2997.5</v>
      </c>
      <c r="H2592" s="946">
        <v>2918.31</v>
      </c>
    </row>
    <row r="2593" spans="1:9" s="26" customFormat="1">
      <c r="A2593" s="947" t="s">
        <v>81</v>
      </c>
      <c r="B2593" s="948">
        <v>841.2</v>
      </c>
      <c r="C2593" s="948" t="s">
        <v>567</v>
      </c>
      <c r="D2593" s="947" t="s">
        <v>2</v>
      </c>
      <c r="E2593" s="950">
        <v>181</v>
      </c>
      <c r="F2593" s="950">
        <v>5</v>
      </c>
      <c r="G2593" s="951">
        <v>1787.5</v>
      </c>
      <c r="H2593" s="951">
        <v>1890.63</v>
      </c>
      <c r="I2593" s="18"/>
    </row>
    <row r="2594" spans="1:9">
      <c r="A2594" s="943" t="s">
        <v>81</v>
      </c>
      <c r="B2594" s="944">
        <v>841.4</v>
      </c>
      <c r="C2594" s="944" t="s">
        <v>568</v>
      </c>
      <c r="D2594" s="943" t="s">
        <v>2</v>
      </c>
      <c r="E2594" s="945">
        <v>6</v>
      </c>
      <c r="F2594" s="945">
        <v>1</v>
      </c>
      <c r="G2594" s="946">
        <v>2400</v>
      </c>
      <c r="H2594" s="946">
        <v>2515.83</v>
      </c>
    </row>
    <row r="2595" spans="1:9" s="26" customFormat="1">
      <c r="A2595" s="947" t="s">
        <v>81</v>
      </c>
      <c r="B2595" s="948">
        <v>841.6</v>
      </c>
      <c r="C2595" s="948" t="s">
        <v>569</v>
      </c>
      <c r="D2595" s="947" t="s">
        <v>2</v>
      </c>
      <c r="E2595" s="950">
        <v>138</v>
      </c>
      <c r="F2595" s="950">
        <v>3</v>
      </c>
      <c r="G2595" s="951">
        <v>1625</v>
      </c>
      <c r="H2595" s="951">
        <v>1616.67</v>
      </c>
      <c r="I2595" s="18"/>
    </row>
    <row r="2596" spans="1:9">
      <c r="A2596" s="943" t="s">
        <v>81</v>
      </c>
      <c r="B2596" s="944">
        <v>841.7</v>
      </c>
      <c r="C2596" s="944" t="s">
        <v>570</v>
      </c>
      <c r="D2596" s="943" t="s">
        <v>2</v>
      </c>
      <c r="E2596" s="945">
        <v>82</v>
      </c>
      <c r="F2596" s="945">
        <v>1</v>
      </c>
      <c r="G2596" s="946">
        <v>3350</v>
      </c>
      <c r="H2596" s="946">
        <v>3350</v>
      </c>
    </row>
    <row r="2597" spans="1:9" s="26" customFormat="1">
      <c r="A2597" s="947" t="s">
        <v>81</v>
      </c>
      <c r="B2597" s="948">
        <v>841.8</v>
      </c>
      <c r="C2597" s="948" t="s">
        <v>571</v>
      </c>
      <c r="D2597" s="947" t="s">
        <v>2</v>
      </c>
      <c r="E2597" s="950">
        <v>28</v>
      </c>
      <c r="F2597" s="950">
        <v>2</v>
      </c>
      <c r="G2597" s="951">
        <v>4767.5</v>
      </c>
      <c r="H2597" s="951">
        <v>5832.92</v>
      </c>
      <c r="I2597" s="18"/>
    </row>
    <row r="2598" spans="1:9">
      <c r="A2598" s="943" t="s">
        <v>81</v>
      </c>
      <c r="B2598" s="944">
        <v>844.101</v>
      </c>
      <c r="C2598" s="944" t="s">
        <v>572</v>
      </c>
      <c r="D2598" s="943" t="s">
        <v>22</v>
      </c>
      <c r="E2598" s="945">
        <v>12</v>
      </c>
      <c r="F2598" s="945">
        <v>5</v>
      </c>
      <c r="G2598" s="946">
        <v>6712.5</v>
      </c>
      <c r="H2598" s="946">
        <v>6962.92</v>
      </c>
    </row>
    <row r="2599" spans="1:9" s="26" customFormat="1">
      <c r="A2599" s="947" t="s">
        <v>81</v>
      </c>
      <c r="B2599" s="948">
        <v>844.10199999999998</v>
      </c>
      <c r="C2599" s="948" t="s">
        <v>573</v>
      </c>
      <c r="D2599" s="947" t="s">
        <v>22</v>
      </c>
      <c r="E2599" s="950">
        <v>9</v>
      </c>
      <c r="F2599" s="950">
        <v>4</v>
      </c>
      <c r="G2599" s="951">
        <v>8400</v>
      </c>
      <c r="H2599" s="951">
        <v>7991.67</v>
      </c>
      <c r="I2599" s="18"/>
    </row>
    <row r="2600" spans="1:9">
      <c r="A2600" s="943" t="s">
        <v>81</v>
      </c>
      <c r="B2600" s="944">
        <v>844.10299999999995</v>
      </c>
      <c r="C2600" s="944" t="s">
        <v>574</v>
      </c>
      <c r="D2600" s="943" t="s">
        <v>22</v>
      </c>
      <c r="E2600" s="945">
        <v>5</v>
      </c>
      <c r="F2600" s="945">
        <v>3</v>
      </c>
      <c r="G2600" s="946">
        <v>5800</v>
      </c>
      <c r="H2600" s="946">
        <v>5220</v>
      </c>
    </row>
    <row r="2601" spans="1:9" s="26" customFormat="1">
      <c r="A2601" s="947" t="s">
        <v>81</v>
      </c>
      <c r="B2601" s="948">
        <v>844.10400000000004</v>
      </c>
      <c r="C2601" s="948" t="s">
        <v>575</v>
      </c>
      <c r="D2601" s="947" t="s">
        <v>22</v>
      </c>
      <c r="E2601" s="950">
        <v>5</v>
      </c>
      <c r="F2601" s="950">
        <v>2</v>
      </c>
      <c r="G2601" s="951">
        <v>4350</v>
      </c>
      <c r="H2601" s="951">
        <v>4020</v>
      </c>
      <c r="I2601" s="18"/>
    </row>
    <row r="2602" spans="1:9">
      <c r="A2602" s="943" t="s">
        <v>81</v>
      </c>
      <c r="B2602" s="944">
        <v>844.10500000000002</v>
      </c>
      <c r="C2602" s="944" t="s">
        <v>1522</v>
      </c>
      <c r="D2602" s="943" t="s">
        <v>22</v>
      </c>
      <c r="E2602" s="945">
        <v>2</v>
      </c>
      <c r="F2602" s="945">
        <v>1</v>
      </c>
      <c r="G2602" s="946">
        <v>2725</v>
      </c>
      <c r="H2602" s="946">
        <v>2725</v>
      </c>
    </row>
    <row r="2603" spans="1:9" s="26" customFormat="1">
      <c r="A2603" s="947" t="s">
        <v>81</v>
      </c>
      <c r="B2603" s="948">
        <v>846.1</v>
      </c>
      <c r="C2603" s="948" t="s">
        <v>577</v>
      </c>
      <c r="D2603" s="947" t="s">
        <v>2</v>
      </c>
      <c r="E2603" s="950">
        <v>84</v>
      </c>
      <c r="F2603" s="950">
        <v>3</v>
      </c>
      <c r="G2603" s="951">
        <v>3412.5</v>
      </c>
      <c r="H2603" s="951">
        <v>3795.83</v>
      </c>
      <c r="I2603" s="18"/>
    </row>
    <row r="2604" spans="1:9">
      <c r="A2604" s="943" t="s">
        <v>81</v>
      </c>
      <c r="B2604" s="944">
        <v>847.1</v>
      </c>
      <c r="C2604" s="944" t="s">
        <v>578</v>
      </c>
      <c r="D2604" s="943" t="s">
        <v>2</v>
      </c>
      <c r="E2604" s="952">
        <v>17134</v>
      </c>
      <c r="F2604" s="945">
        <v>68</v>
      </c>
      <c r="G2604" s="946">
        <v>250</v>
      </c>
      <c r="H2604" s="946">
        <v>258.64</v>
      </c>
    </row>
    <row r="2605" spans="1:9" s="26" customFormat="1">
      <c r="A2605" s="947" t="s">
        <v>81</v>
      </c>
      <c r="B2605" s="948">
        <v>848.1</v>
      </c>
      <c r="C2605" s="948" t="s">
        <v>579</v>
      </c>
      <c r="D2605" s="947" t="s">
        <v>2</v>
      </c>
      <c r="E2605" s="949">
        <v>1903</v>
      </c>
      <c r="F2605" s="950">
        <v>28</v>
      </c>
      <c r="G2605" s="951">
        <v>471.43</v>
      </c>
      <c r="H2605" s="951">
        <v>469.4</v>
      </c>
      <c r="I2605" s="18"/>
    </row>
    <row r="2606" spans="1:9">
      <c r="A2606" s="943" t="s">
        <v>81</v>
      </c>
      <c r="B2606" s="944">
        <v>850.41</v>
      </c>
      <c r="C2606" s="944" t="s">
        <v>580</v>
      </c>
      <c r="D2606" s="943" t="s">
        <v>24</v>
      </c>
      <c r="E2606" s="952">
        <v>117435</v>
      </c>
      <c r="F2606" s="945">
        <v>70</v>
      </c>
      <c r="G2606" s="946">
        <v>72</v>
      </c>
      <c r="H2606" s="946">
        <v>75.13</v>
      </c>
    </row>
    <row r="2607" spans="1:9" s="26" customFormat="1">
      <c r="A2607" s="947" t="s">
        <v>81</v>
      </c>
      <c r="B2607" s="948">
        <v>851.1</v>
      </c>
      <c r="C2607" s="948" t="s">
        <v>581</v>
      </c>
      <c r="D2607" s="947" t="s">
        <v>42</v>
      </c>
      <c r="E2607" s="949">
        <v>18704</v>
      </c>
      <c r="F2607" s="950">
        <v>55</v>
      </c>
      <c r="G2607" s="951">
        <v>100</v>
      </c>
      <c r="H2607" s="951">
        <v>118.16</v>
      </c>
      <c r="I2607" s="18"/>
    </row>
    <row r="2608" spans="1:9">
      <c r="A2608" s="943" t="s">
        <v>81</v>
      </c>
      <c r="B2608" s="944">
        <v>852</v>
      </c>
      <c r="C2608" s="944" t="s">
        <v>49</v>
      </c>
      <c r="D2608" s="943" t="s">
        <v>3</v>
      </c>
      <c r="E2608" s="952">
        <v>311931</v>
      </c>
      <c r="F2608" s="945">
        <v>145</v>
      </c>
      <c r="G2608" s="946">
        <v>25</v>
      </c>
      <c r="H2608" s="946">
        <v>25.17</v>
      </c>
    </row>
    <row r="2609" spans="1:9" s="26" customFormat="1">
      <c r="A2609" s="947" t="s">
        <v>81</v>
      </c>
      <c r="B2609" s="948">
        <v>853.1</v>
      </c>
      <c r="C2609" s="948" t="s">
        <v>582</v>
      </c>
      <c r="D2609" s="947" t="s">
        <v>2</v>
      </c>
      <c r="E2609" s="949">
        <v>1780</v>
      </c>
      <c r="F2609" s="950">
        <v>70</v>
      </c>
      <c r="G2609" s="951">
        <v>156</v>
      </c>
      <c r="H2609" s="951">
        <v>159.74</v>
      </c>
      <c r="I2609" s="18"/>
    </row>
    <row r="2610" spans="1:9">
      <c r="A2610" s="943" t="s">
        <v>81</v>
      </c>
      <c r="B2610" s="944">
        <v>853.2</v>
      </c>
      <c r="C2610" s="944" t="s">
        <v>1453</v>
      </c>
      <c r="D2610" s="943" t="s">
        <v>17</v>
      </c>
      <c r="E2610" s="952">
        <v>48225</v>
      </c>
      <c r="F2610" s="945">
        <v>24</v>
      </c>
      <c r="G2610" s="946">
        <v>74</v>
      </c>
      <c r="H2610" s="946">
        <v>68.150000000000006</v>
      </c>
    </row>
    <row r="2611" spans="1:9" s="26" customFormat="1">
      <c r="A2611" s="947" t="s">
        <v>81</v>
      </c>
      <c r="B2611" s="948">
        <v>853.21</v>
      </c>
      <c r="C2611" s="948" t="s">
        <v>583</v>
      </c>
      <c r="D2611" s="947" t="s">
        <v>17</v>
      </c>
      <c r="E2611" s="949">
        <v>283703</v>
      </c>
      <c r="F2611" s="950">
        <v>49</v>
      </c>
      <c r="G2611" s="951">
        <v>20</v>
      </c>
      <c r="H2611" s="951">
        <v>19.41</v>
      </c>
      <c r="I2611" s="18"/>
    </row>
    <row r="2612" spans="1:9">
      <c r="A2612" s="943" t="s">
        <v>81</v>
      </c>
      <c r="B2612" s="944">
        <v>853.23</v>
      </c>
      <c r="C2612" s="944" t="s">
        <v>584</v>
      </c>
      <c r="D2612" s="943" t="s">
        <v>17</v>
      </c>
      <c r="E2612" s="952">
        <v>11710</v>
      </c>
      <c r="F2612" s="945">
        <v>14</v>
      </c>
      <c r="G2612" s="946">
        <v>75</v>
      </c>
      <c r="H2612" s="946">
        <v>80.91</v>
      </c>
    </row>
    <row r="2613" spans="1:9" s="26" customFormat="1">
      <c r="A2613" s="947" t="s">
        <v>81</v>
      </c>
      <c r="B2613" s="948">
        <v>853.33</v>
      </c>
      <c r="C2613" s="948" t="s">
        <v>587</v>
      </c>
      <c r="D2613" s="947" t="s">
        <v>17</v>
      </c>
      <c r="E2613" s="949">
        <v>132035</v>
      </c>
      <c r="F2613" s="950">
        <v>34</v>
      </c>
      <c r="G2613" s="951">
        <v>98</v>
      </c>
      <c r="H2613" s="951">
        <v>95.28</v>
      </c>
      <c r="I2613" s="18"/>
    </row>
    <row r="2614" spans="1:9">
      <c r="A2614" s="943" t="s">
        <v>81</v>
      </c>
      <c r="B2614" s="944">
        <v>853.40300000000002</v>
      </c>
      <c r="C2614" s="944" t="s">
        <v>588</v>
      </c>
      <c r="D2614" s="943" t="s">
        <v>42</v>
      </c>
      <c r="E2614" s="953">
        <v>37967.800000000003</v>
      </c>
      <c r="F2614" s="945">
        <v>86</v>
      </c>
      <c r="G2614" s="946">
        <v>225</v>
      </c>
      <c r="H2614" s="946">
        <v>209.96</v>
      </c>
    </row>
    <row r="2615" spans="1:9" s="26" customFormat="1">
      <c r="A2615" s="947" t="s">
        <v>81</v>
      </c>
      <c r="B2615" s="948">
        <v>853.8</v>
      </c>
      <c r="C2615" s="948" t="s">
        <v>589</v>
      </c>
      <c r="D2615" s="947" t="s">
        <v>42</v>
      </c>
      <c r="E2615" s="949">
        <v>14140</v>
      </c>
      <c r="F2615" s="950">
        <v>62</v>
      </c>
      <c r="G2615" s="951">
        <v>95</v>
      </c>
      <c r="H2615" s="951">
        <v>106.58</v>
      </c>
      <c r="I2615" s="18"/>
    </row>
    <row r="2616" spans="1:9">
      <c r="A2616" s="943" t="s">
        <v>81</v>
      </c>
      <c r="B2616" s="944">
        <v>854.01599999999996</v>
      </c>
      <c r="C2616" s="944" t="s">
        <v>591</v>
      </c>
      <c r="D2616" s="943" t="s">
        <v>17</v>
      </c>
      <c r="E2616" s="952">
        <v>12223153</v>
      </c>
      <c r="F2616" s="945">
        <v>53</v>
      </c>
      <c r="G2616" s="946">
        <v>0.7</v>
      </c>
      <c r="H2616" s="946">
        <v>0.68</v>
      </c>
    </row>
    <row r="2617" spans="1:9" s="26" customFormat="1">
      <c r="A2617" s="947" t="s">
        <v>81</v>
      </c>
      <c r="B2617" s="948">
        <v>854.03599999999994</v>
      </c>
      <c r="C2617" s="948" t="s">
        <v>592</v>
      </c>
      <c r="D2617" s="947" t="s">
        <v>17</v>
      </c>
      <c r="E2617" s="949">
        <v>1792503</v>
      </c>
      <c r="F2617" s="950">
        <v>66</v>
      </c>
      <c r="G2617" s="951">
        <v>2</v>
      </c>
      <c r="H2617" s="951">
        <v>2.0099999999999998</v>
      </c>
      <c r="I2617" s="18"/>
    </row>
    <row r="2618" spans="1:9">
      <c r="A2618" s="943" t="s">
        <v>81</v>
      </c>
      <c r="B2618" s="944">
        <v>854.1</v>
      </c>
      <c r="C2618" s="944" t="s">
        <v>593</v>
      </c>
      <c r="D2618" s="943" t="s">
        <v>3</v>
      </c>
      <c r="E2618" s="952">
        <v>824289</v>
      </c>
      <c r="F2618" s="945">
        <v>59</v>
      </c>
      <c r="G2618" s="946">
        <v>3</v>
      </c>
      <c r="H2618" s="946">
        <v>2.77</v>
      </c>
    </row>
    <row r="2619" spans="1:9" s="26" customFormat="1">
      <c r="A2619" s="947" t="s">
        <v>81</v>
      </c>
      <c r="B2619" s="948">
        <v>854.6</v>
      </c>
      <c r="C2619" s="948" t="s">
        <v>1454</v>
      </c>
      <c r="D2619" s="947" t="s">
        <v>42</v>
      </c>
      <c r="E2619" s="949">
        <v>21901</v>
      </c>
      <c r="F2619" s="950">
        <v>32</v>
      </c>
      <c r="G2619" s="951">
        <v>30</v>
      </c>
      <c r="H2619" s="951">
        <v>26.38</v>
      </c>
      <c r="I2619" s="18"/>
    </row>
    <row r="2620" spans="1:9">
      <c r="A2620" s="943" t="s">
        <v>81</v>
      </c>
      <c r="B2620" s="944">
        <v>856</v>
      </c>
      <c r="C2620" s="944" t="s">
        <v>595</v>
      </c>
      <c r="D2620" s="943" t="s">
        <v>42</v>
      </c>
      <c r="E2620" s="952">
        <v>182729</v>
      </c>
      <c r="F2620" s="945">
        <v>134</v>
      </c>
      <c r="G2620" s="946">
        <v>12.4</v>
      </c>
      <c r="H2620" s="946">
        <v>13.54</v>
      </c>
    </row>
    <row r="2621" spans="1:9" s="26" customFormat="1">
      <c r="A2621" s="947" t="s">
        <v>81</v>
      </c>
      <c r="B2621" s="948">
        <v>856.12</v>
      </c>
      <c r="C2621" s="948" t="s">
        <v>596</v>
      </c>
      <c r="D2621" s="947" t="s">
        <v>42</v>
      </c>
      <c r="E2621" s="949">
        <v>361560</v>
      </c>
      <c r="F2621" s="950">
        <v>125</v>
      </c>
      <c r="G2621" s="951">
        <v>26</v>
      </c>
      <c r="H2621" s="951">
        <v>26.53</v>
      </c>
      <c r="I2621" s="18"/>
    </row>
    <row r="2622" spans="1:9">
      <c r="A2622" s="943" t="s">
        <v>81</v>
      </c>
      <c r="B2622" s="944">
        <v>859</v>
      </c>
      <c r="C2622" s="944" t="s">
        <v>28</v>
      </c>
      <c r="D2622" s="943" t="s">
        <v>42</v>
      </c>
      <c r="E2622" s="952">
        <v>14137483</v>
      </c>
      <c r="F2622" s="945">
        <v>123</v>
      </c>
      <c r="G2622" s="946">
        <v>0.3</v>
      </c>
      <c r="H2622" s="946">
        <v>0.31</v>
      </c>
    </row>
    <row r="2623" spans="1:9" s="26" customFormat="1">
      <c r="A2623" s="947" t="s">
        <v>81</v>
      </c>
      <c r="B2623" s="948">
        <v>859.1</v>
      </c>
      <c r="C2623" s="948" t="s">
        <v>1455</v>
      </c>
      <c r="D2623" s="947" t="s">
        <v>42</v>
      </c>
      <c r="E2623" s="949">
        <v>234359</v>
      </c>
      <c r="F2623" s="950">
        <v>103</v>
      </c>
      <c r="G2623" s="951">
        <v>5</v>
      </c>
      <c r="H2623" s="951">
        <v>5.15</v>
      </c>
      <c r="I2623" s="18"/>
    </row>
    <row r="2624" spans="1:9">
      <c r="A2624" s="943" t="s">
        <v>81</v>
      </c>
      <c r="B2624" s="944">
        <v>860.10599999999999</v>
      </c>
      <c r="C2624" s="944" t="s">
        <v>597</v>
      </c>
      <c r="D2624" s="943" t="s">
        <v>17</v>
      </c>
      <c r="E2624" s="952">
        <v>2720320</v>
      </c>
      <c r="F2624" s="945">
        <v>6</v>
      </c>
      <c r="G2624" s="946">
        <v>2</v>
      </c>
      <c r="H2624" s="946">
        <v>1.71</v>
      </c>
    </row>
    <row r="2625" spans="1:9" s="26" customFormat="1">
      <c r="A2625" s="947" t="s">
        <v>81</v>
      </c>
      <c r="B2625" s="948">
        <v>860.11199999999997</v>
      </c>
      <c r="C2625" s="948" t="s">
        <v>598</v>
      </c>
      <c r="D2625" s="947" t="s">
        <v>17</v>
      </c>
      <c r="E2625" s="949">
        <v>1303</v>
      </c>
      <c r="F2625" s="950">
        <v>4</v>
      </c>
      <c r="G2625" s="951">
        <v>10.6</v>
      </c>
      <c r="H2625" s="951">
        <v>14.47</v>
      </c>
      <c r="I2625" s="18"/>
    </row>
    <row r="2626" spans="1:9">
      <c r="A2626" s="943" t="s">
        <v>81</v>
      </c>
      <c r="B2626" s="944">
        <v>861.10599999999999</v>
      </c>
      <c r="C2626" s="944" t="s">
        <v>599</v>
      </c>
      <c r="D2626" s="943" t="s">
        <v>17</v>
      </c>
      <c r="E2626" s="952">
        <v>2339146</v>
      </c>
      <c r="F2626" s="945">
        <v>7</v>
      </c>
      <c r="G2626" s="946">
        <v>2.2799999999999998</v>
      </c>
      <c r="H2626" s="946">
        <v>1.84</v>
      </c>
    </row>
    <row r="2627" spans="1:9" s="26" customFormat="1">
      <c r="A2627" s="947" t="s">
        <v>81</v>
      </c>
      <c r="B2627" s="948">
        <v>864</v>
      </c>
      <c r="C2627" s="948" t="s">
        <v>601</v>
      </c>
      <c r="D2627" s="947" t="s">
        <v>3</v>
      </c>
      <c r="E2627" s="949">
        <v>1920</v>
      </c>
      <c r="F2627" s="950">
        <v>4</v>
      </c>
      <c r="G2627" s="951">
        <v>13.5</v>
      </c>
      <c r="H2627" s="951">
        <v>13.38</v>
      </c>
      <c r="I2627" s="18"/>
    </row>
    <row r="2628" spans="1:9">
      <c r="A2628" s="943" t="s">
        <v>81</v>
      </c>
      <c r="B2628" s="944">
        <v>864.01</v>
      </c>
      <c r="C2628" s="944" t="s">
        <v>602</v>
      </c>
      <c r="D2628" s="943" t="s">
        <v>3</v>
      </c>
      <c r="E2628" s="952">
        <v>3500</v>
      </c>
      <c r="F2628" s="945">
        <v>1</v>
      </c>
      <c r="G2628" s="946">
        <v>20</v>
      </c>
      <c r="H2628" s="946">
        <v>20</v>
      </c>
    </row>
    <row r="2629" spans="1:9" s="26" customFormat="1">
      <c r="A2629" s="947" t="s">
        <v>81</v>
      </c>
      <c r="B2629" s="948">
        <v>864.02</v>
      </c>
      <c r="C2629" s="948" t="s">
        <v>603</v>
      </c>
      <c r="D2629" s="947" t="s">
        <v>3</v>
      </c>
      <c r="E2629" s="949">
        <v>3772</v>
      </c>
      <c r="F2629" s="950">
        <v>7</v>
      </c>
      <c r="G2629" s="951">
        <v>60</v>
      </c>
      <c r="H2629" s="951">
        <v>61.18</v>
      </c>
      <c r="I2629" s="18"/>
    </row>
    <row r="2630" spans="1:9">
      <c r="A2630" s="943" t="s">
        <v>81</v>
      </c>
      <c r="B2630" s="944">
        <v>864.04</v>
      </c>
      <c r="C2630" s="944" t="s">
        <v>1456</v>
      </c>
      <c r="D2630" s="943" t="s">
        <v>3</v>
      </c>
      <c r="E2630" s="952">
        <v>308495</v>
      </c>
      <c r="F2630" s="945">
        <v>50</v>
      </c>
      <c r="G2630" s="946">
        <v>12</v>
      </c>
      <c r="H2630" s="946">
        <v>10.83</v>
      </c>
    </row>
    <row r="2631" spans="1:9" s="26" customFormat="1">
      <c r="A2631" s="947" t="s">
        <v>81</v>
      </c>
      <c r="B2631" s="948">
        <v>864.07</v>
      </c>
      <c r="C2631" s="948" t="s">
        <v>604</v>
      </c>
      <c r="D2631" s="947" t="s">
        <v>3</v>
      </c>
      <c r="E2631" s="949">
        <v>19980</v>
      </c>
      <c r="F2631" s="950">
        <v>4</v>
      </c>
      <c r="G2631" s="951">
        <v>8</v>
      </c>
      <c r="H2631" s="951">
        <v>7.77</v>
      </c>
      <c r="I2631" s="18"/>
    </row>
    <row r="2632" spans="1:9">
      <c r="A2632" s="943" t="s">
        <v>81</v>
      </c>
      <c r="B2632" s="944">
        <v>864.31</v>
      </c>
      <c r="C2632" s="944" t="s">
        <v>605</v>
      </c>
      <c r="D2632" s="943" t="s">
        <v>2</v>
      </c>
      <c r="E2632" s="952">
        <v>16476</v>
      </c>
      <c r="F2632" s="945">
        <v>17</v>
      </c>
      <c r="G2632" s="946">
        <v>34</v>
      </c>
      <c r="H2632" s="946">
        <v>48.29</v>
      </c>
    </row>
    <row r="2633" spans="1:9" s="26" customFormat="1">
      <c r="A2633" s="947" t="s">
        <v>81</v>
      </c>
      <c r="B2633" s="948">
        <v>864.32</v>
      </c>
      <c r="C2633" s="948" t="s">
        <v>606</v>
      </c>
      <c r="D2633" s="947" t="s">
        <v>2</v>
      </c>
      <c r="E2633" s="949">
        <v>3319</v>
      </c>
      <c r="F2633" s="950">
        <v>5</v>
      </c>
      <c r="G2633" s="951">
        <v>36.5</v>
      </c>
      <c r="H2633" s="951">
        <v>34.19</v>
      </c>
      <c r="I2633" s="18"/>
    </row>
    <row r="2634" spans="1:9">
      <c r="A2634" s="943" t="s">
        <v>81</v>
      </c>
      <c r="B2634" s="944">
        <v>864.33</v>
      </c>
      <c r="C2634" s="944" t="s">
        <v>607</v>
      </c>
      <c r="D2634" s="943" t="s">
        <v>2</v>
      </c>
      <c r="E2634" s="952">
        <v>10304</v>
      </c>
      <c r="F2634" s="945">
        <v>16</v>
      </c>
      <c r="G2634" s="946">
        <v>35</v>
      </c>
      <c r="H2634" s="946">
        <v>37.15</v>
      </c>
    </row>
    <row r="2635" spans="1:9" s="26" customFormat="1">
      <c r="A2635" s="947" t="s">
        <v>81</v>
      </c>
      <c r="B2635" s="948">
        <v>864.34</v>
      </c>
      <c r="C2635" s="948" t="s">
        <v>608</v>
      </c>
      <c r="D2635" s="947" t="s">
        <v>2</v>
      </c>
      <c r="E2635" s="949">
        <v>12454</v>
      </c>
      <c r="F2635" s="950">
        <v>11</v>
      </c>
      <c r="G2635" s="951">
        <v>34.76</v>
      </c>
      <c r="H2635" s="951">
        <v>31.95</v>
      </c>
      <c r="I2635" s="18"/>
    </row>
    <row r="2636" spans="1:9">
      <c r="A2636" s="943" t="s">
        <v>81</v>
      </c>
      <c r="B2636" s="944">
        <v>864.35</v>
      </c>
      <c r="C2636" s="944" t="s">
        <v>609</v>
      </c>
      <c r="D2636" s="943" t="s">
        <v>2</v>
      </c>
      <c r="E2636" s="952">
        <v>7307</v>
      </c>
      <c r="F2636" s="945">
        <v>9</v>
      </c>
      <c r="G2636" s="946">
        <v>40</v>
      </c>
      <c r="H2636" s="946">
        <v>47.44</v>
      </c>
    </row>
    <row r="2637" spans="1:9" s="26" customFormat="1">
      <c r="A2637" s="947" t="s">
        <v>81</v>
      </c>
      <c r="B2637" s="948">
        <v>866.10599999999999</v>
      </c>
      <c r="C2637" s="948" t="s">
        <v>25</v>
      </c>
      <c r="D2637" s="947" t="s">
        <v>17</v>
      </c>
      <c r="E2637" s="949">
        <v>1588924</v>
      </c>
      <c r="F2637" s="950">
        <v>38</v>
      </c>
      <c r="G2637" s="951">
        <v>2</v>
      </c>
      <c r="H2637" s="951">
        <v>1.85</v>
      </c>
      <c r="I2637" s="18"/>
    </row>
    <row r="2638" spans="1:9">
      <c r="A2638" s="943" t="s">
        <v>81</v>
      </c>
      <c r="B2638" s="944">
        <v>866.11199999999997</v>
      </c>
      <c r="C2638" s="944" t="s">
        <v>610</v>
      </c>
      <c r="D2638" s="943" t="s">
        <v>17</v>
      </c>
      <c r="E2638" s="952">
        <v>774108</v>
      </c>
      <c r="F2638" s="945">
        <v>37</v>
      </c>
      <c r="G2638" s="946">
        <v>6.68</v>
      </c>
      <c r="H2638" s="946">
        <v>6.45</v>
      </c>
    </row>
    <row r="2639" spans="1:9" s="26" customFormat="1">
      <c r="A2639" s="947" t="s">
        <v>81</v>
      </c>
      <c r="B2639" s="948">
        <v>866.20600000000002</v>
      </c>
      <c r="C2639" s="948" t="s">
        <v>611</v>
      </c>
      <c r="D2639" s="947" t="s">
        <v>17</v>
      </c>
      <c r="E2639" s="949">
        <v>1245470</v>
      </c>
      <c r="F2639" s="950">
        <v>21</v>
      </c>
      <c r="G2639" s="951">
        <v>3.13</v>
      </c>
      <c r="H2639" s="951">
        <v>3.28</v>
      </c>
      <c r="I2639" s="18"/>
    </row>
    <row r="2640" spans="1:9">
      <c r="A2640" s="943" t="s">
        <v>81</v>
      </c>
      <c r="B2640" s="944">
        <v>866.21199999999999</v>
      </c>
      <c r="C2640" s="944" t="s">
        <v>612</v>
      </c>
      <c r="D2640" s="943" t="s">
        <v>17</v>
      </c>
      <c r="E2640" s="952">
        <v>101147</v>
      </c>
      <c r="F2640" s="945">
        <v>10</v>
      </c>
      <c r="G2640" s="946">
        <v>12</v>
      </c>
      <c r="H2640" s="946">
        <v>11.6</v>
      </c>
    </row>
    <row r="2641" spans="1:9" s="26" customFormat="1">
      <c r="A2641" s="947" t="s">
        <v>81</v>
      </c>
      <c r="B2641" s="948">
        <v>867.10599999999999</v>
      </c>
      <c r="C2641" s="948" t="s">
        <v>613</v>
      </c>
      <c r="D2641" s="947" t="s">
        <v>17</v>
      </c>
      <c r="E2641" s="949">
        <v>1344234</v>
      </c>
      <c r="F2641" s="950">
        <v>40</v>
      </c>
      <c r="G2641" s="951">
        <v>2</v>
      </c>
      <c r="H2641" s="951">
        <v>1.82</v>
      </c>
      <c r="I2641" s="18"/>
    </row>
    <row r="2642" spans="1:9">
      <c r="A2642" s="943" t="s">
        <v>81</v>
      </c>
      <c r="B2642" s="944">
        <v>867.11199999999997</v>
      </c>
      <c r="C2642" s="944" t="s">
        <v>50</v>
      </c>
      <c r="D2642" s="943" t="s">
        <v>17</v>
      </c>
      <c r="E2642" s="952">
        <v>37932</v>
      </c>
      <c r="F2642" s="945">
        <v>27</v>
      </c>
      <c r="G2642" s="946">
        <v>6.55</v>
      </c>
      <c r="H2642" s="946">
        <v>6.48</v>
      </c>
    </row>
    <row r="2643" spans="1:9" s="26" customFormat="1">
      <c r="A2643" s="947" t="s">
        <v>81</v>
      </c>
      <c r="B2643" s="948">
        <v>867.20600000000002</v>
      </c>
      <c r="C2643" s="948" t="s">
        <v>614</v>
      </c>
      <c r="D2643" s="947" t="s">
        <v>17</v>
      </c>
      <c r="E2643" s="949">
        <v>1042950</v>
      </c>
      <c r="F2643" s="950">
        <v>20</v>
      </c>
      <c r="G2643" s="951">
        <v>3.18</v>
      </c>
      <c r="H2643" s="951">
        <v>3.38</v>
      </c>
      <c r="I2643" s="18"/>
    </row>
    <row r="2644" spans="1:9">
      <c r="A2644" s="943" t="s">
        <v>81</v>
      </c>
      <c r="B2644" s="944">
        <v>867.21199999999999</v>
      </c>
      <c r="C2644" s="944" t="s">
        <v>1523</v>
      </c>
      <c r="D2644" s="943" t="s">
        <v>17</v>
      </c>
      <c r="E2644" s="952">
        <v>3992</v>
      </c>
      <c r="F2644" s="945">
        <v>5</v>
      </c>
      <c r="G2644" s="946">
        <v>13.5</v>
      </c>
      <c r="H2644" s="946">
        <v>12.7</v>
      </c>
    </row>
    <row r="2645" spans="1:9" s="26" customFormat="1">
      <c r="A2645" s="947" t="s">
        <v>81</v>
      </c>
      <c r="B2645" s="948">
        <v>868.06</v>
      </c>
      <c r="C2645" s="948" t="s">
        <v>3317</v>
      </c>
      <c r="D2645" s="947" t="s">
        <v>17</v>
      </c>
      <c r="E2645" s="949">
        <v>52860</v>
      </c>
      <c r="F2645" s="950">
        <v>2</v>
      </c>
      <c r="G2645" s="951">
        <v>1.1299999999999999</v>
      </c>
      <c r="H2645" s="951">
        <v>1.57</v>
      </c>
      <c r="I2645" s="18"/>
    </row>
    <row r="2646" spans="1:9">
      <c r="A2646" s="943" t="s">
        <v>81</v>
      </c>
      <c r="B2646" s="944">
        <v>868.12</v>
      </c>
      <c r="C2646" s="944" t="s">
        <v>615</v>
      </c>
      <c r="D2646" s="943" t="s">
        <v>17</v>
      </c>
      <c r="E2646" s="952">
        <v>48500</v>
      </c>
      <c r="F2646" s="945">
        <v>3</v>
      </c>
      <c r="G2646" s="946">
        <v>6.25</v>
      </c>
      <c r="H2646" s="946">
        <v>6.28</v>
      </c>
    </row>
    <row r="2647" spans="1:9" s="26" customFormat="1">
      <c r="A2647" s="947" t="s">
        <v>81</v>
      </c>
      <c r="B2647" s="948">
        <v>869.06</v>
      </c>
      <c r="C2647" s="948" t="s">
        <v>3318</v>
      </c>
      <c r="D2647" s="947" t="s">
        <v>17</v>
      </c>
      <c r="E2647" s="949">
        <v>43600</v>
      </c>
      <c r="F2647" s="950">
        <v>2</v>
      </c>
      <c r="G2647" s="951">
        <v>1.1299999999999999</v>
      </c>
      <c r="H2647" s="951">
        <v>1.57</v>
      </c>
      <c r="I2647" s="18"/>
    </row>
    <row r="2648" spans="1:9">
      <c r="A2648" s="943" t="s">
        <v>81</v>
      </c>
      <c r="B2648" s="944">
        <v>869.12</v>
      </c>
      <c r="C2648" s="944" t="s">
        <v>616</v>
      </c>
      <c r="D2648" s="943" t="s">
        <v>17</v>
      </c>
      <c r="E2648" s="952">
        <v>4280</v>
      </c>
      <c r="F2648" s="945">
        <v>3</v>
      </c>
      <c r="G2648" s="946">
        <v>6.5</v>
      </c>
      <c r="H2648" s="946">
        <v>6.23</v>
      </c>
    </row>
    <row r="2649" spans="1:9" s="26" customFormat="1">
      <c r="A2649" s="947" t="s">
        <v>81</v>
      </c>
      <c r="B2649" s="948">
        <v>874</v>
      </c>
      <c r="C2649" s="948" t="s">
        <v>23</v>
      </c>
      <c r="D2649" s="947" t="s">
        <v>2</v>
      </c>
      <c r="E2649" s="949">
        <v>4263</v>
      </c>
      <c r="F2649" s="950">
        <v>39</v>
      </c>
      <c r="G2649" s="951">
        <v>121</v>
      </c>
      <c r="H2649" s="951">
        <v>121.07</v>
      </c>
      <c r="I2649" s="18"/>
    </row>
    <row r="2650" spans="1:9">
      <c r="A2650" s="943" t="s">
        <v>81</v>
      </c>
      <c r="B2650" s="944">
        <v>874.1</v>
      </c>
      <c r="C2650" s="944" t="s">
        <v>617</v>
      </c>
      <c r="D2650" s="943" t="s">
        <v>2</v>
      </c>
      <c r="E2650" s="945">
        <v>106</v>
      </c>
      <c r="F2650" s="945">
        <v>6</v>
      </c>
      <c r="G2650" s="946">
        <v>225</v>
      </c>
      <c r="H2650" s="946">
        <v>188.85</v>
      </c>
    </row>
    <row r="2651" spans="1:9" s="26" customFormat="1">
      <c r="A2651" s="947" t="s">
        <v>81</v>
      </c>
      <c r="B2651" s="948">
        <v>874.2</v>
      </c>
      <c r="C2651" s="948" t="s">
        <v>618</v>
      </c>
      <c r="D2651" s="947" t="s">
        <v>2</v>
      </c>
      <c r="E2651" s="949">
        <v>2026</v>
      </c>
      <c r="F2651" s="950">
        <v>47</v>
      </c>
      <c r="G2651" s="951">
        <v>200</v>
      </c>
      <c r="H2651" s="951">
        <v>187.24</v>
      </c>
      <c r="I2651" s="18"/>
    </row>
    <row r="2652" spans="1:9">
      <c r="A2652" s="943" t="s">
        <v>81</v>
      </c>
      <c r="B2652" s="944">
        <v>874.4</v>
      </c>
      <c r="C2652" s="944" t="s">
        <v>620</v>
      </c>
      <c r="D2652" s="943" t="s">
        <v>2</v>
      </c>
      <c r="E2652" s="952">
        <v>2138</v>
      </c>
      <c r="F2652" s="945">
        <v>24</v>
      </c>
      <c r="G2652" s="946">
        <v>50</v>
      </c>
      <c r="H2652" s="946">
        <v>45.05</v>
      </c>
    </row>
    <row r="2653" spans="1:9" s="26" customFormat="1">
      <c r="A2653" s="947" t="s">
        <v>81</v>
      </c>
      <c r="B2653" s="948">
        <v>874.6</v>
      </c>
      <c r="C2653" s="948" t="s">
        <v>3324</v>
      </c>
      <c r="D2653" s="947" t="s">
        <v>3</v>
      </c>
      <c r="E2653" s="949">
        <v>2840</v>
      </c>
      <c r="F2653" s="950">
        <v>1</v>
      </c>
      <c r="G2653" s="951">
        <v>17</v>
      </c>
      <c r="H2653" s="951">
        <v>17.5</v>
      </c>
      <c r="I2653" s="18"/>
    </row>
    <row r="2654" spans="1:9">
      <c r="A2654" s="943" t="s">
        <v>81</v>
      </c>
      <c r="B2654" s="944">
        <v>874.7</v>
      </c>
      <c r="C2654" s="944" t="s">
        <v>46</v>
      </c>
      <c r="D2654" s="943" t="s">
        <v>2</v>
      </c>
      <c r="E2654" s="945">
        <v>246</v>
      </c>
      <c r="F2654" s="945">
        <v>5</v>
      </c>
      <c r="G2654" s="946">
        <v>60</v>
      </c>
      <c r="H2654" s="946">
        <v>60.92</v>
      </c>
    </row>
    <row r="2655" spans="1:9" s="26" customFormat="1">
      <c r="A2655" s="947" t="s">
        <v>81</v>
      </c>
      <c r="B2655" s="948">
        <v>875.1</v>
      </c>
      <c r="C2655" s="948" t="s">
        <v>3325</v>
      </c>
      <c r="D2655" s="947" t="s">
        <v>2</v>
      </c>
      <c r="E2655" s="950">
        <v>68</v>
      </c>
      <c r="F2655" s="950">
        <v>1</v>
      </c>
      <c r="G2655" s="951">
        <v>650</v>
      </c>
      <c r="H2655" s="951">
        <v>581.25</v>
      </c>
      <c r="I2655" s="18"/>
    </row>
    <row r="2656" spans="1:9">
      <c r="A2656" s="943" t="s">
        <v>81</v>
      </c>
      <c r="B2656" s="944">
        <v>875.2</v>
      </c>
      <c r="C2656" s="944" t="s">
        <v>3326</v>
      </c>
      <c r="D2656" s="943" t="s">
        <v>2</v>
      </c>
      <c r="E2656" s="945">
        <v>10</v>
      </c>
      <c r="F2656" s="945">
        <v>2</v>
      </c>
      <c r="G2656" s="946">
        <v>305</v>
      </c>
      <c r="H2656" s="946">
        <v>310</v>
      </c>
    </row>
    <row r="2657" spans="1:9" s="26" customFormat="1">
      <c r="A2657" s="947" t="s">
        <v>81</v>
      </c>
      <c r="B2657" s="948">
        <v>877</v>
      </c>
      <c r="C2657" s="948" t="s">
        <v>621</v>
      </c>
      <c r="D2657" s="947" t="s">
        <v>2</v>
      </c>
      <c r="E2657" s="950">
        <v>130</v>
      </c>
      <c r="F2657" s="950">
        <v>4</v>
      </c>
      <c r="G2657" s="951">
        <v>175</v>
      </c>
      <c r="H2657" s="951">
        <v>180</v>
      </c>
      <c r="I2657" s="18"/>
    </row>
    <row r="2658" spans="1:9">
      <c r="A2658" s="943" t="s">
        <v>81</v>
      </c>
      <c r="B2658" s="944">
        <v>877.1</v>
      </c>
      <c r="C2658" s="944" t="s">
        <v>622</v>
      </c>
      <c r="D2658" s="943" t="s">
        <v>2</v>
      </c>
      <c r="E2658" s="945">
        <v>749</v>
      </c>
      <c r="F2658" s="945">
        <v>12</v>
      </c>
      <c r="G2658" s="946">
        <v>42.5</v>
      </c>
      <c r="H2658" s="946">
        <v>42.22</v>
      </c>
    </row>
    <row r="2659" spans="1:9" s="26" customFormat="1">
      <c r="A2659" s="947" t="s">
        <v>81</v>
      </c>
      <c r="B2659" s="948">
        <v>877.2</v>
      </c>
      <c r="C2659" s="948" t="s">
        <v>623</v>
      </c>
      <c r="D2659" s="947" t="s">
        <v>2</v>
      </c>
      <c r="E2659" s="950">
        <v>10</v>
      </c>
      <c r="F2659" s="950">
        <v>1</v>
      </c>
      <c r="G2659" s="951">
        <v>65</v>
      </c>
      <c r="H2659" s="951">
        <v>65</v>
      </c>
      <c r="I2659" s="18"/>
    </row>
    <row r="2660" spans="1:9">
      <c r="A2660" s="943" t="s">
        <v>81</v>
      </c>
      <c r="B2660" s="944">
        <v>901</v>
      </c>
      <c r="C2660" s="944" t="s">
        <v>624</v>
      </c>
      <c r="D2660" s="943" t="s">
        <v>4</v>
      </c>
      <c r="E2660" s="952">
        <v>1294</v>
      </c>
      <c r="F2660" s="945">
        <v>17</v>
      </c>
      <c r="G2660" s="946">
        <v>1790</v>
      </c>
      <c r="H2660" s="946">
        <v>1921.02</v>
      </c>
    </row>
    <row r="2661" spans="1:9" s="26" customFormat="1">
      <c r="A2661" s="947" t="s">
        <v>81</v>
      </c>
      <c r="B2661" s="948">
        <v>901.3</v>
      </c>
      <c r="C2661" s="948" t="s">
        <v>625</v>
      </c>
      <c r="D2661" s="947" t="s">
        <v>4</v>
      </c>
      <c r="E2661" s="950">
        <v>135.5</v>
      </c>
      <c r="F2661" s="950">
        <v>7</v>
      </c>
      <c r="G2661" s="951">
        <v>468</v>
      </c>
      <c r="H2661" s="951">
        <v>632.44000000000005</v>
      </c>
      <c r="I2661" s="18"/>
    </row>
    <row r="2662" spans="1:9">
      <c r="A2662" s="943" t="s">
        <v>81</v>
      </c>
      <c r="B2662" s="944">
        <v>902</v>
      </c>
      <c r="C2662" s="944" t="s">
        <v>3332</v>
      </c>
      <c r="D2662" s="943" t="s">
        <v>4</v>
      </c>
      <c r="E2662" s="945">
        <v>13</v>
      </c>
      <c r="F2662" s="945">
        <v>2</v>
      </c>
      <c r="G2662" s="946">
        <v>1100</v>
      </c>
      <c r="H2662" s="946">
        <v>1180</v>
      </c>
    </row>
    <row r="2663" spans="1:9" s="26" customFormat="1">
      <c r="A2663" s="947" t="s">
        <v>81</v>
      </c>
      <c r="B2663" s="948">
        <v>903</v>
      </c>
      <c r="C2663" s="948" t="s">
        <v>626</v>
      </c>
      <c r="D2663" s="947" t="s">
        <v>4</v>
      </c>
      <c r="E2663" s="949">
        <v>1149</v>
      </c>
      <c r="F2663" s="950">
        <v>24</v>
      </c>
      <c r="G2663" s="951">
        <v>581</v>
      </c>
      <c r="H2663" s="951">
        <v>557.25</v>
      </c>
      <c r="I2663" s="18"/>
    </row>
    <row r="2664" spans="1:9">
      <c r="A2664" s="943" t="s">
        <v>81</v>
      </c>
      <c r="B2664" s="944">
        <v>904</v>
      </c>
      <c r="C2664" s="944" t="s">
        <v>627</v>
      </c>
      <c r="D2664" s="943" t="s">
        <v>4</v>
      </c>
      <c r="E2664" s="952">
        <v>1083</v>
      </c>
      <c r="F2664" s="945">
        <v>12</v>
      </c>
      <c r="G2664" s="946">
        <v>1450</v>
      </c>
      <c r="H2664" s="946">
        <v>1292.93</v>
      </c>
    </row>
    <row r="2665" spans="1:9" s="26" customFormat="1">
      <c r="A2665" s="947" t="s">
        <v>81</v>
      </c>
      <c r="B2665" s="948">
        <v>904.1</v>
      </c>
      <c r="C2665" s="948" t="s">
        <v>3333</v>
      </c>
      <c r="D2665" s="947" t="s">
        <v>4</v>
      </c>
      <c r="E2665" s="950">
        <v>24</v>
      </c>
      <c r="F2665" s="950">
        <v>1</v>
      </c>
      <c r="G2665" s="951">
        <v>9000</v>
      </c>
      <c r="H2665" s="951">
        <v>8530</v>
      </c>
      <c r="I2665" s="18"/>
    </row>
    <row r="2666" spans="1:9">
      <c r="A2666" s="943" t="s">
        <v>81</v>
      </c>
      <c r="B2666" s="944">
        <v>904.3</v>
      </c>
      <c r="C2666" s="944" t="s">
        <v>628</v>
      </c>
      <c r="D2666" s="943" t="s">
        <v>4</v>
      </c>
      <c r="E2666" s="945">
        <v>953</v>
      </c>
      <c r="F2666" s="945">
        <v>4</v>
      </c>
      <c r="G2666" s="946">
        <v>3050</v>
      </c>
      <c r="H2666" s="946">
        <v>3017.27</v>
      </c>
    </row>
    <row r="2667" spans="1:9" s="26" customFormat="1">
      <c r="A2667" s="947" t="s">
        <v>81</v>
      </c>
      <c r="B2667" s="948">
        <v>904.4</v>
      </c>
      <c r="C2667" s="948" t="s">
        <v>629</v>
      </c>
      <c r="D2667" s="947" t="s">
        <v>4</v>
      </c>
      <c r="E2667" s="949">
        <v>1045</v>
      </c>
      <c r="F2667" s="950">
        <v>5</v>
      </c>
      <c r="G2667" s="951">
        <v>3000</v>
      </c>
      <c r="H2667" s="951">
        <v>3069.71</v>
      </c>
      <c r="I2667" s="18"/>
    </row>
    <row r="2668" spans="1:9">
      <c r="A2668" s="943" t="s">
        <v>81</v>
      </c>
      <c r="B2668" s="944">
        <v>905</v>
      </c>
      <c r="C2668" s="944" t="s">
        <v>630</v>
      </c>
      <c r="D2668" s="943" t="s">
        <v>4</v>
      </c>
      <c r="E2668" s="952">
        <v>5289</v>
      </c>
      <c r="F2668" s="945">
        <v>37</v>
      </c>
      <c r="G2668" s="946">
        <v>5085</v>
      </c>
      <c r="H2668" s="946">
        <v>5336.72</v>
      </c>
    </row>
    <row r="2669" spans="1:9" s="26" customFormat="1">
      <c r="A2669" s="947" t="s">
        <v>81</v>
      </c>
      <c r="B2669" s="948">
        <v>905.2</v>
      </c>
      <c r="C2669" s="948" t="s">
        <v>631</v>
      </c>
      <c r="D2669" s="947" t="s">
        <v>4</v>
      </c>
      <c r="E2669" s="950">
        <v>3</v>
      </c>
      <c r="F2669" s="950">
        <v>1</v>
      </c>
      <c r="G2669" s="951">
        <v>8500</v>
      </c>
      <c r="H2669" s="951">
        <v>8500</v>
      </c>
      <c r="I2669" s="18"/>
    </row>
    <row r="2670" spans="1:9">
      <c r="A2670" s="943" t="s">
        <v>81</v>
      </c>
      <c r="B2670" s="944">
        <v>908</v>
      </c>
      <c r="C2670" s="944" t="s">
        <v>633</v>
      </c>
      <c r="D2670" s="943" t="s">
        <v>634</v>
      </c>
      <c r="E2670" s="945">
        <v>600</v>
      </c>
      <c r="F2670" s="945">
        <v>2</v>
      </c>
      <c r="G2670" s="946">
        <v>365</v>
      </c>
      <c r="H2670" s="946">
        <v>322.5</v>
      </c>
    </row>
    <row r="2671" spans="1:9" s="26" customFormat="1">
      <c r="A2671" s="947" t="s">
        <v>81</v>
      </c>
      <c r="B2671" s="948">
        <v>909.2</v>
      </c>
      <c r="C2671" s="948" t="s">
        <v>635</v>
      </c>
      <c r="D2671" s="947" t="s">
        <v>3</v>
      </c>
      <c r="E2671" s="949">
        <v>14480</v>
      </c>
      <c r="F2671" s="950">
        <v>18</v>
      </c>
      <c r="G2671" s="951">
        <v>103.5</v>
      </c>
      <c r="H2671" s="951">
        <v>114</v>
      </c>
      <c r="I2671" s="18"/>
    </row>
    <row r="2672" spans="1:9">
      <c r="A2672" s="943" t="s">
        <v>81</v>
      </c>
      <c r="B2672" s="944">
        <v>909.99</v>
      </c>
      <c r="C2672" s="944" t="s">
        <v>1458</v>
      </c>
      <c r="D2672" s="943" t="s">
        <v>634</v>
      </c>
      <c r="E2672" s="945">
        <v>30</v>
      </c>
      <c r="F2672" s="945">
        <v>1</v>
      </c>
      <c r="G2672" s="946">
        <v>75</v>
      </c>
      <c r="H2672" s="946">
        <v>67.5</v>
      </c>
    </row>
    <row r="2673" spans="1:9" s="26" customFormat="1">
      <c r="A2673" s="947" t="s">
        <v>81</v>
      </c>
      <c r="B2673" s="948">
        <v>910</v>
      </c>
      <c r="C2673" s="948" t="s">
        <v>636</v>
      </c>
      <c r="D2673" s="947" t="s">
        <v>100</v>
      </c>
      <c r="E2673" s="949">
        <v>5460</v>
      </c>
      <c r="F2673" s="950">
        <v>7</v>
      </c>
      <c r="G2673" s="951">
        <v>7.5</v>
      </c>
      <c r="H2673" s="951">
        <v>8.2799999999999994</v>
      </c>
      <c r="I2673" s="18"/>
    </row>
    <row r="2674" spans="1:9">
      <c r="A2674" s="943" t="s">
        <v>81</v>
      </c>
      <c r="B2674" s="944">
        <v>910.1</v>
      </c>
      <c r="C2674" s="944" t="s">
        <v>637</v>
      </c>
      <c r="D2674" s="943" t="s">
        <v>100</v>
      </c>
      <c r="E2674" s="952">
        <v>1255448</v>
      </c>
      <c r="F2674" s="945">
        <v>56</v>
      </c>
      <c r="G2674" s="946">
        <v>4</v>
      </c>
      <c r="H2674" s="946">
        <v>3.94</v>
      </c>
    </row>
    <row r="2675" spans="1:9" s="26" customFormat="1">
      <c r="A2675" s="947" t="s">
        <v>81</v>
      </c>
      <c r="B2675" s="948">
        <v>910.4</v>
      </c>
      <c r="C2675" s="948" t="s">
        <v>639</v>
      </c>
      <c r="D2675" s="947" t="s">
        <v>2</v>
      </c>
      <c r="E2675" s="949">
        <v>1024</v>
      </c>
      <c r="F2675" s="950">
        <v>3</v>
      </c>
      <c r="G2675" s="951">
        <v>95.12</v>
      </c>
      <c r="H2675" s="951">
        <v>93.15</v>
      </c>
      <c r="I2675" s="18"/>
    </row>
    <row r="2676" spans="1:9">
      <c r="A2676" s="943" t="s">
        <v>81</v>
      </c>
      <c r="B2676" s="944">
        <v>912</v>
      </c>
      <c r="C2676" s="944" t="s">
        <v>641</v>
      </c>
      <c r="D2676" s="943" t="s">
        <v>2</v>
      </c>
      <c r="E2676" s="952">
        <v>3455</v>
      </c>
      <c r="F2676" s="945">
        <v>14</v>
      </c>
      <c r="G2676" s="946">
        <v>75</v>
      </c>
      <c r="H2676" s="946">
        <v>73.5</v>
      </c>
    </row>
    <row r="2677" spans="1:9" s="26" customFormat="1">
      <c r="A2677" s="947" t="s">
        <v>81</v>
      </c>
      <c r="B2677" s="948">
        <v>912.5</v>
      </c>
      <c r="C2677" s="948" t="s">
        <v>642</v>
      </c>
      <c r="D2677" s="947" t="s">
        <v>2</v>
      </c>
      <c r="E2677" s="950">
        <v>744</v>
      </c>
      <c r="F2677" s="950">
        <v>2</v>
      </c>
      <c r="G2677" s="951">
        <v>101</v>
      </c>
      <c r="H2677" s="951">
        <v>92.4</v>
      </c>
      <c r="I2677" s="18"/>
    </row>
    <row r="2678" spans="1:9">
      <c r="A2678" s="943" t="s">
        <v>81</v>
      </c>
      <c r="B2678" s="944">
        <v>912.6</v>
      </c>
      <c r="C2678" s="944" t="s">
        <v>643</v>
      </c>
      <c r="D2678" s="943" t="s">
        <v>2</v>
      </c>
      <c r="E2678" s="945">
        <v>60</v>
      </c>
      <c r="F2678" s="945">
        <v>1</v>
      </c>
      <c r="G2678" s="946">
        <v>125</v>
      </c>
      <c r="H2678" s="946">
        <v>118.33</v>
      </c>
    </row>
    <row r="2679" spans="1:9" s="26" customFormat="1">
      <c r="A2679" s="947" t="s">
        <v>81</v>
      </c>
      <c r="B2679" s="948">
        <v>912.7</v>
      </c>
      <c r="C2679" s="948" t="s">
        <v>3349</v>
      </c>
      <c r="D2679" s="947" t="s">
        <v>2</v>
      </c>
      <c r="E2679" s="949">
        <v>1708</v>
      </c>
      <c r="F2679" s="950">
        <v>1</v>
      </c>
      <c r="G2679" s="951">
        <v>130</v>
      </c>
      <c r="H2679" s="951">
        <v>126.75</v>
      </c>
      <c r="I2679" s="18"/>
    </row>
    <row r="2680" spans="1:9">
      <c r="A2680" s="943" t="s">
        <v>81</v>
      </c>
      <c r="B2680" s="944">
        <v>913.31</v>
      </c>
      <c r="C2680" s="944" t="s">
        <v>645</v>
      </c>
      <c r="D2680" s="943" t="s">
        <v>17</v>
      </c>
      <c r="E2680" s="952">
        <v>7380</v>
      </c>
      <c r="F2680" s="945">
        <v>1</v>
      </c>
      <c r="G2680" s="946">
        <v>55</v>
      </c>
      <c r="H2680" s="946">
        <v>52.5</v>
      </c>
    </row>
    <row r="2681" spans="1:9" s="26" customFormat="1">
      <c r="A2681" s="947" t="s">
        <v>81</v>
      </c>
      <c r="B2681" s="948">
        <v>922.4</v>
      </c>
      <c r="C2681" s="948" t="s">
        <v>4067</v>
      </c>
      <c r="D2681" s="947" t="s">
        <v>2</v>
      </c>
      <c r="E2681" s="950">
        <v>288</v>
      </c>
      <c r="F2681" s="950">
        <v>1</v>
      </c>
      <c r="G2681" s="951">
        <v>6775</v>
      </c>
      <c r="H2681" s="951">
        <v>6983.33</v>
      </c>
      <c r="I2681" s="18"/>
    </row>
    <row r="2682" spans="1:9">
      <c r="A2682" s="943" t="s">
        <v>81</v>
      </c>
      <c r="B2682" s="944">
        <v>942.10199999999998</v>
      </c>
      <c r="C2682" s="944" t="s">
        <v>646</v>
      </c>
      <c r="D2682" s="943" t="s">
        <v>17</v>
      </c>
      <c r="E2682" s="952">
        <v>3560</v>
      </c>
      <c r="F2682" s="945">
        <v>1</v>
      </c>
      <c r="G2682" s="946">
        <v>230</v>
      </c>
      <c r="H2682" s="946">
        <v>176.25</v>
      </c>
    </row>
    <row r="2683" spans="1:9" s="26" customFormat="1">
      <c r="A2683" s="947" t="s">
        <v>81</v>
      </c>
      <c r="B2683" s="948">
        <v>942.12400000000002</v>
      </c>
      <c r="C2683" s="948" t="s">
        <v>647</v>
      </c>
      <c r="D2683" s="947" t="s">
        <v>17</v>
      </c>
      <c r="E2683" s="949">
        <v>7086</v>
      </c>
      <c r="F2683" s="950">
        <v>1</v>
      </c>
      <c r="G2683" s="951">
        <v>185</v>
      </c>
      <c r="H2683" s="951">
        <v>170.83</v>
      </c>
      <c r="I2683" s="18"/>
    </row>
    <row r="2684" spans="1:9">
      <c r="A2684" s="943" t="s">
        <v>81</v>
      </c>
      <c r="B2684" s="944">
        <v>945.101</v>
      </c>
      <c r="C2684" s="944" t="s">
        <v>3491</v>
      </c>
      <c r="D2684" s="943" t="s">
        <v>17</v>
      </c>
      <c r="E2684" s="945">
        <v>830</v>
      </c>
      <c r="F2684" s="945">
        <v>1</v>
      </c>
      <c r="G2684" s="946">
        <v>400</v>
      </c>
      <c r="H2684" s="946">
        <v>400</v>
      </c>
    </row>
    <row r="2685" spans="1:9" s="26" customFormat="1">
      <c r="A2685" s="947" t="s">
        <v>81</v>
      </c>
      <c r="B2685" s="948">
        <v>945.30200000000002</v>
      </c>
      <c r="C2685" s="948" t="s">
        <v>3514</v>
      </c>
      <c r="D2685" s="947" t="s">
        <v>17</v>
      </c>
      <c r="E2685" s="950">
        <v>5</v>
      </c>
      <c r="F2685" s="950">
        <v>1</v>
      </c>
      <c r="G2685" s="951">
        <v>100</v>
      </c>
      <c r="H2685" s="951">
        <v>100</v>
      </c>
      <c r="I2685" s="18"/>
    </row>
    <row r="2686" spans="1:9">
      <c r="A2686" s="943" t="s">
        <v>81</v>
      </c>
      <c r="B2686" s="944">
        <v>945.303</v>
      </c>
      <c r="C2686" s="944" t="s">
        <v>3515</v>
      </c>
      <c r="D2686" s="943" t="s">
        <v>17</v>
      </c>
      <c r="E2686" s="945">
        <v>5</v>
      </c>
      <c r="F2686" s="945">
        <v>1</v>
      </c>
      <c r="G2686" s="946">
        <v>100</v>
      </c>
      <c r="H2686" s="946">
        <v>100</v>
      </c>
    </row>
    <row r="2687" spans="1:9" s="26" customFormat="1">
      <c r="A2687" s="947" t="s">
        <v>81</v>
      </c>
      <c r="B2687" s="948">
        <v>945.71</v>
      </c>
      <c r="C2687" s="948" t="s">
        <v>651</v>
      </c>
      <c r="D2687" s="947" t="s">
        <v>17</v>
      </c>
      <c r="E2687" s="950">
        <v>440</v>
      </c>
      <c r="F2687" s="950">
        <v>1</v>
      </c>
      <c r="G2687" s="951">
        <v>24</v>
      </c>
      <c r="H2687" s="951">
        <v>27</v>
      </c>
      <c r="I2687" s="18"/>
    </row>
    <row r="2688" spans="1:9">
      <c r="A2688" s="943" t="s">
        <v>81</v>
      </c>
      <c r="B2688" s="944">
        <v>945.72</v>
      </c>
      <c r="C2688" s="944" t="s">
        <v>652</v>
      </c>
      <c r="D2688" s="943" t="s">
        <v>2</v>
      </c>
      <c r="E2688" s="945">
        <v>6</v>
      </c>
      <c r="F2688" s="945">
        <v>1</v>
      </c>
      <c r="G2688" s="946">
        <v>3500</v>
      </c>
      <c r="H2688" s="946">
        <v>3333.33</v>
      </c>
    </row>
    <row r="2689" spans="1:9" s="26" customFormat="1">
      <c r="A2689" s="947" t="s">
        <v>81</v>
      </c>
      <c r="B2689" s="948">
        <v>948.3</v>
      </c>
      <c r="C2689" s="948" t="s">
        <v>3567</v>
      </c>
      <c r="D2689" s="947" t="s">
        <v>2</v>
      </c>
      <c r="E2689" s="950">
        <v>4</v>
      </c>
      <c r="F2689" s="950">
        <v>1</v>
      </c>
      <c r="G2689" s="951">
        <v>87500</v>
      </c>
      <c r="H2689" s="951">
        <v>100000</v>
      </c>
      <c r="I2689" s="18"/>
    </row>
    <row r="2690" spans="1:9">
      <c r="A2690" s="943" t="s">
        <v>81</v>
      </c>
      <c r="B2690" s="944">
        <v>948.41</v>
      </c>
      <c r="C2690" s="944" t="s">
        <v>654</v>
      </c>
      <c r="D2690" s="943" t="s">
        <v>2</v>
      </c>
      <c r="E2690" s="945">
        <v>38</v>
      </c>
      <c r="F2690" s="945">
        <v>2</v>
      </c>
      <c r="G2690" s="946">
        <v>10000</v>
      </c>
      <c r="H2690" s="946">
        <v>9770.83</v>
      </c>
    </row>
    <row r="2691" spans="1:9" s="26" customFormat="1">
      <c r="A2691" s="947" t="s">
        <v>81</v>
      </c>
      <c r="B2691" s="948">
        <v>948.5</v>
      </c>
      <c r="C2691" s="948" t="s">
        <v>655</v>
      </c>
      <c r="D2691" s="947" t="s">
        <v>2</v>
      </c>
      <c r="E2691" s="950">
        <v>167</v>
      </c>
      <c r="F2691" s="950">
        <v>2</v>
      </c>
      <c r="G2691" s="951">
        <v>250</v>
      </c>
      <c r="H2691" s="951">
        <v>231.67</v>
      </c>
      <c r="I2691" s="18"/>
    </row>
    <row r="2692" spans="1:9">
      <c r="A2692" s="943" t="s">
        <v>81</v>
      </c>
      <c r="B2692" s="944">
        <v>950.1</v>
      </c>
      <c r="C2692" s="944" t="s">
        <v>656</v>
      </c>
      <c r="D2692" s="943" t="s">
        <v>22</v>
      </c>
      <c r="E2692" s="945">
        <v>5</v>
      </c>
      <c r="F2692" s="945">
        <v>2</v>
      </c>
      <c r="G2692" s="946">
        <v>150000</v>
      </c>
      <c r="H2692" s="946">
        <v>122000.02</v>
      </c>
    </row>
    <row r="2693" spans="1:9" s="26" customFormat="1">
      <c r="A2693" s="947" t="s">
        <v>81</v>
      </c>
      <c r="B2693" s="948">
        <v>955</v>
      </c>
      <c r="C2693" s="948" t="s">
        <v>657</v>
      </c>
      <c r="D2693" s="947" t="s">
        <v>658</v>
      </c>
      <c r="E2693" s="950">
        <v>116</v>
      </c>
      <c r="F2693" s="950">
        <v>2</v>
      </c>
      <c r="G2693" s="951">
        <v>8800</v>
      </c>
      <c r="H2693" s="951">
        <v>13337.2</v>
      </c>
      <c r="I2693" s="18"/>
    </row>
    <row r="2694" spans="1:9">
      <c r="A2694" s="943" t="s">
        <v>81</v>
      </c>
      <c r="B2694" s="944">
        <v>961.20100000000002</v>
      </c>
      <c r="C2694" s="944" t="s">
        <v>660</v>
      </c>
      <c r="D2694" s="943" t="s">
        <v>22</v>
      </c>
      <c r="E2694" s="945">
        <v>22</v>
      </c>
      <c r="F2694" s="945">
        <v>9</v>
      </c>
      <c r="G2694" s="946">
        <v>942500</v>
      </c>
      <c r="H2694" s="946">
        <v>849691.59</v>
      </c>
    </row>
    <row r="2695" spans="1:9" s="26" customFormat="1">
      <c r="A2695" s="947" t="s">
        <v>81</v>
      </c>
      <c r="B2695" s="948">
        <v>961.202</v>
      </c>
      <c r="C2695" s="948" t="s">
        <v>660</v>
      </c>
      <c r="D2695" s="947" t="s">
        <v>22</v>
      </c>
      <c r="E2695" s="950">
        <v>22</v>
      </c>
      <c r="F2695" s="950">
        <v>7</v>
      </c>
      <c r="G2695" s="951">
        <v>735500</v>
      </c>
      <c r="H2695" s="951">
        <v>728415.91</v>
      </c>
      <c r="I2695" s="18"/>
    </row>
    <row r="2696" spans="1:9">
      <c r="A2696" s="943" t="s">
        <v>81</v>
      </c>
      <c r="B2696" s="944">
        <v>961.20299999999997</v>
      </c>
      <c r="C2696" s="944" t="s">
        <v>661</v>
      </c>
      <c r="D2696" s="943" t="s">
        <v>22</v>
      </c>
      <c r="E2696" s="945">
        <v>12</v>
      </c>
      <c r="F2696" s="945">
        <v>6</v>
      </c>
      <c r="G2696" s="946">
        <v>653000</v>
      </c>
      <c r="H2696" s="946">
        <v>658958.32999999996</v>
      </c>
    </row>
    <row r="2697" spans="1:9" s="26" customFormat="1">
      <c r="A2697" s="947" t="s">
        <v>81</v>
      </c>
      <c r="B2697" s="948">
        <v>961.20399999999995</v>
      </c>
      <c r="C2697" s="948" t="s">
        <v>660</v>
      </c>
      <c r="D2697" s="947" t="s">
        <v>22</v>
      </c>
      <c r="E2697" s="950">
        <v>14</v>
      </c>
      <c r="F2697" s="950">
        <v>5</v>
      </c>
      <c r="G2697" s="951">
        <v>565000</v>
      </c>
      <c r="H2697" s="951">
        <v>589885.71</v>
      </c>
      <c r="I2697" s="18"/>
    </row>
    <row r="2698" spans="1:9">
      <c r="A2698" s="943" t="s">
        <v>81</v>
      </c>
      <c r="B2698" s="944">
        <v>961.20500000000004</v>
      </c>
      <c r="C2698" s="944" t="s">
        <v>662</v>
      </c>
      <c r="D2698" s="943" t="s">
        <v>22</v>
      </c>
      <c r="E2698" s="945">
        <v>5</v>
      </c>
      <c r="F2698" s="945">
        <v>2</v>
      </c>
      <c r="G2698" s="946">
        <v>497000</v>
      </c>
      <c r="H2698" s="946">
        <v>490800</v>
      </c>
    </row>
    <row r="2699" spans="1:9" s="26" customFormat="1">
      <c r="A2699" s="947" t="s">
        <v>81</v>
      </c>
      <c r="B2699" s="948">
        <v>961.20600000000002</v>
      </c>
      <c r="C2699" s="948" t="s">
        <v>662</v>
      </c>
      <c r="D2699" s="947" t="s">
        <v>22</v>
      </c>
      <c r="E2699" s="950">
        <v>5</v>
      </c>
      <c r="F2699" s="950">
        <v>2</v>
      </c>
      <c r="G2699" s="951">
        <v>615000</v>
      </c>
      <c r="H2699" s="951">
        <v>632400</v>
      </c>
      <c r="I2699" s="18"/>
    </row>
    <row r="2700" spans="1:9">
      <c r="A2700" s="943" t="s">
        <v>81</v>
      </c>
      <c r="B2700" s="944">
        <v>961.20699999999999</v>
      </c>
      <c r="C2700" s="944" t="s">
        <v>662</v>
      </c>
      <c r="D2700" s="943" t="s">
        <v>22</v>
      </c>
      <c r="E2700" s="945">
        <v>3</v>
      </c>
      <c r="F2700" s="945">
        <v>1</v>
      </c>
      <c r="G2700" s="946">
        <v>675000</v>
      </c>
      <c r="H2700" s="946">
        <v>726666.67</v>
      </c>
    </row>
    <row r="2701" spans="1:9" s="26" customFormat="1">
      <c r="A2701" s="947" t="s">
        <v>81</v>
      </c>
      <c r="B2701" s="948">
        <v>961.20799999999997</v>
      </c>
      <c r="C2701" s="948" t="s">
        <v>662</v>
      </c>
      <c r="D2701" s="947" t="s">
        <v>22</v>
      </c>
      <c r="E2701" s="950">
        <v>3</v>
      </c>
      <c r="F2701" s="950">
        <v>1</v>
      </c>
      <c r="G2701" s="951">
        <v>480000</v>
      </c>
      <c r="H2701" s="951">
        <v>475833.33</v>
      </c>
      <c r="I2701" s="18"/>
    </row>
    <row r="2702" spans="1:9">
      <c r="A2702" s="943" t="s">
        <v>81</v>
      </c>
      <c r="B2702" s="944">
        <v>961.20899999999995</v>
      </c>
      <c r="C2702" s="944" t="s">
        <v>662</v>
      </c>
      <c r="D2702" s="943" t="s">
        <v>22</v>
      </c>
      <c r="E2702" s="945">
        <v>3</v>
      </c>
      <c r="F2702" s="945">
        <v>1</v>
      </c>
      <c r="G2702" s="946">
        <v>450000</v>
      </c>
      <c r="H2702" s="946">
        <v>446999.88</v>
      </c>
    </row>
    <row r="2703" spans="1:9" s="26" customFormat="1">
      <c r="A2703" s="947" t="s">
        <v>81</v>
      </c>
      <c r="B2703" s="948">
        <v>961.21</v>
      </c>
      <c r="C2703" s="948" t="s">
        <v>662</v>
      </c>
      <c r="D2703" s="947" t="s">
        <v>22</v>
      </c>
      <c r="E2703" s="950">
        <v>3</v>
      </c>
      <c r="F2703" s="950">
        <v>1</v>
      </c>
      <c r="G2703" s="951">
        <v>430000</v>
      </c>
      <c r="H2703" s="951">
        <v>410000</v>
      </c>
      <c r="I2703" s="18"/>
    </row>
    <row r="2704" spans="1:9">
      <c r="A2704" s="943" t="s">
        <v>81</v>
      </c>
      <c r="B2704" s="944">
        <v>964.1</v>
      </c>
      <c r="C2704" s="944" t="s">
        <v>663</v>
      </c>
      <c r="D2704" s="943" t="s">
        <v>3</v>
      </c>
      <c r="E2704" s="952">
        <v>80520</v>
      </c>
      <c r="F2704" s="945">
        <v>4</v>
      </c>
      <c r="G2704" s="946">
        <v>7</v>
      </c>
      <c r="H2704" s="946">
        <v>11.18</v>
      </c>
    </row>
    <row r="2705" spans="1:9" s="26" customFormat="1">
      <c r="A2705" s="947" t="s">
        <v>81</v>
      </c>
      <c r="B2705" s="948">
        <v>964.7</v>
      </c>
      <c r="C2705" s="948" t="s">
        <v>664</v>
      </c>
      <c r="D2705" s="947" t="s">
        <v>3</v>
      </c>
      <c r="E2705" s="950">
        <v>562</v>
      </c>
      <c r="F2705" s="950">
        <v>2</v>
      </c>
      <c r="G2705" s="951">
        <v>100</v>
      </c>
      <c r="H2705" s="951">
        <v>78.75</v>
      </c>
      <c r="I2705" s="18"/>
    </row>
    <row r="2706" spans="1:9">
      <c r="A2706" s="943" t="s">
        <v>81</v>
      </c>
      <c r="B2706" s="944">
        <v>965</v>
      </c>
      <c r="C2706" s="944" t="s">
        <v>665</v>
      </c>
      <c r="D2706" s="943" t="s">
        <v>3</v>
      </c>
      <c r="E2706" s="952">
        <v>98500</v>
      </c>
      <c r="F2706" s="945">
        <v>1</v>
      </c>
      <c r="G2706" s="946">
        <v>10</v>
      </c>
      <c r="H2706" s="946">
        <v>10.7</v>
      </c>
    </row>
    <row r="2707" spans="1:9" s="26" customFormat="1">
      <c r="A2707" s="947" t="s">
        <v>81</v>
      </c>
      <c r="B2707" s="948">
        <v>966</v>
      </c>
      <c r="C2707" s="948" t="s">
        <v>1466</v>
      </c>
      <c r="D2707" s="947" t="s">
        <v>3</v>
      </c>
      <c r="E2707" s="949">
        <v>527945</v>
      </c>
      <c r="F2707" s="950">
        <v>14</v>
      </c>
      <c r="G2707" s="951">
        <v>5.3</v>
      </c>
      <c r="H2707" s="951">
        <v>6.93</v>
      </c>
      <c r="I2707" s="18"/>
    </row>
    <row r="2708" spans="1:9">
      <c r="A2708" s="943" t="s">
        <v>81</v>
      </c>
      <c r="B2708" s="944">
        <v>968.4</v>
      </c>
      <c r="C2708" s="944" t="s">
        <v>1468</v>
      </c>
      <c r="D2708" s="943" t="s">
        <v>2</v>
      </c>
      <c r="E2708" s="945">
        <v>8</v>
      </c>
      <c r="F2708" s="945">
        <v>1</v>
      </c>
      <c r="G2708" s="946">
        <v>2835</v>
      </c>
      <c r="H2708" s="946">
        <v>2835</v>
      </c>
    </row>
    <row r="2709" spans="1:9" s="26" customFormat="1">
      <c r="A2709" s="947" t="s">
        <v>81</v>
      </c>
      <c r="B2709" s="948">
        <v>970</v>
      </c>
      <c r="C2709" s="948" t="s">
        <v>3585</v>
      </c>
      <c r="D2709" s="947" t="s">
        <v>3</v>
      </c>
      <c r="E2709" s="949">
        <v>4000</v>
      </c>
      <c r="F2709" s="950">
        <v>2</v>
      </c>
      <c r="G2709" s="951">
        <v>11</v>
      </c>
      <c r="H2709" s="951">
        <v>10.07</v>
      </c>
      <c r="I2709" s="18"/>
    </row>
    <row r="2710" spans="1:9">
      <c r="A2710" s="943" t="s">
        <v>81</v>
      </c>
      <c r="B2710" s="944">
        <v>971</v>
      </c>
      <c r="C2710" s="944" t="s">
        <v>667</v>
      </c>
      <c r="D2710" s="943" t="s">
        <v>17</v>
      </c>
      <c r="E2710" s="945">
        <v>400</v>
      </c>
      <c r="F2710" s="945">
        <v>1</v>
      </c>
      <c r="G2710" s="946">
        <v>347.5</v>
      </c>
      <c r="H2710" s="946">
        <v>342.5</v>
      </c>
    </row>
    <row r="2711" spans="1:9" s="26" customFormat="1">
      <c r="A2711" s="947" t="s">
        <v>81</v>
      </c>
      <c r="B2711" s="948">
        <v>974.1</v>
      </c>
      <c r="C2711" s="948" t="s">
        <v>3586</v>
      </c>
      <c r="D2711" s="947" t="s">
        <v>17</v>
      </c>
      <c r="E2711" s="950">
        <v>860</v>
      </c>
      <c r="F2711" s="950">
        <v>1</v>
      </c>
      <c r="G2711" s="951">
        <v>232.5</v>
      </c>
      <c r="H2711" s="951">
        <v>232.5</v>
      </c>
      <c r="I2711" s="18"/>
    </row>
    <row r="2712" spans="1:9">
      <c r="A2712" s="943" t="s">
        <v>81</v>
      </c>
      <c r="B2712" s="944">
        <v>975.1</v>
      </c>
      <c r="C2712" s="944" t="s">
        <v>3588</v>
      </c>
      <c r="D2712" s="943" t="s">
        <v>17</v>
      </c>
      <c r="E2712" s="945">
        <v>110</v>
      </c>
      <c r="F2712" s="945">
        <v>1</v>
      </c>
      <c r="G2712" s="946">
        <v>1300</v>
      </c>
      <c r="H2712" s="946">
        <v>1297</v>
      </c>
    </row>
    <row r="2713" spans="1:9" s="26" customFormat="1">
      <c r="A2713" s="947" t="s">
        <v>81</v>
      </c>
      <c r="B2713" s="948">
        <v>983</v>
      </c>
      <c r="C2713" s="948" t="s">
        <v>671</v>
      </c>
      <c r="D2713" s="947" t="s">
        <v>7</v>
      </c>
      <c r="E2713" s="949">
        <v>6601</v>
      </c>
      <c r="F2713" s="950">
        <v>8</v>
      </c>
      <c r="G2713" s="951">
        <v>100</v>
      </c>
      <c r="H2713" s="951">
        <v>101.51</v>
      </c>
      <c r="I2713" s="18"/>
    </row>
    <row r="2714" spans="1:9">
      <c r="A2714" s="943" t="s">
        <v>81</v>
      </c>
      <c r="B2714" s="944">
        <v>983.01</v>
      </c>
      <c r="C2714" s="944" t="s">
        <v>671</v>
      </c>
      <c r="D2714" s="943" t="s">
        <v>4</v>
      </c>
      <c r="E2714" s="945">
        <v>360</v>
      </c>
      <c r="F2714" s="945">
        <v>1</v>
      </c>
      <c r="G2714" s="946">
        <v>140</v>
      </c>
      <c r="H2714" s="946">
        <v>137.5</v>
      </c>
    </row>
    <row r="2715" spans="1:9" s="26" customFormat="1">
      <c r="A2715" s="947" t="s">
        <v>81</v>
      </c>
      <c r="B2715" s="948">
        <v>983.1</v>
      </c>
      <c r="C2715" s="948" t="s">
        <v>672</v>
      </c>
      <c r="D2715" s="947" t="s">
        <v>7</v>
      </c>
      <c r="E2715" s="949">
        <v>6946</v>
      </c>
      <c r="F2715" s="950">
        <v>7</v>
      </c>
      <c r="G2715" s="951">
        <v>95.5</v>
      </c>
      <c r="H2715" s="951">
        <v>98.8</v>
      </c>
      <c r="I2715" s="18"/>
    </row>
    <row r="2716" spans="1:9">
      <c r="A2716" s="943" t="s">
        <v>81</v>
      </c>
      <c r="B2716" s="944">
        <v>983.11</v>
      </c>
      <c r="C2716" s="944" t="s">
        <v>673</v>
      </c>
      <c r="D2716" s="943" t="s">
        <v>7</v>
      </c>
      <c r="E2716" s="952">
        <v>2920</v>
      </c>
      <c r="F2716" s="945">
        <v>2</v>
      </c>
      <c r="G2716" s="946">
        <v>100</v>
      </c>
      <c r="H2716" s="946">
        <v>110.29</v>
      </c>
    </row>
    <row r="2717" spans="1:9" s="26" customFormat="1">
      <c r="A2717" s="947" t="s">
        <v>81</v>
      </c>
      <c r="B2717" s="948">
        <v>983.3</v>
      </c>
      <c r="C2717" s="948" t="s">
        <v>674</v>
      </c>
      <c r="D2717" s="947" t="s">
        <v>4</v>
      </c>
      <c r="E2717" s="950">
        <v>112</v>
      </c>
      <c r="F2717" s="950">
        <v>1</v>
      </c>
      <c r="G2717" s="951">
        <v>182.5</v>
      </c>
      <c r="H2717" s="951">
        <v>182.5</v>
      </c>
      <c r="I2717" s="18"/>
    </row>
    <row r="2718" spans="1:9">
      <c r="A2718" s="943" t="s">
        <v>81</v>
      </c>
      <c r="B2718" s="944">
        <v>985.01</v>
      </c>
      <c r="C2718" s="944" t="s">
        <v>1531</v>
      </c>
      <c r="D2718" s="943" t="s">
        <v>1</v>
      </c>
      <c r="E2718" s="952">
        <v>1100</v>
      </c>
      <c r="F2718" s="945">
        <v>1</v>
      </c>
      <c r="G2718" s="946">
        <v>225</v>
      </c>
      <c r="H2718" s="946">
        <v>182</v>
      </c>
    </row>
    <row r="2719" spans="1:9" s="26" customFormat="1">
      <c r="A2719" s="947" t="s">
        <v>81</v>
      </c>
      <c r="B2719" s="948">
        <v>986</v>
      </c>
      <c r="C2719" s="948" t="s">
        <v>675</v>
      </c>
      <c r="D2719" s="947" t="s">
        <v>7</v>
      </c>
      <c r="E2719" s="949">
        <v>24637</v>
      </c>
      <c r="F2719" s="950">
        <v>22</v>
      </c>
      <c r="G2719" s="951">
        <v>100</v>
      </c>
      <c r="H2719" s="951">
        <v>96.86</v>
      </c>
      <c r="I2719" s="18"/>
    </row>
    <row r="2720" spans="1:9">
      <c r="A2720" s="943" t="s">
        <v>81</v>
      </c>
      <c r="B2720" s="944">
        <v>986.1</v>
      </c>
      <c r="C2720" s="944" t="s">
        <v>675</v>
      </c>
      <c r="D2720" s="943" t="s">
        <v>1</v>
      </c>
      <c r="E2720" s="945">
        <v>775</v>
      </c>
      <c r="F2720" s="945">
        <v>1</v>
      </c>
      <c r="G2720" s="946">
        <v>120</v>
      </c>
      <c r="H2720" s="946">
        <v>109</v>
      </c>
    </row>
    <row r="2721" spans="1:9" s="26" customFormat="1">
      <c r="A2721" s="947" t="s">
        <v>81</v>
      </c>
      <c r="B2721" s="948">
        <v>986.2</v>
      </c>
      <c r="C2721" s="948" t="s">
        <v>675</v>
      </c>
      <c r="D2721" s="947" t="s">
        <v>4</v>
      </c>
      <c r="E2721" s="950">
        <v>4</v>
      </c>
      <c r="F2721" s="950">
        <v>1</v>
      </c>
      <c r="G2721" s="951">
        <v>577.5</v>
      </c>
      <c r="H2721" s="951">
        <v>577.5</v>
      </c>
      <c r="I2721" s="18"/>
    </row>
    <row r="2722" spans="1:9">
      <c r="A2722" s="943" t="s">
        <v>81</v>
      </c>
      <c r="B2722" s="944">
        <v>987</v>
      </c>
      <c r="C2722" s="944" t="s">
        <v>1433</v>
      </c>
      <c r="D2722" s="943" t="s">
        <v>1</v>
      </c>
      <c r="E2722" s="952">
        <v>1580</v>
      </c>
      <c r="F2722" s="945">
        <v>6</v>
      </c>
      <c r="G2722" s="946">
        <v>157.5</v>
      </c>
      <c r="H2722" s="946">
        <v>146.5</v>
      </c>
    </row>
    <row r="2723" spans="1:9" s="26" customFormat="1">
      <c r="A2723" s="947" t="s">
        <v>81</v>
      </c>
      <c r="B2723" s="948">
        <v>987.02</v>
      </c>
      <c r="C2723" s="948" t="s">
        <v>676</v>
      </c>
      <c r="D2723" s="947" t="s">
        <v>1</v>
      </c>
      <c r="E2723" s="949">
        <v>1590</v>
      </c>
      <c r="F2723" s="950">
        <v>5</v>
      </c>
      <c r="G2723" s="951">
        <v>190</v>
      </c>
      <c r="H2723" s="951">
        <v>189.78</v>
      </c>
      <c r="I2723" s="18"/>
    </row>
    <row r="2724" spans="1:9">
      <c r="A2724" s="943" t="s">
        <v>81</v>
      </c>
      <c r="B2724" s="944">
        <v>987.3</v>
      </c>
      <c r="C2724" s="944" t="s">
        <v>677</v>
      </c>
      <c r="D2724" s="943" t="s">
        <v>1</v>
      </c>
      <c r="E2724" s="945">
        <v>255</v>
      </c>
      <c r="F2724" s="945">
        <v>1</v>
      </c>
      <c r="G2724" s="946">
        <v>300</v>
      </c>
      <c r="H2724" s="946">
        <v>294</v>
      </c>
    </row>
    <row r="2725" spans="1:9" s="26" customFormat="1">
      <c r="A2725" s="947" t="s">
        <v>81</v>
      </c>
      <c r="B2725" s="948">
        <v>989.2</v>
      </c>
      <c r="C2725" s="948" t="s">
        <v>3607</v>
      </c>
      <c r="D2725" s="947" t="s">
        <v>22</v>
      </c>
      <c r="E2725" s="950">
        <v>5</v>
      </c>
      <c r="F2725" s="950">
        <v>1</v>
      </c>
      <c r="G2725" s="951">
        <v>20000</v>
      </c>
      <c r="H2725" s="951">
        <v>19700</v>
      </c>
      <c r="I2725" s="18"/>
    </row>
    <row r="2726" spans="1:9">
      <c r="A2726" s="943" t="s">
        <v>81</v>
      </c>
      <c r="B2726" s="944">
        <v>991.1</v>
      </c>
      <c r="C2726" s="944" t="s">
        <v>678</v>
      </c>
      <c r="D2726" s="943" t="s">
        <v>22</v>
      </c>
      <c r="E2726" s="945">
        <v>54</v>
      </c>
      <c r="F2726" s="945">
        <v>15</v>
      </c>
      <c r="G2726" s="946">
        <v>200000</v>
      </c>
      <c r="H2726" s="946">
        <v>203596.96</v>
      </c>
    </row>
    <row r="2727" spans="1:9" s="26" customFormat="1">
      <c r="A2727" s="947" t="s">
        <v>81</v>
      </c>
      <c r="B2727" s="948">
        <v>991.2</v>
      </c>
      <c r="C2727" s="948" t="s">
        <v>678</v>
      </c>
      <c r="D2727" s="947" t="s">
        <v>22</v>
      </c>
      <c r="E2727" s="950">
        <v>6</v>
      </c>
      <c r="F2727" s="950">
        <v>2</v>
      </c>
      <c r="G2727" s="951">
        <v>70000</v>
      </c>
      <c r="H2727" s="951">
        <v>61391.67</v>
      </c>
      <c r="I2727" s="18"/>
    </row>
    <row r="2728" spans="1:9">
      <c r="A2728" s="943" t="s">
        <v>81</v>
      </c>
      <c r="B2728" s="944">
        <v>992.1</v>
      </c>
      <c r="C2728" s="944" t="s">
        <v>679</v>
      </c>
      <c r="D2728" s="943" t="s">
        <v>22</v>
      </c>
      <c r="E2728" s="945">
        <v>7</v>
      </c>
      <c r="F2728" s="945">
        <v>2</v>
      </c>
      <c r="G2728" s="946">
        <v>700000</v>
      </c>
      <c r="H2728" s="946">
        <v>760709.98</v>
      </c>
    </row>
    <row r="2729" spans="1:9" s="26" customFormat="1">
      <c r="A2729" s="947" t="s">
        <v>81</v>
      </c>
      <c r="B2729" s="948">
        <v>992.3</v>
      </c>
      <c r="C2729" s="948" t="s">
        <v>1434</v>
      </c>
      <c r="D2729" s="947" t="s">
        <v>22</v>
      </c>
      <c r="E2729" s="950">
        <v>5</v>
      </c>
      <c r="F2729" s="950">
        <v>1</v>
      </c>
      <c r="G2729" s="951">
        <v>55000</v>
      </c>
      <c r="H2729" s="951">
        <v>48000</v>
      </c>
      <c r="I2729" s="18"/>
    </row>
    <row r="2730" spans="1:9">
      <c r="A2730" s="943" t="s">
        <v>81</v>
      </c>
      <c r="B2730" s="944">
        <v>993.1</v>
      </c>
      <c r="C2730" s="944" t="s">
        <v>681</v>
      </c>
      <c r="D2730" s="943" t="s">
        <v>22</v>
      </c>
      <c r="E2730" s="945">
        <v>13</v>
      </c>
      <c r="F2730" s="945">
        <v>3</v>
      </c>
      <c r="G2730" s="946">
        <v>458961.25</v>
      </c>
      <c r="H2730" s="946">
        <v>371609.42</v>
      </c>
    </row>
    <row r="2731" spans="1:9" s="26" customFormat="1">
      <c r="A2731" s="947" t="s">
        <v>81</v>
      </c>
      <c r="B2731" s="948">
        <v>994.01</v>
      </c>
      <c r="C2731" s="948" t="s">
        <v>682</v>
      </c>
      <c r="D2731" s="947" t="s">
        <v>22</v>
      </c>
      <c r="E2731" s="950">
        <v>38</v>
      </c>
      <c r="F2731" s="950">
        <v>8</v>
      </c>
      <c r="G2731" s="951">
        <v>55000</v>
      </c>
      <c r="H2731" s="951">
        <v>51685.03</v>
      </c>
      <c r="I2731" s="18"/>
    </row>
    <row r="2732" spans="1:9">
      <c r="A2732" s="943" t="s">
        <v>81</v>
      </c>
      <c r="B2732" s="944">
        <v>994.1</v>
      </c>
      <c r="C2732" s="944" t="s">
        <v>683</v>
      </c>
      <c r="D2732" s="943" t="s">
        <v>3</v>
      </c>
      <c r="E2732" s="952">
        <v>367190</v>
      </c>
      <c r="F2732" s="945">
        <v>34</v>
      </c>
      <c r="G2732" s="946">
        <v>13.1</v>
      </c>
      <c r="H2732" s="946">
        <v>12.77</v>
      </c>
    </row>
    <row r="2733" spans="1:9" s="26" customFormat="1">
      <c r="A2733" s="947" t="s">
        <v>81</v>
      </c>
      <c r="B2733" s="948">
        <v>994.2</v>
      </c>
      <c r="C2733" s="948" t="s">
        <v>3616</v>
      </c>
      <c r="D2733" s="947" t="s">
        <v>3</v>
      </c>
      <c r="E2733" s="949">
        <v>29200</v>
      </c>
      <c r="F2733" s="950">
        <v>3</v>
      </c>
      <c r="G2733" s="951">
        <v>11.15</v>
      </c>
      <c r="H2733" s="951">
        <v>11.31</v>
      </c>
      <c r="I2733" s="18"/>
    </row>
    <row r="2734" spans="1:9">
      <c r="A2734" s="943" t="s">
        <v>81</v>
      </c>
      <c r="B2734" s="944">
        <v>994.3</v>
      </c>
      <c r="C2734" s="944" t="s">
        <v>3617</v>
      </c>
      <c r="D2734" s="943" t="s">
        <v>3</v>
      </c>
      <c r="E2734" s="952">
        <v>11700</v>
      </c>
      <c r="F2734" s="945">
        <v>2</v>
      </c>
      <c r="G2734" s="946">
        <v>5</v>
      </c>
      <c r="H2734" s="946">
        <v>6.2</v>
      </c>
    </row>
    <row r="2735" spans="1:9" s="26" customFormat="1">
      <c r="A2735" s="947" t="s">
        <v>81</v>
      </c>
      <c r="B2735" s="948">
        <v>995</v>
      </c>
      <c r="C2735" s="948" t="s">
        <v>684</v>
      </c>
      <c r="D2735" s="947" t="s">
        <v>22</v>
      </c>
      <c r="E2735" s="950">
        <v>7</v>
      </c>
      <c r="F2735" s="950">
        <v>1</v>
      </c>
      <c r="G2735" s="951">
        <v>2898825</v>
      </c>
      <c r="H2735" s="951">
        <v>3261635.71</v>
      </c>
      <c r="I2735" s="18"/>
    </row>
    <row r="2736" spans="1:9">
      <c r="A2736" s="943" t="s">
        <v>81</v>
      </c>
      <c r="B2736" s="944">
        <v>995.01</v>
      </c>
      <c r="C2736" s="944" t="s">
        <v>685</v>
      </c>
      <c r="D2736" s="943" t="s">
        <v>22</v>
      </c>
      <c r="E2736" s="945">
        <v>65</v>
      </c>
      <c r="F2736" s="945">
        <v>11</v>
      </c>
      <c r="G2736" s="946">
        <v>1332800</v>
      </c>
      <c r="H2736" s="946">
        <v>1263387.51</v>
      </c>
    </row>
    <row r="2737" spans="1:9" s="26" customFormat="1">
      <c r="A2737" s="947" t="s">
        <v>81</v>
      </c>
      <c r="B2737" s="948">
        <v>995.01099999999997</v>
      </c>
      <c r="C2737" s="948" t="s">
        <v>686</v>
      </c>
      <c r="D2737" s="947" t="s">
        <v>22</v>
      </c>
      <c r="E2737" s="950">
        <v>8</v>
      </c>
      <c r="F2737" s="950">
        <v>1</v>
      </c>
      <c r="G2737" s="951">
        <v>380000</v>
      </c>
      <c r="H2737" s="951">
        <v>373875</v>
      </c>
      <c r="I2737" s="18"/>
    </row>
    <row r="2738" spans="1:9">
      <c r="A2738" s="943" t="s">
        <v>81</v>
      </c>
      <c r="B2738" s="944">
        <v>995.02099999999996</v>
      </c>
      <c r="C2738" s="944" t="s">
        <v>4068</v>
      </c>
      <c r="D2738" s="943" t="s">
        <v>22</v>
      </c>
      <c r="E2738" s="945">
        <v>8</v>
      </c>
      <c r="F2738" s="945">
        <v>1</v>
      </c>
      <c r="G2738" s="946">
        <v>495000</v>
      </c>
      <c r="H2738" s="946">
        <v>491250</v>
      </c>
    </row>
    <row r="2739" spans="1:9" s="26" customFormat="1">
      <c r="A2739" s="947" t="s">
        <v>81</v>
      </c>
      <c r="B2739" s="948">
        <v>995.03</v>
      </c>
      <c r="C2739" s="948" t="s">
        <v>687</v>
      </c>
      <c r="D2739" s="947" t="s">
        <v>22</v>
      </c>
      <c r="E2739" s="950">
        <v>3</v>
      </c>
      <c r="F2739" s="950">
        <v>1</v>
      </c>
      <c r="G2739" s="951">
        <v>14000000</v>
      </c>
      <c r="H2739" s="951">
        <v>13666666.67</v>
      </c>
      <c r="I2739" s="18"/>
    </row>
    <row r="2740" spans="1:9">
      <c r="A2740" s="943" t="s">
        <v>81</v>
      </c>
      <c r="B2740" s="944">
        <v>996.01</v>
      </c>
      <c r="C2740" s="944" t="s">
        <v>688</v>
      </c>
      <c r="D2740" s="943" t="s">
        <v>22</v>
      </c>
      <c r="E2740" s="945">
        <v>17</v>
      </c>
      <c r="F2740" s="945">
        <v>6</v>
      </c>
      <c r="G2740" s="946">
        <v>811767.5</v>
      </c>
      <c r="H2740" s="946">
        <v>794446.97</v>
      </c>
    </row>
    <row r="2741" spans="1:9" s="26" customFormat="1">
      <c r="A2741" s="947" t="s">
        <v>81</v>
      </c>
      <c r="B2741" s="948">
        <v>996.02</v>
      </c>
      <c r="C2741" s="948" t="s">
        <v>688</v>
      </c>
      <c r="D2741" s="947" t="s">
        <v>22</v>
      </c>
      <c r="E2741" s="950">
        <v>8</v>
      </c>
      <c r="F2741" s="950">
        <v>2</v>
      </c>
      <c r="G2741" s="951">
        <v>622500</v>
      </c>
      <c r="H2741" s="951">
        <v>574375</v>
      </c>
      <c r="I2741" s="18"/>
    </row>
    <row r="2742" spans="1:9">
      <c r="A2742" s="943" t="s">
        <v>81</v>
      </c>
      <c r="B2742" s="944">
        <v>996.31</v>
      </c>
      <c r="C2742" s="944" t="s">
        <v>3627</v>
      </c>
      <c r="D2742" s="943" t="s">
        <v>1</v>
      </c>
      <c r="E2742" s="945">
        <v>300</v>
      </c>
      <c r="F2742" s="945">
        <v>1</v>
      </c>
      <c r="G2742" s="946">
        <v>230</v>
      </c>
      <c r="H2742" s="946">
        <v>220</v>
      </c>
    </row>
    <row r="2743" spans="1:9" s="26" customFormat="1">
      <c r="A2743" s="947">
        <v>1</v>
      </c>
      <c r="B2743" s="948">
        <v>100</v>
      </c>
      <c r="C2743" s="948" t="s">
        <v>51</v>
      </c>
      <c r="D2743" s="947" t="s">
        <v>22</v>
      </c>
      <c r="E2743" s="950">
        <v>35</v>
      </c>
      <c r="F2743" s="950">
        <v>6</v>
      </c>
      <c r="G2743" s="951">
        <v>29500</v>
      </c>
      <c r="H2743" s="951">
        <v>28828.57</v>
      </c>
      <c r="I2743" s="18"/>
    </row>
    <row r="2744" spans="1:9">
      <c r="A2744" s="943">
        <v>1</v>
      </c>
      <c r="B2744" s="944">
        <v>100.002</v>
      </c>
      <c r="C2744" s="944" t="s">
        <v>83</v>
      </c>
      <c r="D2744" s="943" t="s">
        <v>24</v>
      </c>
      <c r="E2744" s="945">
        <v>672</v>
      </c>
      <c r="F2744" s="945">
        <v>3</v>
      </c>
      <c r="G2744" s="946">
        <v>121</v>
      </c>
      <c r="H2744" s="946">
        <v>120.09</v>
      </c>
    </row>
    <row r="2745" spans="1:9" s="26" customFormat="1">
      <c r="A2745" s="947">
        <v>1</v>
      </c>
      <c r="B2745" s="948">
        <v>100.1</v>
      </c>
      <c r="C2745" s="948" t="s">
        <v>85</v>
      </c>
      <c r="D2745" s="947" t="s">
        <v>24</v>
      </c>
      <c r="E2745" s="949">
        <v>6017</v>
      </c>
      <c r="F2745" s="950">
        <v>5</v>
      </c>
      <c r="G2745" s="951">
        <v>130</v>
      </c>
      <c r="H2745" s="951">
        <v>131.07</v>
      </c>
      <c r="I2745" s="18"/>
    </row>
    <row r="2746" spans="1:9">
      <c r="A2746" s="943">
        <v>1</v>
      </c>
      <c r="B2746" s="944">
        <v>100.6</v>
      </c>
      <c r="C2746" s="944" t="s">
        <v>1944</v>
      </c>
      <c r="D2746" s="943" t="s">
        <v>22</v>
      </c>
      <c r="E2746" s="945">
        <v>2</v>
      </c>
      <c r="F2746" s="945">
        <v>1</v>
      </c>
      <c r="G2746" s="946">
        <v>52449</v>
      </c>
      <c r="H2746" s="946">
        <v>52449</v>
      </c>
    </row>
    <row r="2747" spans="1:9" s="26" customFormat="1">
      <c r="A2747" s="947">
        <v>1</v>
      </c>
      <c r="B2747" s="948">
        <v>100.61</v>
      </c>
      <c r="C2747" s="948" t="s">
        <v>86</v>
      </c>
      <c r="D2747" s="947" t="s">
        <v>22</v>
      </c>
      <c r="E2747" s="950">
        <v>2</v>
      </c>
      <c r="F2747" s="950">
        <v>1</v>
      </c>
      <c r="G2747" s="951">
        <v>75001</v>
      </c>
      <c r="H2747" s="951">
        <v>75001</v>
      </c>
      <c r="I2747" s="18"/>
    </row>
    <row r="2748" spans="1:9">
      <c r="A2748" s="943">
        <v>1</v>
      </c>
      <c r="B2748" s="944">
        <v>100.7</v>
      </c>
      <c r="C2748" s="944" t="s">
        <v>87</v>
      </c>
      <c r="D2748" s="943" t="s">
        <v>22</v>
      </c>
      <c r="E2748" s="945">
        <v>2</v>
      </c>
      <c r="F2748" s="945">
        <v>1</v>
      </c>
      <c r="G2748" s="946">
        <v>419925</v>
      </c>
      <c r="H2748" s="946">
        <v>419925</v>
      </c>
    </row>
    <row r="2749" spans="1:9" s="26" customFormat="1">
      <c r="A2749" s="947">
        <v>1</v>
      </c>
      <c r="B2749" s="948">
        <v>101</v>
      </c>
      <c r="C2749" s="948" t="s">
        <v>54</v>
      </c>
      <c r="D2749" s="947" t="s">
        <v>55</v>
      </c>
      <c r="E2749" s="950">
        <v>9.74</v>
      </c>
      <c r="F2749" s="950">
        <v>8</v>
      </c>
      <c r="G2749" s="951">
        <v>54000</v>
      </c>
      <c r="H2749" s="951">
        <v>57695.69</v>
      </c>
      <c r="I2749" s="18"/>
    </row>
    <row r="2750" spans="1:9">
      <c r="A2750" s="943">
        <v>1</v>
      </c>
      <c r="B2750" s="944">
        <v>101.1</v>
      </c>
      <c r="C2750" s="944" t="s">
        <v>1273</v>
      </c>
      <c r="D2750" s="943" t="s">
        <v>55</v>
      </c>
      <c r="E2750" s="945">
        <v>3.35</v>
      </c>
      <c r="F2750" s="945">
        <v>2</v>
      </c>
      <c r="G2750" s="946">
        <v>18000</v>
      </c>
      <c r="H2750" s="946">
        <v>16600</v>
      </c>
    </row>
    <row r="2751" spans="1:9" s="26" customFormat="1">
      <c r="A2751" s="947">
        <v>1</v>
      </c>
      <c r="B2751" s="948">
        <v>102</v>
      </c>
      <c r="C2751" s="948" t="s">
        <v>92</v>
      </c>
      <c r="D2751" s="947" t="s">
        <v>55</v>
      </c>
      <c r="E2751" s="950">
        <v>4.2</v>
      </c>
      <c r="F2751" s="950">
        <v>4</v>
      </c>
      <c r="G2751" s="951">
        <v>67500</v>
      </c>
      <c r="H2751" s="951">
        <v>58919.47</v>
      </c>
      <c r="I2751" s="18"/>
    </row>
    <row r="2752" spans="1:9">
      <c r="A2752" s="943">
        <v>1</v>
      </c>
      <c r="B2752" s="944">
        <v>102.01</v>
      </c>
      <c r="C2752" s="944" t="s">
        <v>1950</v>
      </c>
      <c r="D2752" s="943" t="s">
        <v>22</v>
      </c>
      <c r="E2752" s="945">
        <v>6</v>
      </c>
      <c r="F2752" s="945">
        <v>1</v>
      </c>
      <c r="G2752" s="946">
        <v>25000</v>
      </c>
      <c r="H2752" s="946">
        <v>22500</v>
      </c>
    </row>
    <row r="2753" spans="1:9" s="26" customFormat="1">
      <c r="A2753" s="947">
        <v>1</v>
      </c>
      <c r="B2753" s="948">
        <v>102.1</v>
      </c>
      <c r="C2753" s="948" t="s">
        <v>93</v>
      </c>
      <c r="D2753" s="947" t="s">
        <v>17</v>
      </c>
      <c r="E2753" s="949">
        <v>15876</v>
      </c>
      <c r="F2753" s="950">
        <v>8</v>
      </c>
      <c r="G2753" s="951">
        <v>15</v>
      </c>
      <c r="H2753" s="951">
        <v>15.84</v>
      </c>
      <c r="I2753" s="18"/>
    </row>
    <row r="2754" spans="1:9">
      <c r="A2754" s="943">
        <v>1</v>
      </c>
      <c r="B2754" s="944">
        <v>102.12</v>
      </c>
      <c r="C2754" s="944" t="s">
        <v>93</v>
      </c>
      <c r="D2754" s="943" t="s">
        <v>2</v>
      </c>
      <c r="E2754" s="945">
        <v>320</v>
      </c>
      <c r="F2754" s="945">
        <v>2</v>
      </c>
      <c r="G2754" s="946">
        <v>125</v>
      </c>
      <c r="H2754" s="946">
        <v>112.5</v>
      </c>
    </row>
    <row r="2755" spans="1:9" s="26" customFormat="1">
      <c r="A2755" s="947">
        <v>1</v>
      </c>
      <c r="B2755" s="948">
        <v>102.2</v>
      </c>
      <c r="C2755" s="948" t="s">
        <v>93</v>
      </c>
      <c r="D2755" s="947" t="s">
        <v>22</v>
      </c>
      <c r="E2755" s="950">
        <v>7</v>
      </c>
      <c r="F2755" s="950">
        <v>1</v>
      </c>
      <c r="G2755" s="951">
        <v>17000</v>
      </c>
      <c r="H2755" s="951">
        <v>18428.57</v>
      </c>
      <c r="I2755" s="18"/>
    </row>
    <row r="2756" spans="1:9">
      <c r="A2756" s="943">
        <v>1</v>
      </c>
      <c r="B2756" s="944">
        <v>102.3</v>
      </c>
      <c r="C2756" s="944" t="s">
        <v>3995</v>
      </c>
      <c r="D2756" s="943" t="s">
        <v>24</v>
      </c>
      <c r="E2756" s="945">
        <v>140</v>
      </c>
      <c r="F2756" s="945">
        <v>1</v>
      </c>
      <c r="G2756" s="946">
        <v>647.5</v>
      </c>
      <c r="H2756" s="946">
        <v>584.14</v>
      </c>
    </row>
    <row r="2757" spans="1:9" s="26" customFormat="1">
      <c r="A2757" s="947">
        <v>1</v>
      </c>
      <c r="B2757" s="948">
        <v>102.33</v>
      </c>
      <c r="C2757" s="948" t="s">
        <v>1275</v>
      </c>
      <c r="D2757" s="947" t="s">
        <v>24</v>
      </c>
      <c r="E2757" s="950">
        <v>70</v>
      </c>
      <c r="F2757" s="950">
        <v>1</v>
      </c>
      <c r="G2757" s="951">
        <v>625</v>
      </c>
      <c r="H2757" s="951">
        <v>591.42999999999995</v>
      </c>
      <c r="I2757" s="18"/>
    </row>
    <row r="2758" spans="1:9">
      <c r="A2758" s="943">
        <v>1</v>
      </c>
      <c r="B2758" s="944">
        <v>102.511</v>
      </c>
      <c r="C2758" s="944" t="s">
        <v>4029</v>
      </c>
      <c r="D2758" s="943" t="s">
        <v>2</v>
      </c>
      <c r="E2758" s="945">
        <v>280</v>
      </c>
      <c r="F2758" s="945">
        <v>4</v>
      </c>
      <c r="G2758" s="946">
        <v>600</v>
      </c>
      <c r="H2758" s="946">
        <v>599.99</v>
      </c>
    </row>
    <row r="2759" spans="1:9" s="26" customFormat="1">
      <c r="A2759" s="947">
        <v>1</v>
      </c>
      <c r="B2759" s="948">
        <v>102.521</v>
      </c>
      <c r="C2759" s="948" t="s">
        <v>1276</v>
      </c>
      <c r="D2759" s="947" t="s">
        <v>17</v>
      </c>
      <c r="E2759" s="949">
        <v>12130</v>
      </c>
      <c r="F2759" s="950">
        <v>6</v>
      </c>
      <c r="G2759" s="951">
        <v>10</v>
      </c>
      <c r="H2759" s="951">
        <v>9.4700000000000006</v>
      </c>
      <c r="I2759" s="18"/>
    </row>
    <row r="2760" spans="1:9">
      <c r="A2760" s="943">
        <v>1</v>
      </c>
      <c r="B2760" s="944">
        <v>102.55</v>
      </c>
      <c r="C2760" s="944" t="s">
        <v>1277</v>
      </c>
      <c r="D2760" s="943" t="s">
        <v>24</v>
      </c>
      <c r="E2760" s="945">
        <v>555</v>
      </c>
      <c r="F2760" s="945">
        <v>3</v>
      </c>
      <c r="G2760" s="946">
        <v>170</v>
      </c>
      <c r="H2760" s="946">
        <v>174.56</v>
      </c>
    </row>
    <row r="2761" spans="1:9" s="26" customFormat="1">
      <c r="A2761" s="947">
        <v>1</v>
      </c>
      <c r="B2761" s="948">
        <v>103</v>
      </c>
      <c r="C2761" s="948" t="s">
        <v>35</v>
      </c>
      <c r="D2761" s="947" t="s">
        <v>2</v>
      </c>
      <c r="E2761" s="950">
        <v>78</v>
      </c>
      <c r="F2761" s="950">
        <v>4</v>
      </c>
      <c r="G2761" s="951">
        <v>1800</v>
      </c>
      <c r="H2761" s="951">
        <v>1736.42</v>
      </c>
      <c r="I2761" s="18"/>
    </row>
    <row r="2762" spans="1:9">
      <c r="A2762" s="943">
        <v>1</v>
      </c>
      <c r="B2762" s="944">
        <v>104</v>
      </c>
      <c r="C2762" s="944" t="s">
        <v>94</v>
      </c>
      <c r="D2762" s="943" t="s">
        <v>2</v>
      </c>
      <c r="E2762" s="945">
        <v>22</v>
      </c>
      <c r="F2762" s="945">
        <v>2</v>
      </c>
      <c r="G2762" s="946">
        <v>3800</v>
      </c>
      <c r="H2762" s="946">
        <v>3568.61</v>
      </c>
    </row>
    <row r="2763" spans="1:9" s="26" customFormat="1">
      <c r="A2763" s="947">
        <v>1</v>
      </c>
      <c r="B2763" s="948">
        <v>105</v>
      </c>
      <c r="C2763" s="948" t="s">
        <v>95</v>
      </c>
      <c r="D2763" s="947" t="s">
        <v>2</v>
      </c>
      <c r="E2763" s="950">
        <v>37</v>
      </c>
      <c r="F2763" s="950">
        <v>4</v>
      </c>
      <c r="G2763" s="951">
        <v>700</v>
      </c>
      <c r="H2763" s="951">
        <v>706.95</v>
      </c>
      <c r="I2763" s="18"/>
    </row>
    <row r="2764" spans="1:9">
      <c r="A2764" s="943">
        <v>1</v>
      </c>
      <c r="B2764" s="944">
        <v>106.12</v>
      </c>
      <c r="C2764" s="944" t="s">
        <v>96</v>
      </c>
      <c r="D2764" s="943" t="s">
        <v>17</v>
      </c>
      <c r="E2764" s="952">
        <v>1100</v>
      </c>
      <c r="F2764" s="945">
        <v>2</v>
      </c>
      <c r="G2764" s="946">
        <v>102.5</v>
      </c>
      <c r="H2764" s="946">
        <v>126.5</v>
      </c>
    </row>
    <row r="2765" spans="1:9" s="26" customFormat="1">
      <c r="A2765" s="947">
        <v>1</v>
      </c>
      <c r="B2765" s="948">
        <v>106.15</v>
      </c>
      <c r="C2765" s="948" t="s">
        <v>97</v>
      </c>
      <c r="D2765" s="947" t="s">
        <v>2</v>
      </c>
      <c r="E2765" s="950">
        <v>12</v>
      </c>
      <c r="F2765" s="950">
        <v>1</v>
      </c>
      <c r="G2765" s="951">
        <v>2825</v>
      </c>
      <c r="H2765" s="951">
        <v>2825</v>
      </c>
      <c r="I2765" s="18"/>
    </row>
    <row r="2766" spans="1:9">
      <c r="A2766" s="943">
        <v>1</v>
      </c>
      <c r="B2766" s="944">
        <v>106.30200000000001</v>
      </c>
      <c r="C2766" s="944" t="s">
        <v>1962</v>
      </c>
      <c r="D2766" s="943" t="s">
        <v>3</v>
      </c>
      <c r="E2766" s="952">
        <v>6000</v>
      </c>
      <c r="F2766" s="945">
        <v>1</v>
      </c>
      <c r="G2766" s="946">
        <v>170</v>
      </c>
      <c r="H2766" s="946">
        <v>146.66999999999999</v>
      </c>
    </row>
    <row r="2767" spans="1:9" s="26" customFormat="1">
      <c r="A2767" s="947">
        <v>1</v>
      </c>
      <c r="B2767" s="948">
        <v>106.49</v>
      </c>
      <c r="C2767" s="948" t="s">
        <v>1968</v>
      </c>
      <c r="D2767" s="947" t="s">
        <v>17</v>
      </c>
      <c r="E2767" s="950">
        <v>200</v>
      </c>
      <c r="F2767" s="950">
        <v>1</v>
      </c>
      <c r="G2767" s="951">
        <v>600</v>
      </c>
      <c r="H2767" s="951">
        <v>620</v>
      </c>
      <c r="I2767" s="18"/>
    </row>
    <row r="2768" spans="1:9">
      <c r="A2768" s="943">
        <v>1</v>
      </c>
      <c r="B2768" s="944">
        <v>106.88</v>
      </c>
      <c r="C2768" s="944" t="s">
        <v>98</v>
      </c>
      <c r="D2768" s="943" t="s">
        <v>2</v>
      </c>
      <c r="E2768" s="945">
        <v>50</v>
      </c>
      <c r="F2768" s="945">
        <v>1</v>
      </c>
      <c r="G2768" s="946">
        <v>8750</v>
      </c>
      <c r="H2768" s="946">
        <v>8750</v>
      </c>
    </row>
    <row r="2769" spans="1:9" s="26" customFormat="1">
      <c r="A2769" s="947">
        <v>1</v>
      </c>
      <c r="B2769" s="948">
        <v>107.02</v>
      </c>
      <c r="C2769" s="948" t="s">
        <v>99</v>
      </c>
      <c r="D2769" s="947" t="s">
        <v>100</v>
      </c>
      <c r="E2769" s="949">
        <v>56000</v>
      </c>
      <c r="F2769" s="950">
        <v>3</v>
      </c>
      <c r="G2769" s="951">
        <v>5</v>
      </c>
      <c r="H2769" s="951">
        <v>5</v>
      </c>
      <c r="I2769" s="18"/>
    </row>
    <row r="2770" spans="1:9">
      <c r="A2770" s="943">
        <v>1</v>
      </c>
      <c r="B2770" s="944">
        <v>107.855</v>
      </c>
      <c r="C2770" s="944" t="s">
        <v>102</v>
      </c>
      <c r="D2770" s="943" t="s">
        <v>17</v>
      </c>
      <c r="E2770" s="945">
        <v>820</v>
      </c>
      <c r="F2770" s="945">
        <v>2</v>
      </c>
      <c r="G2770" s="946">
        <v>200</v>
      </c>
      <c r="H2770" s="946">
        <v>187.86</v>
      </c>
    </row>
    <row r="2771" spans="1:9" s="26" customFormat="1">
      <c r="A2771" s="947">
        <v>1</v>
      </c>
      <c r="B2771" s="948">
        <v>107.97</v>
      </c>
      <c r="C2771" s="948" t="s">
        <v>103</v>
      </c>
      <c r="D2771" s="947" t="s">
        <v>100</v>
      </c>
      <c r="E2771" s="949">
        <v>10920</v>
      </c>
      <c r="F2771" s="950">
        <v>1</v>
      </c>
      <c r="G2771" s="951">
        <v>113</v>
      </c>
      <c r="H2771" s="951">
        <v>94.25</v>
      </c>
      <c r="I2771" s="18"/>
    </row>
    <row r="2772" spans="1:9">
      <c r="A2772" s="943">
        <v>1</v>
      </c>
      <c r="B2772" s="944">
        <v>114.1</v>
      </c>
      <c r="C2772" s="944" t="s">
        <v>104</v>
      </c>
      <c r="D2772" s="943" t="s">
        <v>22</v>
      </c>
      <c r="E2772" s="945">
        <v>20</v>
      </c>
      <c r="F2772" s="945">
        <v>4</v>
      </c>
      <c r="G2772" s="946">
        <v>118340</v>
      </c>
      <c r="H2772" s="946">
        <v>110410.75</v>
      </c>
    </row>
    <row r="2773" spans="1:9" s="26" customFormat="1">
      <c r="A2773" s="947">
        <v>1</v>
      </c>
      <c r="B2773" s="948">
        <v>120</v>
      </c>
      <c r="C2773" s="948" t="s">
        <v>107</v>
      </c>
      <c r="D2773" s="947" t="s">
        <v>4</v>
      </c>
      <c r="E2773" s="949">
        <v>174130</v>
      </c>
      <c r="F2773" s="950">
        <v>12</v>
      </c>
      <c r="G2773" s="951">
        <v>45</v>
      </c>
      <c r="H2773" s="951">
        <v>45.68</v>
      </c>
      <c r="I2773" s="18"/>
    </row>
    <row r="2774" spans="1:9">
      <c r="A2774" s="943">
        <v>1</v>
      </c>
      <c r="B2774" s="944">
        <v>120.1</v>
      </c>
      <c r="C2774" s="944" t="s">
        <v>19</v>
      </c>
      <c r="D2774" s="943" t="s">
        <v>4</v>
      </c>
      <c r="E2774" s="952">
        <v>1660</v>
      </c>
      <c r="F2774" s="945">
        <v>6</v>
      </c>
      <c r="G2774" s="946">
        <v>108</v>
      </c>
      <c r="H2774" s="946">
        <v>109.83</v>
      </c>
    </row>
    <row r="2775" spans="1:9" s="26" customFormat="1">
      <c r="A2775" s="947">
        <v>1</v>
      </c>
      <c r="B2775" s="948">
        <v>121</v>
      </c>
      <c r="C2775" s="948" t="s">
        <v>108</v>
      </c>
      <c r="D2775" s="947" t="s">
        <v>4</v>
      </c>
      <c r="E2775" s="949">
        <v>4006</v>
      </c>
      <c r="F2775" s="950">
        <v>8</v>
      </c>
      <c r="G2775" s="951">
        <v>150</v>
      </c>
      <c r="H2775" s="951">
        <v>132.30000000000001</v>
      </c>
      <c r="I2775" s="18"/>
    </row>
    <row r="2776" spans="1:9">
      <c r="A2776" s="943">
        <v>1</v>
      </c>
      <c r="B2776" s="944">
        <v>123</v>
      </c>
      <c r="C2776" s="944" t="s">
        <v>109</v>
      </c>
      <c r="D2776" s="943" t="s">
        <v>4</v>
      </c>
      <c r="E2776" s="945">
        <v>350</v>
      </c>
      <c r="F2776" s="945">
        <v>1</v>
      </c>
      <c r="G2776" s="946">
        <v>75</v>
      </c>
      <c r="H2776" s="946">
        <v>70.2</v>
      </c>
    </row>
    <row r="2777" spans="1:9" s="26" customFormat="1">
      <c r="A2777" s="947">
        <v>1</v>
      </c>
      <c r="B2777" s="948">
        <v>127</v>
      </c>
      <c r="C2777" s="948" t="s">
        <v>111</v>
      </c>
      <c r="D2777" s="947" t="s">
        <v>4</v>
      </c>
      <c r="E2777" s="950">
        <v>320</v>
      </c>
      <c r="F2777" s="950">
        <v>1</v>
      </c>
      <c r="G2777" s="951">
        <v>300</v>
      </c>
      <c r="H2777" s="951">
        <v>262.5</v>
      </c>
      <c r="I2777" s="18"/>
    </row>
    <row r="2778" spans="1:9">
      <c r="A2778" s="943">
        <v>1</v>
      </c>
      <c r="B2778" s="944">
        <v>127.1</v>
      </c>
      <c r="C2778" s="944" t="s">
        <v>112</v>
      </c>
      <c r="D2778" s="943" t="s">
        <v>4</v>
      </c>
      <c r="E2778" s="952">
        <v>2770</v>
      </c>
      <c r="F2778" s="945">
        <v>7</v>
      </c>
      <c r="G2778" s="946">
        <v>535</v>
      </c>
      <c r="H2778" s="946">
        <v>436.61</v>
      </c>
    </row>
    <row r="2779" spans="1:9" s="26" customFormat="1">
      <c r="A2779" s="947">
        <v>1</v>
      </c>
      <c r="B2779" s="948">
        <v>127.4</v>
      </c>
      <c r="C2779" s="948" t="s">
        <v>113</v>
      </c>
      <c r="D2779" s="947" t="s">
        <v>1</v>
      </c>
      <c r="E2779" s="950">
        <v>349</v>
      </c>
      <c r="F2779" s="950">
        <v>3</v>
      </c>
      <c r="G2779" s="951">
        <v>1450</v>
      </c>
      <c r="H2779" s="951">
        <v>1452.22</v>
      </c>
      <c r="I2779" s="18"/>
    </row>
    <row r="2780" spans="1:9">
      <c r="A2780" s="943">
        <v>1</v>
      </c>
      <c r="B2780" s="944">
        <v>127.41</v>
      </c>
      <c r="C2780" s="944" t="s">
        <v>114</v>
      </c>
      <c r="D2780" s="943" t="s">
        <v>4</v>
      </c>
      <c r="E2780" s="945">
        <v>116</v>
      </c>
      <c r="F2780" s="945">
        <v>3</v>
      </c>
      <c r="G2780" s="946">
        <v>4320</v>
      </c>
      <c r="H2780" s="946">
        <v>4026.25</v>
      </c>
    </row>
    <row r="2781" spans="1:9" s="26" customFormat="1">
      <c r="A2781" s="947">
        <v>1</v>
      </c>
      <c r="B2781" s="948">
        <v>129.5</v>
      </c>
      <c r="C2781" s="948" t="s">
        <v>116</v>
      </c>
      <c r="D2781" s="947" t="s">
        <v>17</v>
      </c>
      <c r="E2781" s="949">
        <v>22980</v>
      </c>
      <c r="F2781" s="950">
        <v>1</v>
      </c>
      <c r="G2781" s="951">
        <v>25.25</v>
      </c>
      <c r="H2781" s="951">
        <v>24.08</v>
      </c>
      <c r="I2781" s="18"/>
    </row>
    <row r="2782" spans="1:9">
      <c r="A2782" s="943">
        <v>1</v>
      </c>
      <c r="B2782" s="944">
        <v>129.6</v>
      </c>
      <c r="C2782" s="944" t="s">
        <v>117</v>
      </c>
      <c r="D2782" s="943" t="s">
        <v>1</v>
      </c>
      <c r="E2782" s="952">
        <v>8430</v>
      </c>
      <c r="F2782" s="945">
        <v>3</v>
      </c>
      <c r="G2782" s="946">
        <v>47</v>
      </c>
      <c r="H2782" s="946">
        <v>45.25</v>
      </c>
    </row>
    <row r="2783" spans="1:9" s="26" customFormat="1">
      <c r="A2783" s="947">
        <v>1</v>
      </c>
      <c r="B2783" s="948">
        <v>140</v>
      </c>
      <c r="C2783" s="948" t="s">
        <v>118</v>
      </c>
      <c r="D2783" s="947" t="s">
        <v>4</v>
      </c>
      <c r="E2783" s="949">
        <v>11258</v>
      </c>
      <c r="F2783" s="950">
        <v>4</v>
      </c>
      <c r="G2783" s="951">
        <v>62.5</v>
      </c>
      <c r="H2783" s="951">
        <v>61.74</v>
      </c>
      <c r="I2783" s="18"/>
    </row>
    <row r="2784" spans="1:9">
      <c r="A2784" s="943">
        <v>1</v>
      </c>
      <c r="B2784" s="944">
        <v>141</v>
      </c>
      <c r="C2784" s="944" t="s">
        <v>120</v>
      </c>
      <c r="D2784" s="943" t="s">
        <v>4</v>
      </c>
      <c r="E2784" s="952">
        <v>8991</v>
      </c>
      <c r="F2784" s="945">
        <v>12</v>
      </c>
      <c r="G2784" s="946">
        <v>56.25</v>
      </c>
      <c r="H2784" s="946">
        <v>54.34</v>
      </c>
    </row>
    <row r="2785" spans="1:9" s="26" customFormat="1">
      <c r="A2785" s="947">
        <v>1</v>
      </c>
      <c r="B2785" s="948">
        <v>141.1</v>
      </c>
      <c r="C2785" s="948" t="s">
        <v>121</v>
      </c>
      <c r="D2785" s="947" t="s">
        <v>4</v>
      </c>
      <c r="E2785" s="949">
        <v>3570</v>
      </c>
      <c r="F2785" s="950">
        <v>13</v>
      </c>
      <c r="G2785" s="951">
        <v>150</v>
      </c>
      <c r="H2785" s="951">
        <v>143.47999999999999</v>
      </c>
      <c r="I2785" s="18"/>
    </row>
    <row r="2786" spans="1:9">
      <c r="A2786" s="943">
        <v>1</v>
      </c>
      <c r="B2786" s="944">
        <v>142</v>
      </c>
      <c r="C2786" s="944" t="s">
        <v>122</v>
      </c>
      <c r="D2786" s="943" t="s">
        <v>4</v>
      </c>
      <c r="E2786" s="952">
        <v>2409</v>
      </c>
      <c r="F2786" s="945">
        <v>10</v>
      </c>
      <c r="G2786" s="946">
        <v>50</v>
      </c>
      <c r="H2786" s="946">
        <v>46.9</v>
      </c>
    </row>
    <row r="2787" spans="1:9" s="26" customFormat="1">
      <c r="A2787" s="947">
        <v>1</v>
      </c>
      <c r="B2787" s="948">
        <v>143</v>
      </c>
      <c r="C2787" s="948" t="s">
        <v>123</v>
      </c>
      <c r="D2787" s="947" t="s">
        <v>4</v>
      </c>
      <c r="E2787" s="950">
        <v>20</v>
      </c>
      <c r="F2787" s="950">
        <v>1</v>
      </c>
      <c r="G2787" s="951">
        <v>155</v>
      </c>
      <c r="H2787" s="951">
        <v>152.5</v>
      </c>
      <c r="I2787" s="18"/>
    </row>
    <row r="2788" spans="1:9">
      <c r="A2788" s="943">
        <v>1</v>
      </c>
      <c r="B2788" s="944">
        <v>144</v>
      </c>
      <c r="C2788" s="944" t="s">
        <v>124</v>
      </c>
      <c r="D2788" s="943" t="s">
        <v>4</v>
      </c>
      <c r="E2788" s="952">
        <v>1940</v>
      </c>
      <c r="F2788" s="945">
        <v>15</v>
      </c>
      <c r="G2788" s="946">
        <v>250</v>
      </c>
      <c r="H2788" s="946">
        <v>230.78</v>
      </c>
    </row>
    <row r="2789" spans="1:9" s="26" customFormat="1">
      <c r="A2789" s="947">
        <v>1</v>
      </c>
      <c r="B2789" s="948">
        <v>146</v>
      </c>
      <c r="C2789" s="948" t="s">
        <v>126</v>
      </c>
      <c r="D2789" s="947" t="s">
        <v>2</v>
      </c>
      <c r="E2789" s="950">
        <v>286</v>
      </c>
      <c r="F2789" s="950">
        <v>8</v>
      </c>
      <c r="G2789" s="951">
        <v>800</v>
      </c>
      <c r="H2789" s="951">
        <v>746.05</v>
      </c>
      <c r="I2789" s="18"/>
    </row>
    <row r="2790" spans="1:9">
      <c r="A2790" s="943">
        <v>1</v>
      </c>
      <c r="B2790" s="944">
        <v>150</v>
      </c>
      <c r="C2790" s="944" t="s">
        <v>128</v>
      </c>
      <c r="D2790" s="943" t="s">
        <v>4</v>
      </c>
      <c r="E2790" s="952">
        <v>4225</v>
      </c>
      <c r="F2790" s="945">
        <v>4</v>
      </c>
      <c r="G2790" s="946">
        <v>52.5</v>
      </c>
      <c r="H2790" s="946">
        <v>54</v>
      </c>
    </row>
    <row r="2791" spans="1:9" s="26" customFormat="1">
      <c r="A2791" s="947">
        <v>1</v>
      </c>
      <c r="B2791" s="948">
        <v>150.1</v>
      </c>
      <c r="C2791" s="948" t="s">
        <v>129</v>
      </c>
      <c r="D2791" s="947" t="s">
        <v>4</v>
      </c>
      <c r="E2791" s="949">
        <v>1963</v>
      </c>
      <c r="F2791" s="950">
        <v>7</v>
      </c>
      <c r="G2791" s="951">
        <v>60.71</v>
      </c>
      <c r="H2791" s="951">
        <v>58.16</v>
      </c>
      <c r="I2791" s="18"/>
    </row>
    <row r="2792" spans="1:9">
      <c r="A2792" s="943">
        <v>1</v>
      </c>
      <c r="B2792" s="944">
        <v>151</v>
      </c>
      <c r="C2792" s="944" t="s">
        <v>5</v>
      </c>
      <c r="D2792" s="943" t="s">
        <v>4</v>
      </c>
      <c r="E2792" s="952">
        <v>81350</v>
      </c>
      <c r="F2792" s="945">
        <v>10</v>
      </c>
      <c r="G2792" s="946">
        <v>63.5</v>
      </c>
      <c r="H2792" s="946">
        <v>60.33</v>
      </c>
    </row>
    <row r="2793" spans="1:9" s="26" customFormat="1">
      <c r="A2793" s="947">
        <v>1</v>
      </c>
      <c r="B2793" s="948">
        <v>151.01</v>
      </c>
      <c r="C2793" s="948" t="s">
        <v>130</v>
      </c>
      <c r="D2793" s="947" t="s">
        <v>4</v>
      </c>
      <c r="E2793" s="949">
        <v>16175</v>
      </c>
      <c r="F2793" s="950">
        <v>9</v>
      </c>
      <c r="G2793" s="951">
        <v>80</v>
      </c>
      <c r="H2793" s="951">
        <v>74.56</v>
      </c>
      <c r="I2793" s="18"/>
    </row>
    <row r="2794" spans="1:9">
      <c r="A2794" s="943">
        <v>1</v>
      </c>
      <c r="B2794" s="944">
        <v>151.1</v>
      </c>
      <c r="C2794" s="944" t="s">
        <v>131</v>
      </c>
      <c r="D2794" s="943" t="s">
        <v>4</v>
      </c>
      <c r="E2794" s="952">
        <v>1710</v>
      </c>
      <c r="F2794" s="945">
        <v>2</v>
      </c>
      <c r="G2794" s="946">
        <v>73.5</v>
      </c>
      <c r="H2794" s="946">
        <v>69.25</v>
      </c>
    </row>
    <row r="2795" spans="1:9" s="26" customFormat="1">
      <c r="A2795" s="947">
        <v>1</v>
      </c>
      <c r="B2795" s="948">
        <v>151.19999999999999</v>
      </c>
      <c r="C2795" s="948" t="s">
        <v>52</v>
      </c>
      <c r="D2795" s="947" t="s">
        <v>4</v>
      </c>
      <c r="E2795" s="949">
        <v>11040</v>
      </c>
      <c r="F2795" s="950">
        <v>8</v>
      </c>
      <c r="G2795" s="951">
        <v>68.5</v>
      </c>
      <c r="H2795" s="951">
        <v>65.73</v>
      </c>
      <c r="I2795" s="18"/>
    </row>
    <row r="2796" spans="1:9">
      <c r="A2796" s="943">
        <v>1</v>
      </c>
      <c r="B2796" s="944">
        <v>153</v>
      </c>
      <c r="C2796" s="944" t="s">
        <v>134</v>
      </c>
      <c r="D2796" s="943" t="s">
        <v>4</v>
      </c>
      <c r="E2796" s="945">
        <v>396</v>
      </c>
      <c r="F2796" s="945">
        <v>4</v>
      </c>
      <c r="G2796" s="946">
        <v>275</v>
      </c>
      <c r="H2796" s="946">
        <v>279.67</v>
      </c>
    </row>
    <row r="2797" spans="1:9" s="26" customFormat="1">
      <c r="A2797" s="947">
        <v>1</v>
      </c>
      <c r="B2797" s="948">
        <v>153.1</v>
      </c>
      <c r="C2797" s="948" t="s">
        <v>135</v>
      </c>
      <c r="D2797" s="947" t="s">
        <v>4</v>
      </c>
      <c r="E2797" s="950">
        <v>136</v>
      </c>
      <c r="F2797" s="950">
        <v>4</v>
      </c>
      <c r="G2797" s="951">
        <v>400</v>
      </c>
      <c r="H2797" s="951">
        <v>344.96</v>
      </c>
      <c r="I2797" s="18"/>
    </row>
    <row r="2798" spans="1:9">
      <c r="A2798" s="943">
        <v>1</v>
      </c>
      <c r="B2798" s="944">
        <v>156</v>
      </c>
      <c r="C2798" s="944" t="s">
        <v>26</v>
      </c>
      <c r="D2798" s="943" t="s">
        <v>7</v>
      </c>
      <c r="E2798" s="952">
        <v>11660</v>
      </c>
      <c r="F2798" s="945">
        <v>15</v>
      </c>
      <c r="G2798" s="946">
        <v>70</v>
      </c>
      <c r="H2798" s="946">
        <v>68.67</v>
      </c>
    </row>
    <row r="2799" spans="1:9" s="26" customFormat="1">
      <c r="A2799" s="947">
        <v>1</v>
      </c>
      <c r="B2799" s="948">
        <v>156.1</v>
      </c>
      <c r="C2799" s="948" t="s">
        <v>137</v>
      </c>
      <c r="D2799" s="947" t="s">
        <v>7</v>
      </c>
      <c r="E2799" s="949">
        <v>1160</v>
      </c>
      <c r="F2799" s="950">
        <v>4</v>
      </c>
      <c r="G2799" s="951">
        <v>80</v>
      </c>
      <c r="H2799" s="951">
        <v>77.17</v>
      </c>
      <c r="I2799" s="18"/>
    </row>
    <row r="2800" spans="1:9">
      <c r="A2800" s="943">
        <v>1</v>
      </c>
      <c r="B2800" s="944">
        <v>156.19999999999999</v>
      </c>
      <c r="C2800" s="944" t="s">
        <v>2034</v>
      </c>
      <c r="D2800" s="943" t="s">
        <v>7</v>
      </c>
      <c r="E2800" s="945">
        <v>720</v>
      </c>
      <c r="F2800" s="945">
        <v>1</v>
      </c>
      <c r="G2800" s="946">
        <v>75</v>
      </c>
      <c r="H2800" s="946">
        <v>68.33</v>
      </c>
    </row>
    <row r="2801" spans="1:9" s="26" customFormat="1">
      <c r="A2801" s="947">
        <v>1</v>
      </c>
      <c r="B2801" s="948">
        <v>156.80000000000001</v>
      </c>
      <c r="C2801" s="948" t="s">
        <v>2037</v>
      </c>
      <c r="D2801" s="947" t="s">
        <v>4</v>
      </c>
      <c r="E2801" s="950">
        <v>40</v>
      </c>
      <c r="F2801" s="950">
        <v>1</v>
      </c>
      <c r="G2801" s="951">
        <v>195</v>
      </c>
      <c r="H2801" s="951">
        <v>195</v>
      </c>
      <c r="I2801" s="18"/>
    </row>
    <row r="2802" spans="1:9">
      <c r="A2802" s="943">
        <v>1</v>
      </c>
      <c r="B2802" s="944">
        <v>157</v>
      </c>
      <c r="C2802" s="944" t="s">
        <v>2039</v>
      </c>
      <c r="D2802" s="943" t="s">
        <v>1</v>
      </c>
      <c r="E2802" s="945">
        <v>60</v>
      </c>
      <c r="F2802" s="945">
        <v>1</v>
      </c>
      <c r="G2802" s="946">
        <v>95</v>
      </c>
      <c r="H2802" s="946">
        <v>85.33</v>
      </c>
    </row>
    <row r="2803" spans="1:9" s="26" customFormat="1">
      <c r="A2803" s="947">
        <v>1</v>
      </c>
      <c r="B2803" s="948">
        <v>157.1</v>
      </c>
      <c r="C2803" s="948" t="s">
        <v>139</v>
      </c>
      <c r="D2803" s="947" t="s">
        <v>4</v>
      </c>
      <c r="E2803" s="950">
        <v>160</v>
      </c>
      <c r="F2803" s="950">
        <v>1</v>
      </c>
      <c r="G2803" s="951">
        <v>600</v>
      </c>
      <c r="H2803" s="951">
        <v>593.5</v>
      </c>
      <c r="I2803" s="18"/>
    </row>
    <row r="2804" spans="1:9">
      <c r="A2804" s="943">
        <v>1</v>
      </c>
      <c r="B2804" s="944">
        <v>157.19999999999999</v>
      </c>
      <c r="C2804" s="944" t="s">
        <v>140</v>
      </c>
      <c r="D2804" s="943" t="s">
        <v>4</v>
      </c>
      <c r="E2804" s="945">
        <v>160</v>
      </c>
      <c r="F2804" s="945">
        <v>1</v>
      </c>
      <c r="G2804" s="946">
        <v>600</v>
      </c>
      <c r="H2804" s="946">
        <v>605</v>
      </c>
    </row>
    <row r="2805" spans="1:9" s="26" customFormat="1">
      <c r="A2805" s="947">
        <v>1</v>
      </c>
      <c r="B2805" s="948">
        <v>170</v>
      </c>
      <c r="C2805" s="948" t="s">
        <v>1287</v>
      </c>
      <c r="D2805" s="947" t="s">
        <v>1</v>
      </c>
      <c r="E2805" s="949">
        <v>290342</v>
      </c>
      <c r="F2805" s="950">
        <v>14</v>
      </c>
      <c r="G2805" s="951">
        <v>7</v>
      </c>
      <c r="H2805" s="951">
        <v>6.46</v>
      </c>
      <c r="I2805" s="18"/>
    </row>
    <row r="2806" spans="1:9">
      <c r="A2806" s="943">
        <v>1</v>
      </c>
      <c r="B2806" s="944">
        <v>180.01</v>
      </c>
      <c r="C2806" s="944" t="s">
        <v>1288</v>
      </c>
      <c r="D2806" s="943" t="s">
        <v>22</v>
      </c>
      <c r="E2806" s="945">
        <v>37</v>
      </c>
      <c r="F2806" s="945">
        <v>9</v>
      </c>
      <c r="G2806" s="946">
        <v>6000</v>
      </c>
      <c r="H2806" s="946">
        <v>5491.35</v>
      </c>
    </row>
    <row r="2807" spans="1:9" s="26" customFormat="1">
      <c r="A2807" s="947">
        <v>1</v>
      </c>
      <c r="B2807" s="948">
        <v>180.02</v>
      </c>
      <c r="C2807" s="948" t="s">
        <v>1289</v>
      </c>
      <c r="D2807" s="947" t="s">
        <v>24</v>
      </c>
      <c r="E2807" s="949">
        <v>1139</v>
      </c>
      <c r="F2807" s="950">
        <v>6</v>
      </c>
      <c r="G2807" s="951">
        <v>10</v>
      </c>
      <c r="H2807" s="951">
        <v>9.11</v>
      </c>
      <c r="I2807" s="18"/>
    </row>
    <row r="2808" spans="1:9">
      <c r="A2808" s="943">
        <v>1</v>
      </c>
      <c r="B2808" s="944">
        <v>180.03</v>
      </c>
      <c r="C2808" s="944" t="s">
        <v>1290</v>
      </c>
      <c r="D2808" s="943" t="s">
        <v>24</v>
      </c>
      <c r="E2808" s="952">
        <v>1903</v>
      </c>
      <c r="F2808" s="945">
        <v>9</v>
      </c>
      <c r="G2808" s="946">
        <v>150</v>
      </c>
      <c r="H2808" s="946">
        <v>158.74</v>
      </c>
    </row>
    <row r="2809" spans="1:9" s="26" customFormat="1">
      <c r="A2809" s="947">
        <v>1</v>
      </c>
      <c r="B2809" s="948">
        <v>181.11</v>
      </c>
      <c r="C2809" s="948" t="s">
        <v>58</v>
      </c>
      <c r="D2809" s="947" t="s">
        <v>7</v>
      </c>
      <c r="E2809" s="949">
        <v>42913</v>
      </c>
      <c r="F2809" s="950">
        <v>10</v>
      </c>
      <c r="G2809" s="951">
        <v>90</v>
      </c>
      <c r="H2809" s="951">
        <v>83.94</v>
      </c>
      <c r="I2809" s="18"/>
    </row>
    <row r="2810" spans="1:9">
      <c r="A2810" s="943">
        <v>1</v>
      </c>
      <c r="B2810" s="944">
        <v>181.12</v>
      </c>
      <c r="C2810" s="944" t="s">
        <v>141</v>
      </c>
      <c r="D2810" s="943" t="s">
        <v>7</v>
      </c>
      <c r="E2810" s="952">
        <v>4609</v>
      </c>
      <c r="F2810" s="945">
        <v>10</v>
      </c>
      <c r="G2810" s="946">
        <v>155</v>
      </c>
      <c r="H2810" s="946">
        <v>139.91</v>
      </c>
    </row>
    <row r="2811" spans="1:9" s="26" customFormat="1">
      <c r="A2811" s="947">
        <v>1</v>
      </c>
      <c r="B2811" s="948">
        <v>181.13</v>
      </c>
      <c r="C2811" s="948" t="s">
        <v>142</v>
      </c>
      <c r="D2811" s="947" t="s">
        <v>7</v>
      </c>
      <c r="E2811" s="949">
        <v>2937</v>
      </c>
      <c r="F2811" s="950">
        <v>10</v>
      </c>
      <c r="G2811" s="951">
        <v>300</v>
      </c>
      <c r="H2811" s="951">
        <v>263.14999999999998</v>
      </c>
      <c r="I2811" s="18"/>
    </row>
    <row r="2812" spans="1:9">
      <c r="A2812" s="943">
        <v>1</v>
      </c>
      <c r="B2812" s="944">
        <v>181.14</v>
      </c>
      <c r="C2812" s="944" t="s">
        <v>59</v>
      </c>
      <c r="D2812" s="943" t="s">
        <v>7</v>
      </c>
      <c r="E2812" s="952">
        <v>1092</v>
      </c>
      <c r="F2812" s="945">
        <v>10</v>
      </c>
      <c r="G2812" s="946">
        <v>656</v>
      </c>
      <c r="H2812" s="946">
        <v>687.55</v>
      </c>
    </row>
    <row r="2813" spans="1:9" s="26" customFormat="1">
      <c r="A2813" s="947">
        <v>1</v>
      </c>
      <c r="B2813" s="948">
        <v>182.1</v>
      </c>
      <c r="C2813" s="948" t="s">
        <v>143</v>
      </c>
      <c r="D2813" s="947" t="s">
        <v>22</v>
      </c>
      <c r="E2813" s="950">
        <v>8</v>
      </c>
      <c r="F2813" s="950">
        <v>2</v>
      </c>
      <c r="G2813" s="951">
        <v>2700</v>
      </c>
      <c r="H2813" s="951">
        <v>2837.5</v>
      </c>
      <c r="I2813" s="18"/>
    </row>
    <row r="2814" spans="1:9">
      <c r="A2814" s="943">
        <v>1</v>
      </c>
      <c r="B2814" s="944">
        <v>182.2</v>
      </c>
      <c r="C2814" s="944" t="s">
        <v>144</v>
      </c>
      <c r="D2814" s="943" t="s">
        <v>17</v>
      </c>
      <c r="E2814" s="945">
        <v>690</v>
      </c>
      <c r="F2814" s="945">
        <v>2</v>
      </c>
      <c r="G2814" s="946">
        <v>140</v>
      </c>
      <c r="H2814" s="946">
        <v>142.72999999999999</v>
      </c>
    </row>
    <row r="2815" spans="1:9" s="26" customFormat="1">
      <c r="A2815" s="947">
        <v>1</v>
      </c>
      <c r="B2815" s="948">
        <v>183.1</v>
      </c>
      <c r="C2815" s="948" t="s">
        <v>146</v>
      </c>
      <c r="D2815" s="947" t="s">
        <v>20</v>
      </c>
      <c r="E2815" s="949">
        <v>36600</v>
      </c>
      <c r="F2815" s="950">
        <v>4</v>
      </c>
      <c r="G2815" s="951">
        <v>10</v>
      </c>
      <c r="H2815" s="951">
        <v>13.46</v>
      </c>
      <c r="I2815" s="18"/>
    </row>
    <row r="2816" spans="1:9">
      <c r="A2816" s="943">
        <v>1</v>
      </c>
      <c r="B2816" s="944">
        <v>183.2</v>
      </c>
      <c r="C2816" s="944" t="s">
        <v>147</v>
      </c>
      <c r="D2816" s="943" t="s">
        <v>100</v>
      </c>
      <c r="E2816" s="952">
        <v>22400</v>
      </c>
      <c r="F2816" s="945">
        <v>3</v>
      </c>
      <c r="G2816" s="946">
        <v>5.9</v>
      </c>
      <c r="H2816" s="946">
        <v>6.86</v>
      </c>
    </row>
    <row r="2817" spans="1:9" s="26" customFormat="1">
      <c r="A2817" s="947">
        <v>1</v>
      </c>
      <c r="B2817" s="948">
        <v>184.1</v>
      </c>
      <c r="C2817" s="948" t="s">
        <v>148</v>
      </c>
      <c r="D2817" s="947" t="s">
        <v>7</v>
      </c>
      <c r="E2817" s="949">
        <v>1153</v>
      </c>
      <c r="F2817" s="950">
        <v>7</v>
      </c>
      <c r="G2817" s="951">
        <v>300</v>
      </c>
      <c r="H2817" s="951">
        <v>352</v>
      </c>
      <c r="I2817" s="18"/>
    </row>
    <row r="2818" spans="1:9">
      <c r="A2818" s="943">
        <v>1</v>
      </c>
      <c r="B2818" s="944">
        <v>201</v>
      </c>
      <c r="C2818" s="944" t="s">
        <v>155</v>
      </c>
      <c r="D2818" s="943" t="s">
        <v>2</v>
      </c>
      <c r="E2818" s="945">
        <v>820.8</v>
      </c>
      <c r="F2818" s="945">
        <v>9</v>
      </c>
      <c r="G2818" s="946">
        <v>5500</v>
      </c>
      <c r="H2818" s="946">
        <v>5256.28</v>
      </c>
    </row>
    <row r="2819" spans="1:9" s="26" customFormat="1">
      <c r="A2819" s="947">
        <v>1</v>
      </c>
      <c r="B2819" s="948">
        <v>202</v>
      </c>
      <c r="C2819" s="948" t="s">
        <v>157</v>
      </c>
      <c r="D2819" s="947" t="s">
        <v>2</v>
      </c>
      <c r="E2819" s="950">
        <v>457.2</v>
      </c>
      <c r="F2819" s="950">
        <v>9</v>
      </c>
      <c r="G2819" s="951">
        <v>6000</v>
      </c>
      <c r="H2819" s="951">
        <v>5892.73</v>
      </c>
      <c r="I2819" s="18"/>
    </row>
    <row r="2820" spans="1:9">
      <c r="A2820" s="943">
        <v>1</v>
      </c>
      <c r="B2820" s="944">
        <v>202.2</v>
      </c>
      <c r="C2820" s="944" t="s">
        <v>158</v>
      </c>
      <c r="D2820" s="943" t="s">
        <v>2</v>
      </c>
      <c r="E2820" s="945">
        <v>21</v>
      </c>
      <c r="F2820" s="945">
        <v>1</v>
      </c>
      <c r="G2820" s="946">
        <v>7000</v>
      </c>
      <c r="H2820" s="946">
        <v>7348.95</v>
      </c>
    </row>
    <row r="2821" spans="1:9" s="26" customFormat="1">
      <c r="A2821" s="947">
        <v>1</v>
      </c>
      <c r="B2821" s="948">
        <v>203</v>
      </c>
      <c r="C2821" s="948" t="s">
        <v>159</v>
      </c>
      <c r="D2821" s="947" t="s">
        <v>2</v>
      </c>
      <c r="E2821" s="950">
        <v>13</v>
      </c>
      <c r="F2821" s="950">
        <v>2</v>
      </c>
      <c r="G2821" s="951">
        <v>10250</v>
      </c>
      <c r="H2821" s="951">
        <v>9857.14</v>
      </c>
      <c r="I2821" s="18"/>
    </row>
    <row r="2822" spans="1:9">
      <c r="A2822" s="943">
        <v>1</v>
      </c>
      <c r="B2822" s="944">
        <v>204</v>
      </c>
      <c r="C2822" s="944" t="s">
        <v>160</v>
      </c>
      <c r="D2822" s="943" t="s">
        <v>2</v>
      </c>
      <c r="E2822" s="945">
        <v>44</v>
      </c>
      <c r="F2822" s="945">
        <v>3</v>
      </c>
      <c r="G2822" s="946">
        <v>2900</v>
      </c>
      <c r="H2822" s="946">
        <v>2469.81</v>
      </c>
    </row>
    <row r="2823" spans="1:9" s="26" customFormat="1">
      <c r="A2823" s="947">
        <v>1</v>
      </c>
      <c r="B2823" s="948">
        <v>204.11</v>
      </c>
      <c r="C2823" s="948" t="s">
        <v>1294</v>
      </c>
      <c r="D2823" s="947" t="s">
        <v>2</v>
      </c>
      <c r="E2823" s="950">
        <v>36</v>
      </c>
      <c r="F2823" s="950">
        <v>1</v>
      </c>
      <c r="G2823" s="951">
        <v>4500</v>
      </c>
      <c r="H2823" s="951">
        <v>3883.33</v>
      </c>
      <c r="I2823" s="18"/>
    </row>
    <row r="2824" spans="1:9">
      <c r="A2824" s="943">
        <v>1</v>
      </c>
      <c r="B2824" s="944">
        <v>206.1</v>
      </c>
      <c r="C2824" s="944" t="s">
        <v>163</v>
      </c>
      <c r="D2824" s="943" t="s">
        <v>2</v>
      </c>
      <c r="E2824" s="945">
        <v>22</v>
      </c>
      <c r="F2824" s="945">
        <v>2</v>
      </c>
      <c r="G2824" s="946">
        <v>6800</v>
      </c>
      <c r="H2824" s="946">
        <v>6600</v>
      </c>
    </row>
    <row r="2825" spans="1:9" s="26" customFormat="1">
      <c r="A2825" s="947">
        <v>1</v>
      </c>
      <c r="B2825" s="948">
        <v>207</v>
      </c>
      <c r="C2825" s="948" t="s">
        <v>164</v>
      </c>
      <c r="D2825" s="947" t="s">
        <v>2</v>
      </c>
      <c r="E2825" s="950">
        <v>8</v>
      </c>
      <c r="F2825" s="950">
        <v>1</v>
      </c>
      <c r="G2825" s="951">
        <v>6125</v>
      </c>
      <c r="H2825" s="951">
        <v>6312.5</v>
      </c>
      <c r="I2825" s="18"/>
    </row>
    <row r="2826" spans="1:9">
      <c r="A2826" s="943">
        <v>1</v>
      </c>
      <c r="B2826" s="944">
        <v>207.1</v>
      </c>
      <c r="C2826" s="944" t="s">
        <v>165</v>
      </c>
      <c r="D2826" s="943" t="s">
        <v>2</v>
      </c>
      <c r="E2826" s="945">
        <v>20</v>
      </c>
      <c r="F2826" s="945">
        <v>2</v>
      </c>
      <c r="G2826" s="946">
        <v>5650</v>
      </c>
      <c r="H2826" s="946">
        <v>5474.52</v>
      </c>
    </row>
    <row r="2827" spans="1:9" s="26" customFormat="1">
      <c r="A2827" s="947">
        <v>1</v>
      </c>
      <c r="B2827" s="948">
        <v>209.1</v>
      </c>
      <c r="C2827" s="948" t="s">
        <v>166</v>
      </c>
      <c r="D2827" s="947" t="s">
        <v>2</v>
      </c>
      <c r="E2827" s="950">
        <v>14</v>
      </c>
      <c r="F2827" s="950">
        <v>2</v>
      </c>
      <c r="G2827" s="951">
        <v>5000</v>
      </c>
      <c r="H2827" s="951">
        <v>5031.25</v>
      </c>
      <c r="I2827" s="18"/>
    </row>
    <row r="2828" spans="1:9">
      <c r="A2828" s="943">
        <v>1</v>
      </c>
      <c r="B2828" s="944">
        <v>210</v>
      </c>
      <c r="C2828" s="944" t="s">
        <v>169</v>
      </c>
      <c r="D2828" s="943" t="s">
        <v>2</v>
      </c>
      <c r="E2828" s="945">
        <v>10</v>
      </c>
      <c r="F2828" s="945">
        <v>1</v>
      </c>
      <c r="G2828" s="946">
        <v>6250</v>
      </c>
      <c r="H2828" s="946">
        <v>6170</v>
      </c>
    </row>
    <row r="2829" spans="1:9" s="26" customFormat="1">
      <c r="A2829" s="947">
        <v>1</v>
      </c>
      <c r="B2829" s="948">
        <v>210.02</v>
      </c>
      <c r="C2829" s="948" t="s">
        <v>170</v>
      </c>
      <c r="D2829" s="947" t="s">
        <v>2</v>
      </c>
      <c r="E2829" s="950">
        <v>3</v>
      </c>
      <c r="F2829" s="950">
        <v>1</v>
      </c>
      <c r="G2829" s="951">
        <v>2300</v>
      </c>
      <c r="H2829" s="951">
        <v>2566.67</v>
      </c>
      <c r="I2829" s="18"/>
    </row>
    <row r="2830" spans="1:9">
      <c r="A2830" s="943">
        <v>1</v>
      </c>
      <c r="B2830" s="944">
        <v>220</v>
      </c>
      <c r="C2830" s="944" t="s">
        <v>172</v>
      </c>
      <c r="D2830" s="943" t="s">
        <v>2</v>
      </c>
      <c r="E2830" s="952">
        <v>2021</v>
      </c>
      <c r="F2830" s="945">
        <v>9</v>
      </c>
      <c r="G2830" s="946">
        <v>575</v>
      </c>
      <c r="H2830" s="946">
        <v>563.05999999999995</v>
      </c>
    </row>
    <row r="2831" spans="1:9" s="26" customFormat="1">
      <c r="A2831" s="947">
        <v>1</v>
      </c>
      <c r="B2831" s="948">
        <v>220.2</v>
      </c>
      <c r="C2831" s="948" t="s">
        <v>173</v>
      </c>
      <c r="D2831" s="947" t="s">
        <v>17</v>
      </c>
      <c r="E2831" s="950">
        <v>453</v>
      </c>
      <c r="F2831" s="950">
        <v>4</v>
      </c>
      <c r="G2831" s="951">
        <v>600</v>
      </c>
      <c r="H2831" s="951">
        <v>549.79999999999995</v>
      </c>
      <c r="I2831" s="18"/>
    </row>
    <row r="2832" spans="1:9">
      <c r="A2832" s="943">
        <v>1</v>
      </c>
      <c r="B2832" s="944">
        <v>220.3</v>
      </c>
      <c r="C2832" s="944" t="s">
        <v>174</v>
      </c>
      <c r="D2832" s="943" t="s">
        <v>2</v>
      </c>
      <c r="E2832" s="945">
        <v>106</v>
      </c>
      <c r="F2832" s="945">
        <v>5</v>
      </c>
      <c r="G2832" s="946">
        <v>1375</v>
      </c>
      <c r="H2832" s="946">
        <v>1360.01</v>
      </c>
    </row>
    <row r="2833" spans="1:9" s="26" customFormat="1">
      <c r="A2833" s="947">
        <v>1</v>
      </c>
      <c r="B2833" s="948">
        <v>220.5</v>
      </c>
      <c r="C2833" s="948" t="s">
        <v>175</v>
      </c>
      <c r="D2833" s="947" t="s">
        <v>2</v>
      </c>
      <c r="E2833" s="950">
        <v>119</v>
      </c>
      <c r="F2833" s="950">
        <v>4</v>
      </c>
      <c r="G2833" s="951">
        <v>1099.2</v>
      </c>
      <c r="H2833" s="951">
        <v>1028.57</v>
      </c>
      <c r="I2833" s="18"/>
    </row>
    <row r="2834" spans="1:9">
      <c r="A2834" s="943">
        <v>1</v>
      </c>
      <c r="B2834" s="944">
        <v>220.6</v>
      </c>
      <c r="C2834" s="944" t="s">
        <v>176</v>
      </c>
      <c r="D2834" s="943" t="s">
        <v>17</v>
      </c>
      <c r="E2834" s="945">
        <v>8</v>
      </c>
      <c r="F2834" s="945">
        <v>1</v>
      </c>
      <c r="G2834" s="946">
        <v>807.5</v>
      </c>
      <c r="H2834" s="946">
        <v>789.38</v>
      </c>
    </row>
    <row r="2835" spans="1:9" s="26" customFormat="1">
      <c r="A2835" s="947">
        <v>1</v>
      </c>
      <c r="B2835" s="948">
        <v>220.7</v>
      </c>
      <c r="C2835" s="948" t="s">
        <v>177</v>
      </c>
      <c r="D2835" s="947" t="s">
        <v>2</v>
      </c>
      <c r="E2835" s="950">
        <v>146</v>
      </c>
      <c r="F2835" s="950">
        <v>4</v>
      </c>
      <c r="G2835" s="951">
        <v>500</v>
      </c>
      <c r="H2835" s="951">
        <v>521.49</v>
      </c>
      <c r="I2835" s="18"/>
    </row>
    <row r="2836" spans="1:9">
      <c r="A2836" s="943">
        <v>1</v>
      </c>
      <c r="B2836" s="944">
        <v>220.8</v>
      </c>
      <c r="C2836" s="944" t="s">
        <v>178</v>
      </c>
      <c r="D2836" s="943" t="s">
        <v>2</v>
      </c>
      <c r="E2836" s="945">
        <v>44</v>
      </c>
      <c r="F2836" s="945">
        <v>2</v>
      </c>
      <c r="G2836" s="946">
        <v>1025</v>
      </c>
      <c r="H2836" s="946">
        <v>972.2</v>
      </c>
    </row>
    <row r="2837" spans="1:9" s="26" customFormat="1">
      <c r="A2837" s="947">
        <v>1</v>
      </c>
      <c r="B2837" s="948">
        <v>221</v>
      </c>
      <c r="C2837" s="948" t="s">
        <v>180</v>
      </c>
      <c r="D2837" s="947" t="s">
        <v>2</v>
      </c>
      <c r="E2837" s="950">
        <v>632</v>
      </c>
      <c r="F2837" s="950">
        <v>8</v>
      </c>
      <c r="G2837" s="951">
        <v>1200</v>
      </c>
      <c r="H2837" s="951">
        <v>1213.3</v>
      </c>
      <c r="I2837" s="18"/>
    </row>
    <row r="2838" spans="1:9">
      <c r="A2838" s="943">
        <v>1</v>
      </c>
      <c r="B2838" s="944">
        <v>221.1</v>
      </c>
      <c r="C2838" s="944" t="s">
        <v>1300</v>
      </c>
      <c r="D2838" s="943" t="s">
        <v>2</v>
      </c>
      <c r="E2838" s="945">
        <v>47</v>
      </c>
      <c r="F2838" s="945">
        <v>4</v>
      </c>
      <c r="G2838" s="946">
        <v>1200</v>
      </c>
      <c r="H2838" s="946">
        <v>1135.33</v>
      </c>
    </row>
    <row r="2839" spans="1:9" s="26" customFormat="1">
      <c r="A2839" s="947">
        <v>1</v>
      </c>
      <c r="B2839" s="948">
        <v>222</v>
      </c>
      <c r="C2839" s="948" t="s">
        <v>181</v>
      </c>
      <c r="D2839" s="947" t="s">
        <v>2</v>
      </c>
      <c r="E2839" s="950">
        <v>32</v>
      </c>
      <c r="F2839" s="950">
        <v>3</v>
      </c>
      <c r="G2839" s="951">
        <v>1440</v>
      </c>
      <c r="H2839" s="951">
        <v>1427.14</v>
      </c>
      <c r="I2839" s="18"/>
    </row>
    <row r="2840" spans="1:9">
      <c r="A2840" s="943">
        <v>1</v>
      </c>
      <c r="B2840" s="944">
        <v>222.1</v>
      </c>
      <c r="C2840" s="944" t="s">
        <v>182</v>
      </c>
      <c r="D2840" s="943" t="s">
        <v>2</v>
      </c>
      <c r="E2840" s="945">
        <v>907</v>
      </c>
      <c r="F2840" s="945">
        <v>9</v>
      </c>
      <c r="G2840" s="946">
        <v>1300</v>
      </c>
      <c r="H2840" s="946">
        <v>1329.54</v>
      </c>
    </row>
    <row r="2841" spans="1:9" s="26" customFormat="1">
      <c r="A2841" s="947">
        <v>1</v>
      </c>
      <c r="B2841" s="948">
        <v>222.2</v>
      </c>
      <c r="C2841" s="948" t="s">
        <v>183</v>
      </c>
      <c r="D2841" s="947" t="s">
        <v>2</v>
      </c>
      <c r="E2841" s="950">
        <v>27</v>
      </c>
      <c r="F2841" s="950">
        <v>4</v>
      </c>
      <c r="G2841" s="951">
        <v>1250</v>
      </c>
      <c r="H2841" s="951">
        <v>1316.19</v>
      </c>
      <c r="I2841" s="18"/>
    </row>
    <row r="2842" spans="1:9">
      <c r="A2842" s="943">
        <v>1</v>
      </c>
      <c r="B2842" s="944">
        <v>222.4</v>
      </c>
      <c r="C2842" s="944" t="s">
        <v>4031</v>
      </c>
      <c r="D2842" s="943" t="s">
        <v>2</v>
      </c>
      <c r="E2842" s="945">
        <v>450</v>
      </c>
      <c r="F2842" s="945">
        <v>2</v>
      </c>
      <c r="G2842" s="946">
        <v>3250</v>
      </c>
      <c r="H2842" s="946">
        <v>3266.67</v>
      </c>
    </row>
    <row r="2843" spans="1:9" s="26" customFormat="1">
      <c r="A2843" s="947">
        <v>1</v>
      </c>
      <c r="B2843" s="948">
        <v>223.1</v>
      </c>
      <c r="C2843" s="948" t="s">
        <v>184</v>
      </c>
      <c r="D2843" s="947" t="s">
        <v>2</v>
      </c>
      <c r="E2843" s="950">
        <v>94</v>
      </c>
      <c r="F2843" s="950">
        <v>2</v>
      </c>
      <c r="G2843" s="951">
        <v>150</v>
      </c>
      <c r="H2843" s="951">
        <v>180.79</v>
      </c>
      <c r="I2843" s="18"/>
    </row>
    <row r="2844" spans="1:9">
      <c r="A2844" s="943">
        <v>1</v>
      </c>
      <c r="B2844" s="944">
        <v>223.2</v>
      </c>
      <c r="C2844" s="944" t="s">
        <v>185</v>
      </c>
      <c r="D2844" s="943" t="s">
        <v>2</v>
      </c>
      <c r="E2844" s="945">
        <v>296</v>
      </c>
      <c r="F2844" s="945">
        <v>5</v>
      </c>
      <c r="G2844" s="946">
        <v>150</v>
      </c>
      <c r="H2844" s="946">
        <v>137.5</v>
      </c>
    </row>
    <row r="2845" spans="1:9" s="26" customFormat="1">
      <c r="A2845" s="947">
        <v>1</v>
      </c>
      <c r="B2845" s="948">
        <v>227.3</v>
      </c>
      <c r="C2845" s="948" t="s">
        <v>189</v>
      </c>
      <c r="D2845" s="947" t="s">
        <v>4</v>
      </c>
      <c r="E2845" s="949">
        <v>1739</v>
      </c>
      <c r="F2845" s="950">
        <v>9</v>
      </c>
      <c r="G2845" s="951">
        <v>407.5</v>
      </c>
      <c r="H2845" s="951">
        <v>422.31</v>
      </c>
      <c r="I2845" s="18"/>
    </row>
    <row r="2846" spans="1:9">
      <c r="A2846" s="943">
        <v>1</v>
      </c>
      <c r="B2846" s="944">
        <v>227.31</v>
      </c>
      <c r="C2846" s="944" t="s">
        <v>190</v>
      </c>
      <c r="D2846" s="943" t="s">
        <v>17</v>
      </c>
      <c r="E2846" s="952">
        <v>42408</v>
      </c>
      <c r="F2846" s="945">
        <v>9</v>
      </c>
      <c r="G2846" s="946">
        <v>15.5</v>
      </c>
      <c r="H2846" s="946">
        <v>14.51</v>
      </c>
    </row>
    <row r="2847" spans="1:9" s="26" customFormat="1">
      <c r="A2847" s="947">
        <v>1</v>
      </c>
      <c r="B2847" s="948">
        <v>227.4</v>
      </c>
      <c r="C2847" s="948" t="s">
        <v>191</v>
      </c>
      <c r="D2847" s="947" t="s">
        <v>3</v>
      </c>
      <c r="E2847" s="950">
        <v>988</v>
      </c>
      <c r="F2847" s="950">
        <v>3</v>
      </c>
      <c r="G2847" s="951">
        <v>100</v>
      </c>
      <c r="H2847" s="951">
        <v>91.83</v>
      </c>
      <c r="I2847" s="18"/>
    </row>
    <row r="2848" spans="1:9">
      <c r="A2848" s="943">
        <v>1</v>
      </c>
      <c r="B2848" s="944">
        <v>230.21199999999999</v>
      </c>
      <c r="C2848" s="944" t="s">
        <v>2092</v>
      </c>
      <c r="D2848" s="943" t="s">
        <v>17</v>
      </c>
      <c r="E2848" s="945">
        <v>70</v>
      </c>
      <c r="F2848" s="945">
        <v>1</v>
      </c>
      <c r="G2848" s="946">
        <v>215</v>
      </c>
      <c r="H2848" s="946">
        <v>220.71</v>
      </c>
    </row>
    <row r="2849" spans="1:9" s="26" customFormat="1">
      <c r="A2849" s="947">
        <v>1</v>
      </c>
      <c r="B2849" s="948">
        <v>230.21799999999999</v>
      </c>
      <c r="C2849" s="948" t="s">
        <v>2094</v>
      </c>
      <c r="D2849" s="947" t="s">
        <v>17</v>
      </c>
      <c r="E2849" s="950">
        <v>40</v>
      </c>
      <c r="F2849" s="950">
        <v>1</v>
      </c>
      <c r="G2849" s="951">
        <v>300</v>
      </c>
      <c r="H2849" s="951">
        <v>286.2</v>
      </c>
      <c r="I2849" s="18"/>
    </row>
    <row r="2850" spans="1:9">
      <c r="A2850" s="943">
        <v>1</v>
      </c>
      <c r="B2850" s="944">
        <v>234.12</v>
      </c>
      <c r="C2850" s="944" t="s">
        <v>195</v>
      </c>
      <c r="D2850" s="943" t="s">
        <v>17</v>
      </c>
      <c r="E2850" s="952">
        <v>26100</v>
      </c>
      <c r="F2850" s="945">
        <v>6</v>
      </c>
      <c r="G2850" s="946">
        <v>125</v>
      </c>
      <c r="H2850" s="946">
        <v>121.38</v>
      </c>
    </row>
    <row r="2851" spans="1:9" s="26" customFormat="1">
      <c r="A2851" s="947">
        <v>1</v>
      </c>
      <c r="B2851" s="948">
        <v>234.15</v>
      </c>
      <c r="C2851" s="948" t="s">
        <v>196</v>
      </c>
      <c r="D2851" s="947" t="s">
        <v>17</v>
      </c>
      <c r="E2851" s="949">
        <v>1780</v>
      </c>
      <c r="F2851" s="950">
        <v>2</v>
      </c>
      <c r="G2851" s="951">
        <v>140</v>
      </c>
      <c r="H2851" s="951">
        <v>144</v>
      </c>
      <c r="I2851" s="18"/>
    </row>
    <row r="2852" spans="1:9">
      <c r="A2852" s="943">
        <v>1</v>
      </c>
      <c r="B2852" s="944">
        <v>234.18</v>
      </c>
      <c r="C2852" s="944" t="s">
        <v>197</v>
      </c>
      <c r="D2852" s="943" t="s">
        <v>17</v>
      </c>
      <c r="E2852" s="945">
        <v>340</v>
      </c>
      <c r="F2852" s="945">
        <v>2</v>
      </c>
      <c r="G2852" s="946">
        <v>160</v>
      </c>
      <c r="H2852" s="946">
        <v>162</v>
      </c>
    </row>
    <row r="2853" spans="1:9" s="26" customFormat="1">
      <c r="A2853" s="947">
        <v>1</v>
      </c>
      <c r="B2853" s="948">
        <v>234.24</v>
      </c>
      <c r="C2853" s="948" t="s">
        <v>198</v>
      </c>
      <c r="D2853" s="947" t="s">
        <v>17</v>
      </c>
      <c r="E2853" s="950">
        <v>940</v>
      </c>
      <c r="F2853" s="950">
        <v>4</v>
      </c>
      <c r="G2853" s="951">
        <v>175</v>
      </c>
      <c r="H2853" s="951">
        <v>176.07</v>
      </c>
      <c r="I2853" s="18"/>
    </row>
    <row r="2854" spans="1:9">
      <c r="A2854" s="943">
        <v>1</v>
      </c>
      <c r="B2854" s="944">
        <v>234.36</v>
      </c>
      <c r="C2854" s="944" t="s">
        <v>200</v>
      </c>
      <c r="D2854" s="943" t="s">
        <v>17</v>
      </c>
      <c r="E2854" s="945">
        <v>280</v>
      </c>
      <c r="F2854" s="945">
        <v>2</v>
      </c>
      <c r="G2854" s="946">
        <v>240</v>
      </c>
      <c r="H2854" s="946">
        <v>235</v>
      </c>
    </row>
    <row r="2855" spans="1:9" s="26" customFormat="1">
      <c r="A2855" s="947">
        <v>1</v>
      </c>
      <c r="B2855" s="948">
        <v>235.12</v>
      </c>
      <c r="C2855" s="948" t="s">
        <v>201</v>
      </c>
      <c r="D2855" s="947" t="s">
        <v>2</v>
      </c>
      <c r="E2855" s="950">
        <v>24</v>
      </c>
      <c r="F2855" s="950">
        <v>3</v>
      </c>
      <c r="G2855" s="951">
        <v>1300</v>
      </c>
      <c r="H2855" s="951">
        <v>1293.92</v>
      </c>
      <c r="I2855" s="18"/>
    </row>
    <row r="2856" spans="1:9">
      <c r="A2856" s="943">
        <v>1</v>
      </c>
      <c r="B2856" s="944">
        <v>235.18</v>
      </c>
      <c r="C2856" s="944" t="s">
        <v>203</v>
      </c>
      <c r="D2856" s="943" t="s">
        <v>2</v>
      </c>
      <c r="E2856" s="945">
        <v>6</v>
      </c>
      <c r="F2856" s="945">
        <v>1</v>
      </c>
      <c r="G2856" s="946">
        <v>1450</v>
      </c>
      <c r="H2856" s="946">
        <v>1316.67</v>
      </c>
    </row>
    <row r="2857" spans="1:9" s="26" customFormat="1">
      <c r="A2857" s="947">
        <v>1</v>
      </c>
      <c r="B2857" s="948">
        <v>235.24</v>
      </c>
      <c r="C2857" s="948" t="s">
        <v>204</v>
      </c>
      <c r="D2857" s="947" t="s">
        <v>2</v>
      </c>
      <c r="E2857" s="950">
        <v>25</v>
      </c>
      <c r="F2857" s="950">
        <v>3</v>
      </c>
      <c r="G2857" s="951">
        <v>1687.5</v>
      </c>
      <c r="H2857" s="951">
        <v>1755.36</v>
      </c>
      <c r="I2857" s="18"/>
    </row>
    <row r="2858" spans="1:9">
      <c r="A2858" s="943">
        <v>1</v>
      </c>
      <c r="B2858" s="944">
        <v>235.36</v>
      </c>
      <c r="C2858" s="944" t="s">
        <v>206</v>
      </c>
      <c r="D2858" s="943" t="s">
        <v>2</v>
      </c>
      <c r="E2858" s="945">
        <v>14</v>
      </c>
      <c r="F2858" s="945">
        <v>2</v>
      </c>
      <c r="G2858" s="946">
        <v>2300</v>
      </c>
      <c r="H2858" s="946">
        <v>2424.83</v>
      </c>
    </row>
    <row r="2859" spans="1:9" s="26" customFormat="1">
      <c r="A2859" s="947">
        <v>1</v>
      </c>
      <c r="B2859" s="948">
        <v>238.1</v>
      </c>
      <c r="C2859" s="948" t="s">
        <v>207</v>
      </c>
      <c r="D2859" s="947" t="s">
        <v>17</v>
      </c>
      <c r="E2859" s="949">
        <v>1027</v>
      </c>
      <c r="F2859" s="950">
        <v>3</v>
      </c>
      <c r="G2859" s="951">
        <v>240</v>
      </c>
      <c r="H2859" s="951">
        <v>226.32</v>
      </c>
      <c r="I2859" s="18"/>
    </row>
    <row r="2860" spans="1:9">
      <c r="A2860" s="943">
        <v>1</v>
      </c>
      <c r="B2860" s="944">
        <v>238.12</v>
      </c>
      <c r="C2860" s="944" t="s">
        <v>208</v>
      </c>
      <c r="D2860" s="943" t="s">
        <v>17</v>
      </c>
      <c r="E2860" s="945">
        <v>980</v>
      </c>
      <c r="F2860" s="945">
        <v>2</v>
      </c>
      <c r="G2860" s="946">
        <v>177.5</v>
      </c>
      <c r="H2860" s="946">
        <v>178.18</v>
      </c>
    </row>
    <row r="2861" spans="1:9" s="26" customFormat="1">
      <c r="A2861" s="947">
        <v>1</v>
      </c>
      <c r="B2861" s="948">
        <v>241.12</v>
      </c>
      <c r="C2861" s="948" t="s">
        <v>3996</v>
      </c>
      <c r="D2861" s="947" t="s">
        <v>17</v>
      </c>
      <c r="E2861" s="949">
        <v>1564</v>
      </c>
      <c r="F2861" s="950">
        <v>4</v>
      </c>
      <c r="G2861" s="951">
        <v>135</v>
      </c>
      <c r="H2861" s="951">
        <v>134.66999999999999</v>
      </c>
      <c r="I2861" s="18"/>
    </row>
    <row r="2862" spans="1:9">
      <c r="A2862" s="943">
        <v>1</v>
      </c>
      <c r="B2862" s="944">
        <v>241.15</v>
      </c>
      <c r="C2862" s="944" t="s">
        <v>3997</v>
      </c>
      <c r="D2862" s="943" t="s">
        <v>17</v>
      </c>
      <c r="E2862" s="952">
        <v>2260</v>
      </c>
      <c r="F2862" s="945">
        <v>3</v>
      </c>
      <c r="G2862" s="946">
        <v>170</v>
      </c>
      <c r="H2862" s="946">
        <v>168.52</v>
      </c>
    </row>
    <row r="2863" spans="1:9" s="26" customFormat="1">
      <c r="A2863" s="947">
        <v>1</v>
      </c>
      <c r="B2863" s="948">
        <v>241.36</v>
      </c>
      <c r="C2863" s="948" t="s">
        <v>4000</v>
      </c>
      <c r="D2863" s="947" t="s">
        <v>17</v>
      </c>
      <c r="E2863" s="950">
        <v>350</v>
      </c>
      <c r="F2863" s="950">
        <v>1</v>
      </c>
      <c r="G2863" s="951">
        <v>500</v>
      </c>
      <c r="H2863" s="951">
        <v>484.71</v>
      </c>
      <c r="I2863" s="18"/>
    </row>
    <row r="2864" spans="1:9">
      <c r="A2864" s="943">
        <v>1</v>
      </c>
      <c r="B2864" s="944">
        <v>241.42</v>
      </c>
      <c r="C2864" s="944" t="s">
        <v>4032</v>
      </c>
      <c r="D2864" s="943" t="s">
        <v>17</v>
      </c>
      <c r="E2864" s="945">
        <v>90</v>
      </c>
      <c r="F2864" s="945">
        <v>1</v>
      </c>
      <c r="G2864" s="946">
        <v>550</v>
      </c>
      <c r="H2864" s="946">
        <v>555</v>
      </c>
    </row>
    <row r="2865" spans="1:9" s="26" customFormat="1">
      <c r="A2865" s="947">
        <v>1</v>
      </c>
      <c r="B2865" s="948">
        <v>242.15</v>
      </c>
      <c r="C2865" s="948" t="s">
        <v>220</v>
      </c>
      <c r="D2865" s="947" t="s">
        <v>2</v>
      </c>
      <c r="E2865" s="950">
        <v>6</v>
      </c>
      <c r="F2865" s="950">
        <v>1</v>
      </c>
      <c r="G2865" s="951">
        <v>2500</v>
      </c>
      <c r="H2865" s="951">
        <v>2458.33</v>
      </c>
      <c r="I2865" s="18"/>
    </row>
    <row r="2866" spans="1:9">
      <c r="A2866" s="943">
        <v>1</v>
      </c>
      <c r="B2866" s="944">
        <v>243.24</v>
      </c>
      <c r="C2866" s="944" t="s">
        <v>228</v>
      </c>
      <c r="D2866" s="943" t="s">
        <v>17</v>
      </c>
      <c r="E2866" s="945">
        <v>120</v>
      </c>
      <c r="F2866" s="945">
        <v>1</v>
      </c>
      <c r="G2866" s="946">
        <v>175</v>
      </c>
      <c r="H2866" s="946">
        <v>167.5</v>
      </c>
    </row>
    <row r="2867" spans="1:9" s="26" customFormat="1">
      <c r="A2867" s="947">
        <v>1</v>
      </c>
      <c r="B2867" s="948">
        <v>244.12</v>
      </c>
      <c r="C2867" s="948" t="s">
        <v>229</v>
      </c>
      <c r="D2867" s="947" t="s">
        <v>17</v>
      </c>
      <c r="E2867" s="950">
        <v>820</v>
      </c>
      <c r="F2867" s="950">
        <v>2</v>
      </c>
      <c r="G2867" s="951">
        <v>120</v>
      </c>
      <c r="H2867" s="951">
        <v>118.63</v>
      </c>
      <c r="I2867" s="18"/>
    </row>
    <row r="2868" spans="1:9">
      <c r="A2868" s="943">
        <v>1</v>
      </c>
      <c r="B2868" s="944">
        <v>250.06</v>
      </c>
      <c r="C2868" s="944" t="s">
        <v>235</v>
      </c>
      <c r="D2868" s="943" t="s">
        <v>17</v>
      </c>
      <c r="E2868" s="945">
        <v>24</v>
      </c>
      <c r="F2868" s="945">
        <v>1</v>
      </c>
      <c r="G2868" s="946">
        <v>170</v>
      </c>
      <c r="H2868" s="946">
        <v>158.75</v>
      </c>
    </row>
    <row r="2869" spans="1:9" s="26" customFormat="1">
      <c r="A2869" s="947">
        <v>1</v>
      </c>
      <c r="B2869" s="948">
        <v>250.08</v>
      </c>
      <c r="C2869" s="948" t="s">
        <v>236</v>
      </c>
      <c r="D2869" s="947" t="s">
        <v>17</v>
      </c>
      <c r="E2869" s="950">
        <v>975</v>
      </c>
      <c r="F2869" s="950">
        <v>2</v>
      </c>
      <c r="G2869" s="951">
        <v>150</v>
      </c>
      <c r="H2869" s="951">
        <v>178.91</v>
      </c>
      <c r="I2869" s="18"/>
    </row>
    <row r="2870" spans="1:9">
      <c r="A2870" s="943">
        <v>1</v>
      </c>
      <c r="B2870" s="944">
        <v>252.24</v>
      </c>
      <c r="C2870" s="944" t="s">
        <v>1316</v>
      </c>
      <c r="D2870" s="943" t="s">
        <v>17</v>
      </c>
      <c r="E2870" s="945">
        <v>420</v>
      </c>
      <c r="F2870" s="945">
        <v>1</v>
      </c>
      <c r="G2870" s="946">
        <v>152.5</v>
      </c>
      <c r="H2870" s="946">
        <v>154.16999999999999</v>
      </c>
    </row>
    <row r="2871" spans="1:9" s="26" customFormat="1">
      <c r="A2871" s="947">
        <v>1</v>
      </c>
      <c r="B2871" s="948">
        <v>254.08</v>
      </c>
      <c r="C2871" s="948" t="s">
        <v>2203</v>
      </c>
      <c r="D2871" s="947" t="s">
        <v>17</v>
      </c>
      <c r="E2871" s="950">
        <v>300</v>
      </c>
      <c r="F2871" s="950">
        <v>1</v>
      </c>
      <c r="G2871" s="951">
        <v>150</v>
      </c>
      <c r="H2871" s="951">
        <v>143.75</v>
      </c>
      <c r="I2871" s="18"/>
    </row>
    <row r="2872" spans="1:9">
      <c r="A2872" s="943">
        <v>1</v>
      </c>
      <c r="B2872" s="944">
        <v>258</v>
      </c>
      <c r="C2872" s="944" t="s">
        <v>238</v>
      </c>
      <c r="D2872" s="943" t="s">
        <v>1</v>
      </c>
      <c r="E2872" s="945">
        <v>616</v>
      </c>
      <c r="F2872" s="945">
        <v>5</v>
      </c>
      <c r="G2872" s="946">
        <v>115</v>
      </c>
      <c r="H2872" s="946">
        <v>110.59</v>
      </c>
    </row>
    <row r="2873" spans="1:9" s="26" customFormat="1">
      <c r="A2873" s="947">
        <v>1</v>
      </c>
      <c r="B2873" s="948">
        <v>265.06</v>
      </c>
      <c r="C2873" s="948" t="s">
        <v>239</v>
      </c>
      <c r="D2873" s="947" t="s">
        <v>17</v>
      </c>
      <c r="E2873" s="950">
        <v>700</v>
      </c>
      <c r="F2873" s="950">
        <v>2</v>
      </c>
      <c r="G2873" s="951">
        <v>79.989999999999995</v>
      </c>
      <c r="H2873" s="951">
        <v>79.28</v>
      </c>
      <c r="I2873" s="18"/>
    </row>
    <row r="2874" spans="1:9">
      <c r="A2874" s="943">
        <v>1</v>
      </c>
      <c r="B2874" s="944">
        <v>265.08</v>
      </c>
      <c r="C2874" s="944" t="s">
        <v>2230</v>
      </c>
      <c r="D2874" s="943" t="s">
        <v>17</v>
      </c>
      <c r="E2874" s="945">
        <v>240</v>
      </c>
      <c r="F2874" s="945">
        <v>1</v>
      </c>
      <c r="G2874" s="946">
        <v>87.5</v>
      </c>
      <c r="H2874" s="946">
        <v>83.33</v>
      </c>
    </row>
    <row r="2875" spans="1:9" s="26" customFormat="1">
      <c r="A2875" s="947">
        <v>1</v>
      </c>
      <c r="B2875" s="948">
        <v>271.12</v>
      </c>
      <c r="C2875" s="948" t="s">
        <v>243</v>
      </c>
      <c r="D2875" s="947" t="s">
        <v>17</v>
      </c>
      <c r="E2875" s="949">
        <v>2400</v>
      </c>
      <c r="F2875" s="950">
        <v>1</v>
      </c>
      <c r="G2875" s="951">
        <v>35</v>
      </c>
      <c r="H2875" s="951">
        <v>36.25</v>
      </c>
      <c r="I2875" s="18"/>
    </row>
    <row r="2876" spans="1:9">
      <c r="A2876" s="943">
        <v>1</v>
      </c>
      <c r="B2876" s="944">
        <v>271.24</v>
      </c>
      <c r="C2876" s="944" t="s">
        <v>2244</v>
      </c>
      <c r="D2876" s="943" t="s">
        <v>17</v>
      </c>
      <c r="E2876" s="945">
        <v>500</v>
      </c>
      <c r="F2876" s="945">
        <v>1</v>
      </c>
      <c r="G2876" s="946">
        <v>50</v>
      </c>
      <c r="H2876" s="946">
        <v>54</v>
      </c>
    </row>
    <row r="2877" spans="1:9" s="26" customFormat="1">
      <c r="A2877" s="947">
        <v>1</v>
      </c>
      <c r="B2877" s="948">
        <v>280</v>
      </c>
      <c r="C2877" s="948" t="s">
        <v>244</v>
      </c>
      <c r="D2877" s="947" t="s">
        <v>1</v>
      </c>
      <c r="E2877" s="950">
        <v>632</v>
      </c>
      <c r="F2877" s="950">
        <v>5</v>
      </c>
      <c r="G2877" s="951">
        <v>200</v>
      </c>
      <c r="H2877" s="951">
        <v>184.07</v>
      </c>
      <c r="I2877" s="18"/>
    </row>
    <row r="2878" spans="1:9">
      <c r="A2878" s="943">
        <v>1</v>
      </c>
      <c r="B2878" s="944">
        <v>280.10000000000002</v>
      </c>
      <c r="C2878" s="944" t="s">
        <v>244</v>
      </c>
      <c r="D2878" s="943" t="s">
        <v>7</v>
      </c>
      <c r="E2878" s="945">
        <v>386</v>
      </c>
      <c r="F2878" s="945">
        <v>4</v>
      </c>
      <c r="G2878" s="946">
        <v>400</v>
      </c>
      <c r="H2878" s="946">
        <v>382.31</v>
      </c>
    </row>
    <row r="2879" spans="1:9" s="26" customFormat="1">
      <c r="A2879" s="947">
        <v>1</v>
      </c>
      <c r="B2879" s="948">
        <v>302.06</v>
      </c>
      <c r="C2879" s="948" t="s">
        <v>247</v>
      </c>
      <c r="D2879" s="947" t="s">
        <v>17</v>
      </c>
      <c r="E2879" s="950">
        <v>520</v>
      </c>
      <c r="F2879" s="950">
        <v>1</v>
      </c>
      <c r="G2879" s="951">
        <v>150</v>
      </c>
      <c r="H2879" s="951">
        <v>150</v>
      </c>
      <c r="I2879" s="18"/>
    </row>
    <row r="2880" spans="1:9">
      <c r="A2880" s="943">
        <v>1</v>
      </c>
      <c r="B2880" s="944">
        <v>303.06</v>
      </c>
      <c r="C2880" s="944" t="s">
        <v>251</v>
      </c>
      <c r="D2880" s="943" t="s">
        <v>17</v>
      </c>
      <c r="E2880" s="952">
        <v>1690</v>
      </c>
      <c r="F2880" s="945">
        <v>2</v>
      </c>
      <c r="G2880" s="946">
        <v>183.5</v>
      </c>
      <c r="H2880" s="946">
        <v>174.45</v>
      </c>
    </row>
    <row r="2881" spans="1:9" s="26" customFormat="1">
      <c r="A2881" s="947">
        <v>1</v>
      </c>
      <c r="B2881" s="948">
        <v>303.08</v>
      </c>
      <c r="C2881" s="948" t="s">
        <v>252</v>
      </c>
      <c r="D2881" s="947" t="s">
        <v>17</v>
      </c>
      <c r="E2881" s="949">
        <v>1190</v>
      </c>
      <c r="F2881" s="950">
        <v>2</v>
      </c>
      <c r="G2881" s="951">
        <v>200</v>
      </c>
      <c r="H2881" s="951">
        <v>196.87</v>
      </c>
      <c r="I2881" s="18"/>
    </row>
    <row r="2882" spans="1:9">
      <c r="A2882" s="943">
        <v>1</v>
      </c>
      <c r="B2882" s="944">
        <v>303.10000000000002</v>
      </c>
      <c r="C2882" s="944" t="s">
        <v>253</v>
      </c>
      <c r="D2882" s="943" t="s">
        <v>17</v>
      </c>
      <c r="E2882" s="945">
        <v>720</v>
      </c>
      <c r="F2882" s="945">
        <v>1</v>
      </c>
      <c r="G2882" s="946">
        <v>230</v>
      </c>
      <c r="H2882" s="946">
        <v>231.88</v>
      </c>
    </row>
    <row r="2883" spans="1:9" s="26" customFormat="1">
      <c r="A2883" s="947">
        <v>1</v>
      </c>
      <c r="B2883" s="948">
        <v>303.12</v>
      </c>
      <c r="C2883" s="948" t="s">
        <v>254</v>
      </c>
      <c r="D2883" s="947" t="s">
        <v>17</v>
      </c>
      <c r="E2883" s="950">
        <v>300</v>
      </c>
      <c r="F2883" s="950">
        <v>1</v>
      </c>
      <c r="G2883" s="951">
        <v>300</v>
      </c>
      <c r="H2883" s="951">
        <v>280</v>
      </c>
      <c r="I2883" s="18"/>
    </row>
    <row r="2884" spans="1:9">
      <c r="A2884" s="943">
        <v>1</v>
      </c>
      <c r="B2884" s="944">
        <v>309</v>
      </c>
      <c r="C2884" s="944" t="s">
        <v>256</v>
      </c>
      <c r="D2884" s="943" t="s">
        <v>100</v>
      </c>
      <c r="E2884" s="952">
        <v>5080</v>
      </c>
      <c r="F2884" s="945">
        <v>4</v>
      </c>
      <c r="G2884" s="946">
        <v>13</v>
      </c>
      <c r="H2884" s="946">
        <v>12.16</v>
      </c>
    </row>
    <row r="2885" spans="1:9" s="26" customFormat="1">
      <c r="A2885" s="947">
        <v>1</v>
      </c>
      <c r="B2885" s="948">
        <v>347.1</v>
      </c>
      <c r="C2885" s="948" t="s">
        <v>260</v>
      </c>
      <c r="D2885" s="947" t="s">
        <v>17</v>
      </c>
      <c r="E2885" s="950">
        <v>945</v>
      </c>
      <c r="F2885" s="950">
        <v>2</v>
      </c>
      <c r="G2885" s="951">
        <v>100</v>
      </c>
      <c r="H2885" s="951">
        <v>95.7</v>
      </c>
      <c r="I2885" s="18"/>
    </row>
    <row r="2886" spans="1:9">
      <c r="A2886" s="943">
        <v>1</v>
      </c>
      <c r="B2886" s="944">
        <v>349.08</v>
      </c>
      <c r="C2886" s="944" t="s">
        <v>1331</v>
      </c>
      <c r="D2886" s="943" t="s">
        <v>2</v>
      </c>
      <c r="E2886" s="945">
        <v>7</v>
      </c>
      <c r="F2886" s="945">
        <v>1</v>
      </c>
      <c r="G2886" s="946">
        <v>3300</v>
      </c>
      <c r="H2886" s="946">
        <v>3042.86</v>
      </c>
    </row>
    <row r="2887" spans="1:9" s="26" customFormat="1">
      <c r="A2887" s="947">
        <v>1</v>
      </c>
      <c r="B2887" s="948">
        <v>350.06</v>
      </c>
      <c r="C2887" s="948" t="s">
        <v>264</v>
      </c>
      <c r="D2887" s="947" t="s">
        <v>2</v>
      </c>
      <c r="E2887" s="950">
        <v>4</v>
      </c>
      <c r="F2887" s="950">
        <v>1</v>
      </c>
      <c r="G2887" s="951">
        <v>3375</v>
      </c>
      <c r="H2887" s="951">
        <v>3375</v>
      </c>
      <c r="I2887" s="18"/>
    </row>
    <row r="2888" spans="1:9">
      <c r="A2888" s="943">
        <v>1</v>
      </c>
      <c r="B2888" s="944">
        <v>357.06</v>
      </c>
      <c r="C2888" s="944" t="s">
        <v>268</v>
      </c>
      <c r="D2888" s="943" t="s">
        <v>2</v>
      </c>
      <c r="E2888" s="945">
        <v>7</v>
      </c>
      <c r="F2888" s="945">
        <v>1</v>
      </c>
      <c r="G2888" s="946">
        <v>600</v>
      </c>
      <c r="H2888" s="946">
        <v>597.41999999999996</v>
      </c>
    </row>
    <row r="2889" spans="1:9" s="26" customFormat="1">
      <c r="A2889" s="947">
        <v>1</v>
      </c>
      <c r="B2889" s="948">
        <v>357.08</v>
      </c>
      <c r="C2889" s="948" t="s">
        <v>269</v>
      </c>
      <c r="D2889" s="947" t="s">
        <v>2</v>
      </c>
      <c r="E2889" s="950">
        <v>7</v>
      </c>
      <c r="F2889" s="950">
        <v>1</v>
      </c>
      <c r="G2889" s="951">
        <v>600</v>
      </c>
      <c r="H2889" s="951">
        <v>604.55999999999995</v>
      </c>
      <c r="I2889" s="18"/>
    </row>
    <row r="2890" spans="1:9">
      <c r="A2890" s="943">
        <v>1</v>
      </c>
      <c r="B2890" s="944">
        <v>357.1</v>
      </c>
      <c r="C2890" s="944" t="s">
        <v>270</v>
      </c>
      <c r="D2890" s="943" t="s">
        <v>2</v>
      </c>
      <c r="E2890" s="945">
        <v>7</v>
      </c>
      <c r="F2890" s="945">
        <v>1</v>
      </c>
      <c r="G2890" s="946">
        <v>600</v>
      </c>
      <c r="H2890" s="946">
        <v>611.70000000000005</v>
      </c>
    </row>
    <row r="2891" spans="1:9" s="26" customFormat="1">
      <c r="A2891" s="947">
        <v>1</v>
      </c>
      <c r="B2891" s="948">
        <v>357.12</v>
      </c>
      <c r="C2891" s="948" t="s">
        <v>271</v>
      </c>
      <c r="D2891" s="947" t="s">
        <v>2</v>
      </c>
      <c r="E2891" s="950">
        <v>175</v>
      </c>
      <c r="F2891" s="950">
        <v>1</v>
      </c>
      <c r="G2891" s="951">
        <v>750</v>
      </c>
      <c r="H2891" s="951">
        <v>680</v>
      </c>
      <c r="I2891" s="18"/>
    </row>
    <row r="2892" spans="1:9">
      <c r="A2892" s="943">
        <v>1</v>
      </c>
      <c r="B2892" s="944">
        <v>358</v>
      </c>
      <c r="C2892" s="944" t="s">
        <v>274</v>
      </c>
      <c r="D2892" s="943" t="s">
        <v>2</v>
      </c>
      <c r="E2892" s="945">
        <v>828</v>
      </c>
      <c r="F2892" s="945">
        <v>4</v>
      </c>
      <c r="G2892" s="946">
        <v>350</v>
      </c>
      <c r="H2892" s="946">
        <v>319.27999999999997</v>
      </c>
    </row>
    <row r="2893" spans="1:9" s="26" customFormat="1">
      <c r="A2893" s="947">
        <v>1</v>
      </c>
      <c r="B2893" s="948">
        <v>358.1</v>
      </c>
      <c r="C2893" s="948" t="s">
        <v>275</v>
      </c>
      <c r="D2893" s="947" t="s">
        <v>2</v>
      </c>
      <c r="E2893" s="950">
        <v>12</v>
      </c>
      <c r="F2893" s="950">
        <v>3</v>
      </c>
      <c r="G2893" s="951">
        <v>160</v>
      </c>
      <c r="H2893" s="951">
        <v>174.02</v>
      </c>
      <c r="I2893" s="18"/>
    </row>
    <row r="2894" spans="1:9">
      <c r="A2894" s="943">
        <v>1</v>
      </c>
      <c r="B2894" s="944">
        <v>363.1</v>
      </c>
      <c r="C2894" s="944" t="s">
        <v>276</v>
      </c>
      <c r="D2894" s="943" t="s">
        <v>2</v>
      </c>
      <c r="E2894" s="945">
        <v>20</v>
      </c>
      <c r="F2894" s="945">
        <v>2</v>
      </c>
      <c r="G2894" s="946">
        <v>500</v>
      </c>
      <c r="H2894" s="946">
        <v>433.33</v>
      </c>
    </row>
    <row r="2895" spans="1:9" s="26" customFormat="1">
      <c r="A2895" s="947">
        <v>1</v>
      </c>
      <c r="B2895" s="948">
        <v>370.4</v>
      </c>
      <c r="C2895" s="948" t="s">
        <v>283</v>
      </c>
      <c r="D2895" s="947" t="s">
        <v>2</v>
      </c>
      <c r="E2895" s="950">
        <v>7</v>
      </c>
      <c r="F2895" s="950">
        <v>1</v>
      </c>
      <c r="G2895" s="951">
        <v>15000</v>
      </c>
      <c r="H2895" s="951">
        <v>13050</v>
      </c>
      <c r="I2895" s="18"/>
    </row>
    <row r="2896" spans="1:9">
      <c r="A2896" s="943">
        <v>1</v>
      </c>
      <c r="B2896" s="944">
        <v>376.2</v>
      </c>
      <c r="C2896" s="944" t="s">
        <v>292</v>
      </c>
      <c r="D2896" s="943" t="s">
        <v>2</v>
      </c>
      <c r="E2896" s="945">
        <v>49</v>
      </c>
      <c r="F2896" s="945">
        <v>2</v>
      </c>
      <c r="G2896" s="946">
        <v>3879.65</v>
      </c>
      <c r="H2896" s="946">
        <v>3797.09</v>
      </c>
    </row>
    <row r="2897" spans="1:9" s="26" customFormat="1">
      <c r="A2897" s="947">
        <v>1</v>
      </c>
      <c r="B2897" s="948">
        <v>376.5</v>
      </c>
      <c r="C2897" s="948" t="s">
        <v>294</v>
      </c>
      <c r="D2897" s="947" t="s">
        <v>2</v>
      </c>
      <c r="E2897" s="950">
        <v>53</v>
      </c>
      <c r="F2897" s="950">
        <v>2</v>
      </c>
      <c r="G2897" s="951">
        <v>2500</v>
      </c>
      <c r="H2897" s="951">
        <v>2250</v>
      </c>
      <c r="I2897" s="18"/>
    </row>
    <row r="2898" spans="1:9">
      <c r="A2898" s="943">
        <v>1</v>
      </c>
      <c r="B2898" s="944">
        <v>381</v>
      </c>
      <c r="C2898" s="944" t="s">
        <v>295</v>
      </c>
      <c r="D2898" s="943" t="s">
        <v>2</v>
      </c>
      <c r="E2898" s="945">
        <v>257</v>
      </c>
      <c r="F2898" s="945">
        <v>3</v>
      </c>
      <c r="G2898" s="946">
        <v>487.5</v>
      </c>
      <c r="H2898" s="946">
        <v>500.16</v>
      </c>
    </row>
    <row r="2899" spans="1:9" s="26" customFormat="1">
      <c r="A2899" s="947">
        <v>1</v>
      </c>
      <c r="B2899" s="948">
        <v>381.2</v>
      </c>
      <c r="C2899" s="948" t="s">
        <v>297</v>
      </c>
      <c r="D2899" s="947" t="s">
        <v>2</v>
      </c>
      <c r="E2899" s="950">
        <v>1</v>
      </c>
      <c r="F2899" s="950">
        <v>1</v>
      </c>
      <c r="G2899" s="951">
        <v>125</v>
      </c>
      <c r="H2899" s="951">
        <v>125</v>
      </c>
      <c r="I2899" s="18"/>
    </row>
    <row r="2900" spans="1:9">
      <c r="A2900" s="943">
        <v>1</v>
      </c>
      <c r="B2900" s="944">
        <v>381.3</v>
      </c>
      <c r="C2900" s="944" t="s">
        <v>298</v>
      </c>
      <c r="D2900" s="943" t="s">
        <v>2</v>
      </c>
      <c r="E2900" s="945">
        <v>479</v>
      </c>
      <c r="F2900" s="945">
        <v>3</v>
      </c>
      <c r="G2900" s="946">
        <v>307.5</v>
      </c>
      <c r="H2900" s="946">
        <v>297.99</v>
      </c>
    </row>
    <row r="2901" spans="1:9" s="26" customFormat="1">
      <c r="A2901" s="947">
        <v>1</v>
      </c>
      <c r="B2901" s="948">
        <v>384</v>
      </c>
      <c r="C2901" s="948" t="s">
        <v>299</v>
      </c>
      <c r="D2901" s="947" t="s">
        <v>2</v>
      </c>
      <c r="E2901" s="950">
        <v>20</v>
      </c>
      <c r="F2901" s="950">
        <v>1</v>
      </c>
      <c r="G2901" s="951">
        <v>625</v>
      </c>
      <c r="H2901" s="951">
        <v>531.25</v>
      </c>
      <c r="I2901" s="18"/>
    </row>
    <row r="2902" spans="1:9">
      <c r="A2902" s="943">
        <v>1</v>
      </c>
      <c r="B2902" s="944">
        <v>402</v>
      </c>
      <c r="C2902" s="944" t="s">
        <v>301</v>
      </c>
      <c r="D2902" s="943" t="s">
        <v>4</v>
      </c>
      <c r="E2902" s="952">
        <v>25438</v>
      </c>
      <c r="F2902" s="945">
        <v>12</v>
      </c>
      <c r="G2902" s="946">
        <v>100</v>
      </c>
      <c r="H2902" s="946">
        <v>99.42</v>
      </c>
    </row>
    <row r="2903" spans="1:9" s="26" customFormat="1">
      <c r="A2903" s="947">
        <v>1</v>
      </c>
      <c r="B2903" s="948">
        <v>402.11</v>
      </c>
      <c r="C2903" s="948" t="s">
        <v>302</v>
      </c>
      <c r="D2903" s="947" t="s">
        <v>7</v>
      </c>
      <c r="E2903" s="950">
        <v>60</v>
      </c>
      <c r="F2903" s="950">
        <v>1</v>
      </c>
      <c r="G2903" s="951">
        <v>100</v>
      </c>
      <c r="H2903" s="951">
        <v>103.33</v>
      </c>
      <c r="I2903" s="18"/>
    </row>
    <row r="2904" spans="1:9">
      <c r="A2904" s="943">
        <v>1</v>
      </c>
      <c r="B2904" s="944">
        <v>402.12</v>
      </c>
      <c r="C2904" s="944" t="s">
        <v>302</v>
      </c>
      <c r="D2904" s="943" t="s">
        <v>4</v>
      </c>
      <c r="E2904" s="945">
        <v>860</v>
      </c>
      <c r="F2904" s="945">
        <v>2</v>
      </c>
      <c r="G2904" s="946">
        <v>113.5</v>
      </c>
      <c r="H2904" s="946">
        <v>116.57</v>
      </c>
    </row>
    <row r="2905" spans="1:9" s="26" customFormat="1">
      <c r="A2905" s="947">
        <v>1</v>
      </c>
      <c r="B2905" s="948">
        <v>402.13</v>
      </c>
      <c r="C2905" s="948" t="s">
        <v>1359</v>
      </c>
      <c r="D2905" s="947" t="s">
        <v>17</v>
      </c>
      <c r="E2905" s="949">
        <v>202658</v>
      </c>
      <c r="F2905" s="950">
        <v>2</v>
      </c>
      <c r="G2905" s="951">
        <v>4.78</v>
      </c>
      <c r="H2905" s="951">
        <v>4.91</v>
      </c>
      <c r="I2905" s="18"/>
    </row>
    <row r="2906" spans="1:9">
      <c r="A2906" s="943">
        <v>1</v>
      </c>
      <c r="B2906" s="944">
        <v>415.1</v>
      </c>
      <c r="C2906" s="944" t="s">
        <v>1360</v>
      </c>
      <c r="D2906" s="943" t="s">
        <v>1</v>
      </c>
      <c r="E2906" s="952">
        <v>57660</v>
      </c>
      <c r="F2906" s="945">
        <v>3</v>
      </c>
      <c r="G2906" s="946">
        <v>11.5</v>
      </c>
      <c r="H2906" s="946">
        <v>20.12</v>
      </c>
    </row>
    <row r="2907" spans="1:9" s="26" customFormat="1">
      <c r="A2907" s="947">
        <v>1</v>
      </c>
      <c r="B2907" s="948">
        <v>415.2</v>
      </c>
      <c r="C2907" s="948" t="s">
        <v>1361</v>
      </c>
      <c r="D2907" s="947" t="s">
        <v>1</v>
      </c>
      <c r="E2907" s="949">
        <v>1838730</v>
      </c>
      <c r="F2907" s="950">
        <v>5</v>
      </c>
      <c r="G2907" s="951">
        <v>24</v>
      </c>
      <c r="H2907" s="951">
        <v>25.09</v>
      </c>
      <c r="I2907" s="18"/>
    </row>
    <row r="2908" spans="1:9">
      <c r="A2908" s="943">
        <v>1</v>
      </c>
      <c r="B2908" s="944">
        <v>415.3</v>
      </c>
      <c r="C2908" s="944" t="s">
        <v>1230</v>
      </c>
      <c r="D2908" s="943" t="s">
        <v>1</v>
      </c>
      <c r="E2908" s="952">
        <v>5870</v>
      </c>
      <c r="F2908" s="945">
        <v>3</v>
      </c>
      <c r="G2908" s="946">
        <v>35</v>
      </c>
      <c r="H2908" s="946">
        <v>33.25</v>
      </c>
    </row>
    <row r="2909" spans="1:9" s="26" customFormat="1">
      <c r="A2909" s="947">
        <v>1</v>
      </c>
      <c r="B2909" s="948">
        <v>431</v>
      </c>
      <c r="C2909" s="948" t="s">
        <v>27</v>
      </c>
      <c r="D2909" s="947" t="s">
        <v>1</v>
      </c>
      <c r="E2909" s="949">
        <v>9730</v>
      </c>
      <c r="F2909" s="950">
        <v>2</v>
      </c>
      <c r="G2909" s="951">
        <v>77.5</v>
      </c>
      <c r="H2909" s="951">
        <v>78.64</v>
      </c>
      <c r="I2909" s="18"/>
    </row>
    <row r="2910" spans="1:9">
      <c r="A2910" s="943">
        <v>1</v>
      </c>
      <c r="B2910" s="944">
        <v>440</v>
      </c>
      <c r="C2910" s="944" t="s">
        <v>305</v>
      </c>
      <c r="D2910" s="943" t="s">
        <v>100</v>
      </c>
      <c r="E2910" s="952">
        <v>336365</v>
      </c>
      <c r="F2910" s="945">
        <v>8</v>
      </c>
      <c r="G2910" s="946">
        <v>0.5</v>
      </c>
      <c r="H2910" s="946">
        <v>0.49</v>
      </c>
    </row>
    <row r="2911" spans="1:9" s="26" customFormat="1">
      <c r="A2911" s="947">
        <v>1</v>
      </c>
      <c r="B2911" s="948">
        <v>443</v>
      </c>
      <c r="C2911" s="948" t="s">
        <v>306</v>
      </c>
      <c r="D2911" s="947" t="s">
        <v>307</v>
      </c>
      <c r="E2911" s="950">
        <v>481</v>
      </c>
      <c r="F2911" s="950">
        <v>8</v>
      </c>
      <c r="G2911" s="951">
        <v>100</v>
      </c>
      <c r="H2911" s="951">
        <v>78.95</v>
      </c>
      <c r="I2911" s="18"/>
    </row>
    <row r="2912" spans="1:9">
      <c r="A2912" s="943">
        <v>1</v>
      </c>
      <c r="B2912" s="944">
        <v>450.22</v>
      </c>
      <c r="C2912" s="944" t="s">
        <v>4033</v>
      </c>
      <c r="D2912" s="943" t="s">
        <v>7</v>
      </c>
      <c r="E2912" s="952">
        <v>3945</v>
      </c>
      <c r="F2912" s="945">
        <v>5</v>
      </c>
      <c r="G2912" s="946">
        <v>267.5</v>
      </c>
      <c r="H2912" s="946">
        <v>280.35000000000002</v>
      </c>
    </row>
    <row r="2913" spans="1:9" s="26" customFormat="1">
      <c r="A2913" s="947">
        <v>1</v>
      </c>
      <c r="B2913" s="948">
        <v>450.23</v>
      </c>
      <c r="C2913" s="948" t="s">
        <v>308</v>
      </c>
      <c r="D2913" s="947" t="s">
        <v>7</v>
      </c>
      <c r="E2913" s="949">
        <v>44660</v>
      </c>
      <c r="F2913" s="950">
        <v>2</v>
      </c>
      <c r="G2913" s="951">
        <v>135</v>
      </c>
      <c r="H2913" s="951">
        <v>135.27000000000001</v>
      </c>
      <c r="I2913" s="18"/>
    </row>
    <row r="2914" spans="1:9">
      <c r="A2914" s="943">
        <v>1</v>
      </c>
      <c r="B2914" s="944">
        <v>450.23099999999999</v>
      </c>
      <c r="C2914" s="944" t="s">
        <v>1367</v>
      </c>
      <c r="D2914" s="943" t="s">
        <v>7</v>
      </c>
      <c r="E2914" s="952">
        <v>270400</v>
      </c>
      <c r="F2914" s="945">
        <v>5</v>
      </c>
      <c r="G2914" s="946">
        <v>169.19</v>
      </c>
      <c r="H2914" s="946">
        <v>174.97</v>
      </c>
    </row>
    <row r="2915" spans="1:9" s="26" customFormat="1">
      <c r="A2915" s="947">
        <v>1</v>
      </c>
      <c r="B2915" s="948">
        <v>450.31</v>
      </c>
      <c r="C2915" s="948" t="s">
        <v>53</v>
      </c>
      <c r="D2915" s="947" t="s">
        <v>7</v>
      </c>
      <c r="E2915" s="949">
        <v>22700</v>
      </c>
      <c r="F2915" s="950">
        <v>9</v>
      </c>
      <c r="G2915" s="951">
        <v>259</v>
      </c>
      <c r="H2915" s="951">
        <v>246.78</v>
      </c>
      <c r="I2915" s="18"/>
    </row>
    <row r="2916" spans="1:9">
      <c r="A2916" s="943">
        <v>1</v>
      </c>
      <c r="B2916" s="944">
        <v>450.31099999999998</v>
      </c>
      <c r="C2916" s="944" t="s">
        <v>1369</v>
      </c>
      <c r="D2916" s="943" t="s">
        <v>7</v>
      </c>
      <c r="E2916" s="952">
        <v>4440</v>
      </c>
      <c r="F2916" s="945">
        <v>2</v>
      </c>
      <c r="G2916" s="946">
        <v>170</v>
      </c>
      <c r="H2916" s="946">
        <v>171.8</v>
      </c>
    </row>
    <row r="2917" spans="1:9" s="26" customFormat="1">
      <c r="A2917" s="947">
        <v>1</v>
      </c>
      <c r="B2917" s="948">
        <v>450.32</v>
      </c>
      <c r="C2917" s="948" t="s">
        <v>309</v>
      </c>
      <c r="D2917" s="947" t="s">
        <v>7</v>
      </c>
      <c r="E2917" s="949">
        <v>16250</v>
      </c>
      <c r="F2917" s="950">
        <v>4</v>
      </c>
      <c r="G2917" s="951">
        <v>195</v>
      </c>
      <c r="H2917" s="951">
        <v>202.87</v>
      </c>
      <c r="I2917" s="18"/>
    </row>
    <row r="2918" spans="1:9">
      <c r="A2918" s="943">
        <v>1</v>
      </c>
      <c r="B2918" s="944">
        <v>450.41</v>
      </c>
      <c r="C2918" s="944" t="s">
        <v>1371</v>
      </c>
      <c r="D2918" s="943" t="s">
        <v>7</v>
      </c>
      <c r="E2918" s="952">
        <v>18580</v>
      </c>
      <c r="F2918" s="945">
        <v>2</v>
      </c>
      <c r="G2918" s="946">
        <v>130</v>
      </c>
      <c r="H2918" s="946">
        <v>135.72999999999999</v>
      </c>
    </row>
    <row r="2919" spans="1:9" s="26" customFormat="1">
      <c r="A2919" s="947">
        <v>1</v>
      </c>
      <c r="B2919" s="948">
        <v>450.42</v>
      </c>
      <c r="C2919" s="948" t="s">
        <v>37</v>
      </c>
      <c r="D2919" s="947" t="s">
        <v>7</v>
      </c>
      <c r="E2919" s="949">
        <v>8930</v>
      </c>
      <c r="F2919" s="950">
        <v>7</v>
      </c>
      <c r="G2919" s="951">
        <v>262.5</v>
      </c>
      <c r="H2919" s="951">
        <v>252.94</v>
      </c>
      <c r="I2919" s="18"/>
    </row>
    <row r="2920" spans="1:9">
      <c r="A2920" s="943">
        <v>1</v>
      </c>
      <c r="B2920" s="944">
        <v>450.53</v>
      </c>
      <c r="C2920" s="944" t="s">
        <v>1372</v>
      </c>
      <c r="D2920" s="943" t="s">
        <v>7</v>
      </c>
      <c r="E2920" s="945">
        <v>45</v>
      </c>
      <c r="F2920" s="945">
        <v>1</v>
      </c>
      <c r="G2920" s="946">
        <v>495</v>
      </c>
      <c r="H2920" s="946">
        <v>487.8</v>
      </c>
    </row>
    <row r="2921" spans="1:9" s="26" customFormat="1">
      <c r="A2921" s="947">
        <v>1</v>
      </c>
      <c r="B2921" s="948">
        <v>450.6</v>
      </c>
      <c r="C2921" s="948" t="s">
        <v>311</v>
      </c>
      <c r="D2921" s="947" t="s">
        <v>7</v>
      </c>
      <c r="E2921" s="949">
        <v>2376</v>
      </c>
      <c r="F2921" s="950">
        <v>4</v>
      </c>
      <c r="G2921" s="951">
        <v>357.5</v>
      </c>
      <c r="H2921" s="951">
        <v>349.79</v>
      </c>
      <c r="I2921" s="18"/>
    </row>
    <row r="2922" spans="1:9">
      <c r="A2922" s="943">
        <v>1</v>
      </c>
      <c r="B2922" s="944">
        <v>450.601</v>
      </c>
      <c r="C2922" s="944" t="s">
        <v>1373</v>
      </c>
      <c r="D2922" s="943" t="s">
        <v>7</v>
      </c>
      <c r="E2922" s="945">
        <v>180</v>
      </c>
      <c r="F2922" s="945">
        <v>1</v>
      </c>
      <c r="G2922" s="946">
        <v>617.5</v>
      </c>
      <c r="H2922" s="946">
        <v>621.25</v>
      </c>
    </row>
    <row r="2923" spans="1:9" s="26" customFormat="1">
      <c r="A2923" s="947">
        <v>1</v>
      </c>
      <c r="B2923" s="948">
        <v>450.7</v>
      </c>
      <c r="C2923" s="948" t="s">
        <v>313</v>
      </c>
      <c r="D2923" s="947" t="s">
        <v>7</v>
      </c>
      <c r="E2923" s="950">
        <v>288</v>
      </c>
      <c r="F2923" s="950">
        <v>3</v>
      </c>
      <c r="G2923" s="951">
        <v>380</v>
      </c>
      <c r="H2923" s="951">
        <v>403.08</v>
      </c>
      <c r="I2923" s="18"/>
    </row>
    <row r="2924" spans="1:9">
      <c r="A2924" s="943">
        <v>1</v>
      </c>
      <c r="B2924" s="944">
        <v>450.71</v>
      </c>
      <c r="C2924" s="944" t="s">
        <v>4035</v>
      </c>
      <c r="D2924" s="943" t="s">
        <v>7</v>
      </c>
      <c r="E2924" s="945">
        <v>102</v>
      </c>
      <c r="F2924" s="945">
        <v>3</v>
      </c>
      <c r="G2924" s="946">
        <v>490</v>
      </c>
      <c r="H2924" s="946">
        <v>458.86</v>
      </c>
    </row>
    <row r="2925" spans="1:9" s="26" customFormat="1">
      <c r="A2925" s="947">
        <v>1</v>
      </c>
      <c r="B2925" s="948">
        <v>450.71100000000001</v>
      </c>
      <c r="C2925" s="948" t="s">
        <v>4036</v>
      </c>
      <c r="D2925" s="947" t="s">
        <v>7</v>
      </c>
      <c r="E2925" s="950">
        <v>160</v>
      </c>
      <c r="F2925" s="950">
        <v>1</v>
      </c>
      <c r="G2925" s="951">
        <v>617.5</v>
      </c>
      <c r="H2925" s="951">
        <v>621.25</v>
      </c>
      <c r="I2925" s="18"/>
    </row>
    <row r="2926" spans="1:9">
      <c r="A2926" s="943">
        <v>1</v>
      </c>
      <c r="B2926" s="944">
        <v>451</v>
      </c>
      <c r="C2926" s="944" t="s">
        <v>36</v>
      </c>
      <c r="D2926" s="943" t="s">
        <v>7</v>
      </c>
      <c r="E2926" s="952">
        <v>13016</v>
      </c>
      <c r="F2926" s="945">
        <v>13</v>
      </c>
      <c r="G2926" s="946">
        <v>300</v>
      </c>
      <c r="H2926" s="946">
        <v>274.13</v>
      </c>
    </row>
    <row r="2927" spans="1:9" s="26" customFormat="1">
      <c r="A2927" s="947">
        <v>1</v>
      </c>
      <c r="B2927" s="948">
        <v>452</v>
      </c>
      <c r="C2927" s="948" t="s">
        <v>31</v>
      </c>
      <c r="D2927" s="947" t="s">
        <v>20</v>
      </c>
      <c r="E2927" s="949">
        <v>183597</v>
      </c>
      <c r="F2927" s="950">
        <v>15</v>
      </c>
      <c r="G2927" s="951">
        <v>16</v>
      </c>
      <c r="H2927" s="951">
        <v>16.059999999999999</v>
      </c>
      <c r="I2927" s="18"/>
    </row>
    <row r="2928" spans="1:9">
      <c r="A2928" s="943">
        <v>1</v>
      </c>
      <c r="B2928" s="944">
        <v>453</v>
      </c>
      <c r="C2928" s="944" t="s">
        <v>3962</v>
      </c>
      <c r="D2928" s="943" t="s">
        <v>17</v>
      </c>
      <c r="E2928" s="952">
        <v>1033210</v>
      </c>
      <c r="F2928" s="945">
        <v>9</v>
      </c>
      <c r="G2928" s="946">
        <v>2</v>
      </c>
      <c r="H2928" s="946">
        <v>1.9</v>
      </c>
    </row>
    <row r="2929" spans="1:9" s="26" customFormat="1">
      <c r="A2929" s="947">
        <v>1</v>
      </c>
      <c r="B2929" s="948">
        <v>457.1</v>
      </c>
      <c r="C2929" s="948" t="s">
        <v>1378</v>
      </c>
      <c r="D2929" s="947" t="s">
        <v>7</v>
      </c>
      <c r="E2929" s="949">
        <v>1200</v>
      </c>
      <c r="F2929" s="950">
        <v>1</v>
      </c>
      <c r="G2929" s="951">
        <v>825</v>
      </c>
      <c r="H2929" s="951">
        <v>825</v>
      </c>
      <c r="I2929" s="18"/>
    </row>
    <row r="2930" spans="1:9">
      <c r="A2930" s="943">
        <v>1</v>
      </c>
      <c r="B2930" s="944">
        <v>470</v>
      </c>
      <c r="C2930" s="944" t="s">
        <v>1382</v>
      </c>
      <c r="D2930" s="943" t="s">
        <v>7</v>
      </c>
      <c r="E2930" s="945">
        <v>27.5</v>
      </c>
      <c r="F2930" s="945">
        <v>2</v>
      </c>
      <c r="G2930" s="946">
        <v>715</v>
      </c>
      <c r="H2930" s="946">
        <v>751.33</v>
      </c>
    </row>
    <row r="2931" spans="1:9" s="26" customFormat="1">
      <c r="A2931" s="947">
        <v>1</v>
      </c>
      <c r="B2931" s="948">
        <v>472</v>
      </c>
      <c r="C2931" s="948" t="s">
        <v>1383</v>
      </c>
      <c r="D2931" s="947" t="s">
        <v>7</v>
      </c>
      <c r="E2931" s="949">
        <v>8522</v>
      </c>
      <c r="F2931" s="950">
        <v>16</v>
      </c>
      <c r="G2931" s="951">
        <v>300</v>
      </c>
      <c r="H2931" s="951">
        <v>312.75</v>
      </c>
      <c r="I2931" s="18"/>
    </row>
    <row r="2932" spans="1:9">
      <c r="A2932" s="943">
        <v>1</v>
      </c>
      <c r="B2932" s="944">
        <v>477</v>
      </c>
      <c r="C2932" s="944" t="s">
        <v>1384</v>
      </c>
      <c r="D2932" s="943" t="s">
        <v>17</v>
      </c>
      <c r="E2932" s="952">
        <v>853950</v>
      </c>
      <c r="F2932" s="945">
        <v>2</v>
      </c>
      <c r="G2932" s="946">
        <v>0.38</v>
      </c>
      <c r="H2932" s="946">
        <v>0.36</v>
      </c>
    </row>
    <row r="2933" spans="1:9" s="26" customFormat="1">
      <c r="A2933" s="947">
        <v>1</v>
      </c>
      <c r="B2933" s="948">
        <v>477.1</v>
      </c>
      <c r="C2933" s="948" t="s">
        <v>1385</v>
      </c>
      <c r="D2933" s="947" t="s">
        <v>17</v>
      </c>
      <c r="E2933" s="949">
        <v>26900</v>
      </c>
      <c r="F2933" s="950">
        <v>2</v>
      </c>
      <c r="G2933" s="951">
        <v>5</v>
      </c>
      <c r="H2933" s="951">
        <v>4.13</v>
      </c>
      <c r="I2933" s="18"/>
    </row>
    <row r="2934" spans="1:9">
      <c r="A2934" s="943">
        <v>1</v>
      </c>
      <c r="B2934" s="944">
        <v>477.2</v>
      </c>
      <c r="C2934" s="944" t="s">
        <v>1386</v>
      </c>
      <c r="D2934" s="943" t="s">
        <v>17</v>
      </c>
      <c r="E2934" s="952">
        <v>12600</v>
      </c>
      <c r="F2934" s="945">
        <v>1</v>
      </c>
      <c r="G2934" s="946">
        <v>5</v>
      </c>
      <c r="H2934" s="946">
        <v>4.6100000000000003</v>
      </c>
    </row>
    <row r="2935" spans="1:9" s="26" customFormat="1">
      <c r="A2935" s="947">
        <v>1</v>
      </c>
      <c r="B2935" s="948">
        <v>480.2</v>
      </c>
      <c r="C2935" s="948" t="s">
        <v>4002</v>
      </c>
      <c r="D2935" s="947" t="s">
        <v>20</v>
      </c>
      <c r="E2935" s="949">
        <v>47000</v>
      </c>
      <c r="F2935" s="950">
        <v>3</v>
      </c>
      <c r="G2935" s="951">
        <v>75</v>
      </c>
      <c r="H2935" s="951">
        <v>56.69</v>
      </c>
      <c r="I2935" s="18"/>
    </row>
    <row r="2936" spans="1:9">
      <c r="A2936" s="943">
        <v>1</v>
      </c>
      <c r="B2936" s="944">
        <v>482.31</v>
      </c>
      <c r="C2936" s="944" t="s">
        <v>4038</v>
      </c>
      <c r="D2936" s="943" t="s">
        <v>17</v>
      </c>
      <c r="E2936" s="952">
        <v>1934</v>
      </c>
      <c r="F2936" s="945">
        <v>5</v>
      </c>
      <c r="G2936" s="946">
        <v>73.5</v>
      </c>
      <c r="H2936" s="946">
        <v>80.14</v>
      </c>
    </row>
    <row r="2937" spans="1:9" s="26" customFormat="1">
      <c r="A2937" s="947">
        <v>1</v>
      </c>
      <c r="B2937" s="948">
        <v>482.4</v>
      </c>
      <c r="C2937" s="948" t="s">
        <v>321</v>
      </c>
      <c r="D2937" s="947" t="s">
        <v>17</v>
      </c>
      <c r="E2937" s="949">
        <v>5290</v>
      </c>
      <c r="F2937" s="950">
        <v>2</v>
      </c>
      <c r="G2937" s="951">
        <v>8</v>
      </c>
      <c r="H2937" s="951">
        <v>6.88</v>
      </c>
      <c r="I2937" s="18"/>
    </row>
    <row r="2938" spans="1:9">
      <c r="A2938" s="943">
        <v>1</v>
      </c>
      <c r="B2938" s="944">
        <v>482.5</v>
      </c>
      <c r="C2938" s="944" t="s">
        <v>43</v>
      </c>
      <c r="D2938" s="943" t="s">
        <v>17</v>
      </c>
      <c r="E2938" s="952">
        <v>19500</v>
      </c>
      <c r="F2938" s="945">
        <v>1</v>
      </c>
      <c r="G2938" s="946">
        <v>3</v>
      </c>
      <c r="H2938" s="946">
        <v>3.04</v>
      </c>
    </row>
    <row r="2939" spans="1:9" s="26" customFormat="1">
      <c r="A2939" s="947">
        <v>1</v>
      </c>
      <c r="B2939" s="948">
        <v>504</v>
      </c>
      <c r="C2939" s="948" t="s">
        <v>325</v>
      </c>
      <c r="D2939" s="947" t="s">
        <v>17</v>
      </c>
      <c r="E2939" s="949">
        <v>8710</v>
      </c>
      <c r="F2939" s="950">
        <v>7</v>
      </c>
      <c r="G2939" s="951">
        <v>95</v>
      </c>
      <c r="H2939" s="951">
        <v>95.79</v>
      </c>
      <c r="I2939" s="18"/>
    </row>
    <row r="2940" spans="1:9">
      <c r="A2940" s="943">
        <v>1</v>
      </c>
      <c r="B2940" s="944">
        <v>504.1</v>
      </c>
      <c r="C2940" s="944" t="s">
        <v>326</v>
      </c>
      <c r="D2940" s="943" t="s">
        <v>17</v>
      </c>
      <c r="E2940" s="952">
        <v>2410</v>
      </c>
      <c r="F2940" s="945">
        <v>4</v>
      </c>
      <c r="G2940" s="946">
        <v>100</v>
      </c>
      <c r="H2940" s="946">
        <v>108.69</v>
      </c>
    </row>
    <row r="2941" spans="1:9" s="26" customFormat="1">
      <c r="A2941" s="947">
        <v>1</v>
      </c>
      <c r="B2941" s="948">
        <v>504.2</v>
      </c>
      <c r="C2941" s="948" t="s">
        <v>327</v>
      </c>
      <c r="D2941" s="947" t="s">
        <v>2</v>
      </c>
      <c r="E2941" s="950">
        <v>4</v>
      </c>
      <c r="F2941" s="950">
        <v>1</v>
      </c>
      <c r="G2941" s="951">
        <v>785</v>
      </c>
      <c r="H2941" s="951">
        <v>721.25</v>
      </c>
      <c r="I2941" s="18"/>
    </row>
    <row r="2942" spans="1:9">
      <c r="A2942" s="943">
        <v>1</v>
      </c>
      <c r="B2942" s="944">
        <v>505</v>
      </c>
      <c r="C2942" s="944" t="s">
        <v>328</v>
      </c>
      <c r="D2942" s="943" t="s">
        <v>17</v>
      </c>
      <c r="E2942" s="945">
        <v>250</v>
      </c>
      <c r="F2942" s="945">
        <v>1</v>
      </c>
      <c r="G2942" s="946">
        <v>122.5</v>
      </c>
      <c r="H2942" s="946">
        <v>114.4</v>
      </c>
    </row>
    <row r="2943" spans="1:9" s="26" customFormat="1">
      <c r="A2943" s="947">
        <v>1</v>
      </c>
      <c r="B2943" s="948">
        <v>506</v>
      </c>
      <c r="C2943" s="948" t="s">
        <v>40</v>
      </c>
      <c r="D2943" s="947" t="s">
        <v>17</v>
      </c>
      <c r="E2943" s="949">
        <v>41090</v>
      </c>
      <c r="F2943" s="950">
        <v>1</v>
      </c>
      <c r="G2943" s="951">
        <v>68</v>
      </c>
      <c r="H2943" s="951">
        <v>69</v>
      </c>
      <c r="I2943" s="18"/>
    </row>
    <row r="2944" spans="1:9">
      <c r="A2944" s="943">
        <v>1</v>
      </c>
      <c r="B2944" s="944">
        <v>506.1</v>
      </c>
      <c r="C2944" s="944" t="s">
        <v>41</v>
      </c>
      <c r="D2944" s="943" t="s">
        <v>17</v>
      </c>
      <c r="E2944" s="952">
        <v>8540</v>
      </c>
      <c r="F2944" s="945">
        <v>1</v>
      </c>
      <c r="G2944" s="946">
        <v>80</v>
      </c>
      <c r="H2944" s="946">
        <v>83.87</v>
      </c>
    </row>
    <row r="2945" spans="1:9" s="26" customFormat="1">
      <c r="A2945" s="947">
        <v>1</v>
      </c>
      <c r="B2945" s="948">
        <v>509</v>
      </c>
      <c r="C2945" s="948" t="s">
        <v>1394</v>
      </c>
      <c r="D2945" s="947" t="s">
        <v>17</v>
      </c>
      <c r="E2945" s="949">
        <v>15245</v>
      </c>
      <c r="F2945" s="950">
        <v>7</v>
      </c>
      <c r="G2945" s="951">
        <v>110</v>
      </c>
      <c r="H2945" s="951">
        <v>109.17</v>
      </c>
      <c r="I2945" s="18"/>
    </row>
    <row r="2946" spans="1:9">
      <c r="A2946" s="943">
        <v>1</v>
      </c>
      <c r="B2946" s="944">
        <v>509.1</v>
      </c>
      <c r="C2946" s="944" t="s">
        <v>1395</v>
      </c>
      <c r="D2946" s="943" t="s">
        <v>17</v>
      </c>
      <c r="E2946" s="953">
        <v>4796.5</v>
      </c>
      <c r="F2946" s="945">
        <v>3</v>
      </c>
      <c r="G2946" s="946">
        <v>100</v>
      </c>
      <c r="H2946" s="946">
        <v>101.16</v>
      </c>
    </row>
    <row r="2947" spans="1:9" s="26" customFormat="1">
      <c r="A2947" s="947">
        <v>1</v>
      </c>
      <c r="B2947" s="948">
        <v>510</v>
      </c>
      <c r="C2947" s="948" t="s">
        <v>330</v>
      </c>
      <c r="D2947" s="947" t="s">
        <v>17</v>
      </c>
      <c r="E2947" s="950">
        <v>910</v>
      </c>
      <c r="F2947" s="950">
        <v>1</v>
      </c>
      <c r="G2947" s="951">
        <v>60</v>
      </c>
      <c r="H2947" s="951">
        <v>64.86</v>
      </c>
      <c r="I2947" s="18"/>
    </row>
    <row r="2948" spans="1:9">
      <c r="A2948" s="943">
        <v>1</v>
      </c>
      <c r="B2948" s="944">
        <v>510.1</v>
      </c>
      <c r="C2948" s="944" t="s">
        <v>331</v>
      </c>
      <c r="D2948" s="943" t="s">
        <v>17</v>
      </c>
      <c r="E2948" s="945">
        <v>210</v>
      </c>
      <c r="F2948" s="945">
        <v>1</v>
      </c>
      <c r="G2948" s="946">
        <v>80</v>
      </c>
      <c r="H2948" s="946">
        <v>79.709999999999994</v>
      </c>
    </row>
    <row r="2949" spans="1:9" s="26" customFormat="1">
      <c r="A2949" s="947">
        <v>1</v>
      </c>
      <c r="B2949" s="948">
        <v>514</v>
      </c>
      <c r="C2949" s="948" t="s">
        <v>38</v>
      </c>
      <c r="D2949" s="947" t="s">
        <v>2</v>
      </c>
      <c r="E2949" s="950">
        <v>364</v>
      </c>
      <c r="F2949" s="950">
        <v>6</v>
      </c>
      <c r="G2949" s="951">
        <v>750</v>
      </c>
      <c r="H2949" s="951">
        <v>761.97</v>
      </c>
      <c r="I2949" s="18"/>
    </row>
    <row r="2950" spans="1:9">
      <c r="A2950" s="943">
        <v>1</v>
      </c>
      <c r="B2950" s="944">
        <v>515</v>
      </c>
      <c r="C2950" s="944" t="s">
        <v>45</v>
      </c>
      <c r="D2950" s="943" t="s">
        <v>2</v>
      </c>
      <c r="E2950" s="945">
        <v>119</v>
      </c>
      <c r="F2950" s="945">
        <v>1</v>
      </c>
      <c r="G2950" s="946">
        <v>795</v>
      </c>
      <c r="H2950" s="946">
        <v>821.32</v>
      </c>
    </row>
    <row r="2951" spans="1:9" s="26" customFormat="1">
      <c r="A2951" s="947">
        <v>1</v>
      </c>
      <c r="B2951" s="948">
        <v>516</v>
      </c>
      <c r="C2951" s="948" t="s">
        <v>47</v>
      </c>
      <c r="D2951" s="947" t="s">
        <v>2</v>
      </c>
      <c r="E2951" s="950">
        <v>336</v>
      </c>
      <c r="F2951" s="950">
        <v>1</v>
      </c>
      <c r="G2951" s="951">
        <v>480</v>
      </c>
      <c r="H2951" s="951">
        <v>500.76</v>
      </c>
      <c r="I2951" s="18"/>
    </row>
    <row r="2952" spans="1:9">
      <c r="A2952" s="943">
        <v>1</v>
      </c>
      <c r="B2952" s="944">
        <v>518</v>
      </c>
      <c r="C2952" s="944" t="s">
        <v>2393</v>
      </c>
      <c r="D2952" s="943" t="s">
        <v>2</v>
      </c>
      <c r="E2952" s="945">
        <v>72</v>
      </c>
      <c r="F2952" s="945">
        <v>1</v>
      </c>
      <c r="G2952" s="946">
        <v>387.5</v>
      </c>
      <c r="H2952" s="946">
        <v>381.67</v>
      </c>
    </row>
    <row r="2953" spans="1:9" s="26" customFormat="1">
      <c r="A2953" s="947">
        <v>1</v>
      </c>
      <c r="B2953" s="948">
        <v>520</v>
      </c>
      <c r="C2953" s="948" t="s">
        <v>336</v>
      </c>
      <c r="D2953" s="947" t="s">
        <v>17</v>
      </c>
      <c r="E2953" s="949">
        <v>18240</v>
      </c>
      <c r="F2953" s="950">
        <v>1</v>
      </c>
      <c r="G2953" s="951">
        <v>66</v>
      </c>
      <c r="H2953" s="951">
        <v>68.38</v>
      </c>
      <c r="I2953" s="18"/>
    </row>
    <row r="2954" spans="1:9">
      <c r="A2954" s="943">
        <v>1</v>
      </c>
      <c r="B2954" s="944">
        <v>520.1</v>
      </c>
      <c r="C2954" s="944" t="s">
        <v>2395</v>
      </c>
      <c r="D2954" s="943" t="s">
        <v>17</v>
      </c>
      <c r="E2954" s="952">
        <v>44100</v>
      </c>
      <c r="F2954" s="945">
        <v>1</v>
      </c>
      <c r="G2954" s="946">
        <v>63</v>
      </c>
      <c r="H2954" s="946">
        <v>61.86</v>
      </c>
    </row>
    <row r="2955" spans="1:9" s="26" customFormat="1">
      <c r="A2955" s="947">
        <v>1</v>
      </c>
      <c r="B2955" s="948">
        <v>570</v>
      </c>
      <c r="C2955" s="948" t="s">
        <v>337</v>
      </c>
      <c r="D2955" s="947" t="s">
        <v>17</v>
      </c>
      <c r="E2955" s="950">
        <v>600</v>
      </c>
      <c r="F2955" s="950">
        <v>1</v>
      </c>
      <c r="G2955" s="951">
        <v>30</v>
      </c>
      <c r="H2955" s="951">
        <v>31.67</v>
      </c>
      <c r="I2955" s="18"/>
    </row>
    <row r="2956" spans="1:9">
      <c r="A2956" s="943">
        <v>1</v>
      </c>
      <c r="B2956" s="944">
        <v>570.1</v>
      </c>
      <c r="C2956" s="944" t="s">
        <v>1396</v>
      </c>
      <c r="D2956" s="943" t="s">
        <v>17</v>
      </c>
      <c r="E2956" s="945">
        <v>270</v>
      </c>
      <c r="F2956" s="945">
        <v>1</v>
      </c>
      <c r="G2956" s="946">
        <v>45</v>
      </c>
      <c r="H2956" s="946">
        <v>47</v>
      </c>
    </row>
    <row r="2957" spans="1:9" s="26" customFormat="1">
      <c r="A2957" s="947">
        <v>1</v>
      </c>
      <c r="B2957" s="948">
        <v>570.20000000000005</v>
      </c>
      <c r="C2957" s="948" t="s">
        <v>338</v>
      </c>
      <c r="D2957" s="947" t="s">
        <v>17</v>
      </c>
      <c r="E2957" s="949">
        <v>10235</v>
      </c>
      <c r="F2957" s="950">
        <v>4</v>
      </c>
      <c r="G2957" s="951">
        <v>20</v>
      </c>
      <c r="H2957" s="951">
        <v>27.39</v>
      </c>
      <c r="I2957" s="18"/>
    </row>
    <row r="2958" spans="1:9">
      <c r="A2958" s="943">
        <v>1</v>
      </c>
      <c r="B2958" s="944">
        <v>580</v>
      </c>
      <c r="C2958" s="944" t="s">
        <v>56</v>
      </c>
      <c r="D2958" s="943" t="s">
        <v>17</v>
      </c>
      <c r="E2958" s="952">
        <v>11765</v>
      </c>
      <c r="F2958" s="945">
        <v>8</v>
      </c>
      <c r="G2958" s="946">
        <v>50</v>
      </c>
      <c r="H2958" s="946">
        <v>45.91</v>
      </c>
    </row>
    <row r="2959" spans="1:9" s="26" customFormat="1">
      <c r="A2959" s="947">
        <v>1</v>
      </c>
      <c r="B2959" s="948">
        <v>581</v>
      </c>
      <c r="C2959" s="948" t="s">
        <v>340</v>
      </c>
      <c r="D2959" s="947" t="s">
        <v>2</v>
      </c>
      <c r="E2959" s="950">
        <v>83</v>
      </c>
      <c r="F2959" s="950">
        <v>3</v>
      </c>
      <c r="G2959" s="951">
        <v>450</v>
      </c>
      <c r="H2959" s="951">
        <v>446.5</v>
      </c>
      <c r="I2959" s="18"/>
    </row>
    <row r="2960" spans="1:9">
      <c r="A2960" s="943">
        <v>1</v>
      </c>
      <c r="B2960" s="944">
        <v>583</v>
      </c>
      <c r="C2960" s="944" t="s">
        <v>342</v>
      </c>
      <c r="D2960" s="943" t="s">
        <v>17</v>
      </c>
      <c r="E2960" s="945">
        <v>300</v>
      </c>
      <c r="F2960" s="945">
        <v>1</v>
      </c>
      <c r="G2960" s="946">
        <v>75</v>
      </c>
      <c r="H2960" s="946">
        <v>71.67</v>
      </c>
    </row>
    <row r="2961" spans="1:9" s="26" customFormat="1">
      <c r="A2961" s="947">
        <v>1</v>
      </c>
      <c r="B2961" s="948">
        <v>590</v>
      </c>
      <c r="C2961" s="948" t="s">
        <v>343</v>
      </c>
      <c r="D2961" s="947" t="s">
        <v>17</v>
      </c>
      <c r="E2961" s="949">
        <v>31840</v>
      </c>
      <c r="F2961" s="950">
        <v>2</v>
      </c>
      <c r="G2961" s="951">
        <v>10.5</v>
      </c>
      <c r="H2961" s="951">
        <v>11.21</v>
      </c>
      <c r="I2961" s="18"/>
    </row>
    <row r="2962" spans="1:9">
      <c r="A2962" s="943">
        <v>1</v>
      </c>
      <c r="B2962" s="944">
        <v>591</v>
      </c>
      <c r="C2962" s="944" t="s">
        <v>344</v>
      </c>
      <c r="D2962" s="943" t="s">
        <v>2</v>
      </c>
      <c r="E2962" s="945">
        <v>60</v>
      </c>
      <c r="F2962" s="945">
        <v>1</v>
      </c>
      <c r="G2962" s="946">
        <v>100</v>
      </c>
      <c r="H2962" s="946">
        <v>76.97</v>
      </c>
    </row>
    <row r="2963" spans="1:9" s="26" customFormat="1">
      <c r="A2963" s="947">
        <v>1</v>
      </c>
      <c r="B2963" s="948">
        <v>592</v>
      </c>
      <c r="C2963" s="948" t="s">
        <v>345</v>
      </c>
      <c r="D2963" s="947" t="s">
        <v>2</v>
      </c>
      <c r="E2963" s="950">
        <v>117</v>
      </c>
      <c r="F2963" s="950">
        <v>1</v>
      </c>
      <c r="G2963" s="951">
        <v>100</v>
      </c>
      <c r="H2963" s="951">
        <v>116.67</v>
      </c>
      <c r="I2963" s="18"/>
    </row>
    <row r="2964" spans="1:9">
      <c r="A2964" s="943">
        <v>1</v>
      </c>
      <c r="B2964" s="944">
        <v>594</v>
      </c>
      <c r="C2964" s="944" t="s">
        <v>346</v>
      </c>
      <c r="D2964" s="943" t="s">
        <v>17</v>
      </c>
      <c r="E2964" s="952">
        <v>42960</v>
      </c>
      <c r="F2964" s="945">
        <v>5</v>
      </c>
      <c r="G2964" s="946">
        <v>8</v>
      </c>
      <c r="H2964" s="946">
        <v>7.51</v>
      </c>
    </row>
    <row r="2965" spans="1:9" s="26" customFormat="1">
      <c r="A2965" s="947">
        <v>1</v>
      </c>
      <c r="B2965" s="948">
        <v>595</v>
      </c>
      <c r="C2965" s="948" t="s">
        <v>347</v>
      </c>
      <c r="D2965" s="947" t="s">
        <v>2</v>
      </c>
      <c r="E2965" s="950">
        <v>20</v>
      </c>
      <c r="F2965" s="950">
        <v>2</v>
      </c>
      <c r="G2965" s="951">
        <v>100</v>
      </c>
      <c r="H2965" s="951">
        <v>97.5</v>
      </c>
      <c r="I2965" s="18"/>
    </row>
    <row r="2966" spans="1:9">
      <c r="A2966" s="943">
        <v>1</v>
      </c>
      <c r="B2966" s="944">
        <v>596</v>
      </c>
      <c r="C2966" s="944" t="s">
        <v>348</v>
      </c>
      <c r="D2966" s="943" t="s">
        <v>2</v>
      </c>
      <c r="E2966" s="945">
        <v>9</v>
      </c>
      <c r="F2966" s="945">
        <v>1</v>
      </c>
      <c r="G2966" s="946">
        <v>85</v>
      </c>
      <c r="H2966" s="946">
        <v>99</v>
      </c>
    </row>
    <row r="2967" spans="1:9" s="26" customFormat="1">
      <c r="A2967" s="947">
        <v>1</v>
      </c>
      <c r="B2967" s="948">
        <v>597</v>
      </c>
      <c r="C2967" s="948" t="s">
        <v>349</v>
      </c>
      <c r="D2967" s="947" t="s">
        <v>17</v>
      </c>
      <c r="E2967" s="950">
        <v>850</v>
      </c>
      <c r="F2967" s="950">
        <v>1</v>
      </c>
      <c r="G2967" s="951">
        <v>10</v>
      </c>
      <c r="H2967" s="951">
        <v>10</v>
      </c>
      <c r="I2967" s="18"/>
    </row>
    <row r="2968" spans="1:9">
      <c r="A2968" s="943">
        <v>1</v>
      </c>
      <c r="B2968" s="944">
        <v>620.12</v>
      </c>
      <c r="C2968" s="944" t="s">
        <v>1252</v>
      </c>
      <c r="D2968" s="943" t="s">
        <v>17</v>
      </c>
      <c r="E2968" s="952">
        <v>3030</v>
      </c>
      <c r="F2968" s="945">
        <v>4</v>
      </c>
      <c r="G2968" s="946">
        <v>39</v>
      </c>
      <c r="H2968" s="946">
        <v>39.96</v>
      </c>
    </row>
    <row r="2969" spans="1:9" s="26" customFormat="1">
      <c r="A2969" s="947">
        <v>1</v>
      </c>
      <c r="B2969" s="948">
        <v>620.13</v>
      </c>
      <c r="C2969" s="948" t="s">
        <v>1398</v>
      </c>
      <c r="D2969" s="947" t="s">
        <v>17</v>
      </c>
      <c r="E2969" s="949">
        <v>459445</v>
      </c>
      <c r="F2969" s="950">
        <v>9</v>
      </c>
      <c r="G2969" s="951">
        <v>40</v>
      </c>
      <c r="H2969" s="951">
        <v>41.2</v>
      </c>
      <c r="I2969" s="18"/>
    </row>
    <row r="2970" spans="1:9">
      <c r="A2970" s="943">
        <v>1</v>
      </c>
      <c r="B2970" s="944">
        <v>620.13099999999997</v>
      </c>
      <c r="C2970" s="944" t="s">
        <v>1399</v>
      </c>
      <c r="D2970" s="943" t="s">
        <v>17</v>
      </c>
      <c r="E2970" s="952">
        <v>18950</v>
      </c>
      <c r="F2970" s="945">
        <v>4</v>
      </c>
      <c r="G2970" s="946">
        <v>55</v>
      </c>
      <c r="H2970" s="946">
        <v>54.04</v>
      </c>
    </row>
    <row r="2971" spans="1:9" s="26" customFormat="1">
      <c r="A2971" s="947">
        <v>1</v>
      </c>
      <c r="B2971" s="948">
        <v>620.32000000000005</v>
      </c>
      <c r="C2971" s="948" t="s">
        <v>1253</v>
      </c>
      <c r="D2971" s="947" t="s">
        <v>17</v>
      </c>
      <c r="E2971" s="950">
        <v>960</v>
      </c>
      <c r="F2971" s="950">
        <v>3</v>
      </c>
      <c r="G2971" s="951">
        <v>50</v>
      </c>
      <c r="H2971" s="951">
        <v>53.39</v>
      </c>
      <c r="I2971" s="18"/>
    </row>
    <row r="2972" spans="1:9">
      <c r="A2972" s="943">
        <v>1</v>
      </c>
      <c r="B2972" s="944">
        <v>620.33000000000004</v>
      </c>
      <c r="C2972" s="944" t="s">
        <v>1400</v>
      </c>
      <c r="D2972" s="943" t="s">
        <v>17</v>
      </c>
      <c r="E2972" s="952">
        <v>1732</v>
      </c>
      <c r="F2972" s="945">
        <v>3</v>
      </c>
      <c r="G2972" s="946">
        <v>40.799999999999997</v>
      </c>
      <c r="H2972" s="946">
        <v>41.72</v>
      </c>
    </row>
    <row r="2973" spans="1:9" s="26" customFormat="1">
      <c r="A2973" s="947">
        <v>1</v>
      </c>
      <c r="B2973" s="948">
        <v>621.12</v>
      </c>
      <c r="C2973" s="948" t="s">
        <v>1401</v>
      </c>
      <c r="D2973" s="947" t="s">
        <v>17</v>
      </c>
      <c r="E2973" s="950">
        <v>150</v>
      </c>
      <c r="F2973" s="950">
        <v>1</v>
      </c>
      <c r="G2973" s="951">
        <v>50</v>
      </c>
      <c r="H2973" s="951">
        <v>54.26</v>
      </c>
      <c r="I2973" s="18"/>
    </row>
    <row r="2974" spans="1:9">
      <c r="A2974" s="943">
        <v>1</v>
      </c>
      <c r="B2974" s="944">
        <v>621.13</v>
      </c>
      <c r="C2974" s="944" t="s">
        <v>1402</v>
      </c>
      <c r="D2974" s="943" t="s">
        <v>17</v>
      </c>
      <c r="E2974" s="952">
        <v>93900</v>
      </c>
      <c r="F2974" s="945">
        <v>3</v>
      </c>
      <c r="G2974" s="946">
        <v>49</v>
      </c>
      <c r="H2974" s="946">
        <v>51.47</v>
      </c>
    </row>
    <row r="2975" spans="1:9" s="26" customFormat="1">
      <c r="A2975" s="947">
        <v>1</v>
      </c>
      <c r="B2975" s="948">
        <v>627.1</v>
      </c>
      <c r="C2975" s="948" t="s">
        <v>1403</v>
      </c>
      <c r="D2975" s="947" t="s">
        <v>2</v>
      </c>
      <c r="E2975" s="950">
        <v>388</v>
      </c>
      <c r="F2975" s="950">
        <v>11</v>
      </c>
      <c r="G2975" s="951">
        <v>2700</v>
      </c>
      <c r="H2975" s="951">
        <v>2643.31</v>
      </c>
      <c r="I2975" s="18"/>
    </row>
    <row r="2976" spans="1:9">
      <c r="A2976" s="943">
        <v>1</v>
      </c>
      <c r="B2976" s="944">
        <v>627.73</v>
      </c>
      <c r="C2976" s="944" t="s">
        <v>1405</v>
      </c>
      <c r="D2976" s="943" t="s">
        <v>2</v>
      </c>
      <c r="E2976" s="945">
        <v>37</v>
      </c>
      <c r="F2976" s="945">
        <v>3</v>
      </c>
      <c r="G2976" s="946">
        <v>11000</v>
      </c>
      <c r="H2976" s="946">
        <v>11313.4</v>
      </c>
    </row>
    <row r="2977" spans="1:9" s="26" customFormat="1">
      <c r="A2977" s="947">
        <v>1</v>
      </c>
      <c r="B2977" s="948">
        <v>627.82000000000005</v>
      </c>
      <c r="C2977" s="948" t="s">
        <v>1406</v>
      </c>
      <c r="D2977" s="947" t="s">
        <v>2</v>
      </c>
      <c r="E2977" s="950">
        <v>54</v>
      </c>
      <c r="F2977" s="950">
        <v>5</v>
      </c>
      <c r="G2977" s="951">
        <v>5980</v>
      </c>
      <c r="H2977" s="951">
        <v>5898.32</v>
      </c>
      <c r="I2977" s="18"/>
    </row>
    <row r="2978" spans="1:9">
      <c r="A2978" s="943">
        <v>1</v>
      </c>
      <c r="B2978" s="944">
        <v>627.83000000000004</v>
      </c>
      <c r="C2978" s="944" t="s">
        <v>1407</v>
      </c>
      <c r="D2978" s="943" t="s">
        <v>2</v>
      </c>
      <c r="E2978" s="945">
        <v>408</v>
      </c>
      <c r="F2978" s="945">
        <v>8</v>
      </c>
      <c r="G2978" s="946">
        <v>5700</v>
      </c>
      <c r="H2978" s="946">
        <v>6017.12</v>
      </c>
    </row>
    <row r="2979" spans="1:9" s="26" customFormat="1">
      <c r="A2979" s="947">
        <v>1</v>
      </c>
      <c r="B2979" s="948">
        <v>628.21</v>
      </c>
      <c r="C2979" s="948" t="s">
        <v>1410</v>
      </c>
      <c r="D2979" s="947" t="s">
        <v>2</v>
      </c>
      <c r="E2979" s="950">
        <v>157</v>
      </c>
      <c r="F2979" s="950">
        <v>7</v>
      </c>
      <c r="G2979" s="951">
        <v>2000</v>
      </c>
      <c r="H2979" s="951">
        <v>2118.77</v>
      </c>
      <c r="I2979" s="18"/>
    </row>
    <row r="2980" spans="1:9">
      <c r="A2980" s="943">
        <v>1</v>
      </c>
      <c r="B2980" s="944">
        <v>628.22</v>
      </c>
      <c r="C2980" s="944" t="s">
        <v>1411</v>
      </c>
      <c r="D2980" s="943" t="s">
        <v>2</v>
      </c>
      <c r="E2980" s="945">
        <v>165</v>
      </c>
      <c r="F2980" s="945">
        <v>3</v>
      </c>
      <c r="G2980" s="946">
        <v>6065</v>
      </c>
      <c r="H2980" s="946">
        <v>6427.07</v>
      </c>
    </row>
    <row r="2981" spans="1:9" s="26" customFormat="1">
      <c r="A2981" s="947">
        <v>1</v>
      </c>
      <c r="B2981" s="948">
        <v>628.23</v>
      </c>
      <c r="C2981" s="948" t="s">
        <v>1412</v>
      </c>
      <c r="D2981" s="947" t="s">
        <v>2</v>
      </c>
      <c r="E2981" s="950">
        <v>15</v>
      </c>
      <c r="F2981" s="950">
        <v>1</v>
      </c>
      <c r="G2981" s="951">
        <v>12000</v>
      </c>
      <c r="H2981" s="951">
        <v>11921.67</v>
      </c>
      <c r="I2981" s="18"/>
    </row>
    <row r="2982" spans="1:9">
      <c r="A2982" s="943">
        <v>1</v>
      </c>
      <c r="B2982" s="944">
        <v>628.24</v>
      </c>
      <c r="C2982" s="944" t="s">
        <v>1413</v>
      </c>
      <c r="D2982" s="943" t="s">
        <v>2</v>
      </c>
      <c r="E2982" s="945">
        <v>238</v>
      </c>
      <c r="F2982" s="945">
        <v>8</v>
      </c>
      <c r="G2982" s="946">
        <v>6600</v>
      </c>
      <c r="H2982" s="946">
        <v>6807.46</v>
      </c>
    </row>
    <row r="2983" spans="1:9" s="26" customFormat="1">
      <c r="A2983" s="947">
        <v>1</v>
      </c>
      <c r="B2983" s="948">
        <v>628.25</v>
      </c>
      <c r="C2983" s="948" t="s">
        <v>1414</v>
      </c>
      <c r="D2983" s="947" t="s">
        <v>2</v>
      </c>
      <c r="E2983" s="950">
        <v>28</v>
      </c>
      <c r="F2983" s="950">
        <v>2</v>
      </c>
      <c r="G2983" s="951">
        <v>612.5</v>
      </c>
      <c r="H2983" s="951">
        <v>588.61</v>
      </c>
      <c r="I2983" s="18"/>
    </row>
    <row r="2984" spans="1:9">
      <c r="A2984" s="943">
        <v>1</v>
      </c>
      <c r="B2984" s="944">
        <v>628.30399999999997</v>
      </c>
      <c r="C2984" s="944" t="s">
        <v>2412</v>
      </c>
      <c r="D2984" s="943" t="s">
        <v>2</v>
      </c>
      <c r="E2984" s="945">
        <v>60</v>
      </c>
      <c r="F2984" s="945">
        <v>2</v>
      </c>
      <c r="G2984" s="946">
        <v>8500</v>
      </c>
      <c r="H2984" s="946">
        <v>8709</v>
      </c>
    </row>
    <row r="2985" spans="1:9" s="26" customFormat="1">
      <c r="A2985" s="947">
        <v>1</v>
      </c>
      <c r="B2985" s="948">
        <v>628.30499999999995</v>
      </c>
      <c r="C2985" s="948" t="s">
        <v>2413</v>
      </c>
      <c r="D2985" s="947" t="s">
        <v>2</v>
      </c>
      <c r="E2985" s="950">
        <v>53</v>
      </c>
      <c r="F2985" s="950">
        <v>4</v>
      </c>
      <c r="G2985" s="951">
        <v>8500</v>
      </c>
      <c r="H2985" s="951">
        <v>8287.06</v>
      </c>
      <c r="I2985" s="18"/>
    </row>
    <row r="2986" spans="1:9">
      <c r="A2986" s="943">
        <v>1</v>
      </c>
      <c r="B2986" s="944">
        <v>628.31500000000005</v>
      </c>
      <c r="C2986" s="944" t="s">
        <v>2417</v>
      </c>
      <c r="D2986" s="943" t="s">
        <v>2</v>
      </c>
      <c r="E2986" s="945">
        <v>43</v>
      </c>
      <c r="F2986" s="945">
        <v>3</v>
      </c>
      <c r="G2986" s="946">
        <v>9500</v>
      </c>
      <c r="H2986" s="946">
        <v>9104.17</v>
      </c>
    </row>
    <row r="2987" spans="1:9" s="26" customFormat="1">
      <c r="A2987" s="947">
        <v>1</v>
      </c>
      <c r="B2987" s="948">
        <v>628.4</v>
      </c>
      <c r="C2987" s="948" t="s">
        <v>3901</v>
      </c>
      <c r="D2987" s="947" t="s">
        <v>2</v>
      </c>
      <c r="E2987" s="950">
        <v>112</v>
      </c>
      <c r="F2987" s="950">
        <v>5</v>
      </c>
      <c r="G2987" s="951">
        <v>2500</v>
      </c>
      <c r="H2987" s="951">
        <v>2420</v>
      </c>
      <c r="I2987" s="18"/>
    </row>
    <row r="2988" spans="1:9">
      <c r="A2988" s="943">
        <v>1</v>
      </c>
      <c r="B2988" s="944">
        <v>629.1</v>
      </c>
      <c r="C2988" s="944" t="s">
        <v>353</v>
      </c>
      <c r="D2988" s="943" t="s">
        <v>17</v>
      </c>
      <c r="E2988" s="952">
        <v>17880</v>
      </c>
      <c r="F2988" s="945">
        <v>2</v>
      </c>
      <c r="G2988" s="946">
        <v>304</v>
      </c>
      <c r="H2988" s="946">
        <v>301.33</v>
      </c>
    </row>
    <row r="2989" spans="1:9" s="26" customFormat="1">
      <c r="A2989" s="947">
        <v>1</v>
      </c>
      <c r="B2989" s="948">
        <v>629.20000000000005</v>
      </c>
      <c r="C2989" s="948" t="s">
        <v>354</v>
      </c>
      <c r="D2989" s="947" t="s">
        <v>17</v>
      </c>
      <c r="E2989" s="950">
        <v>300</v>
      </c>
      <c r="F2989" s="950">
        <v>1</v>
      </c>
      <c r="G2989" s="951">
        <v>415</v>
      </c>
      <c r="H2989" s="951">
        <v>451.67</v>
      </c>
      <c r="I2989" s="18"/>
    </row>
    <row r="2990" spans="1:9">
      <c r="A2990" s="943">
        <v>1</v>
      </c>
      <c r="B2990" s="944">
        <v>629.5</v>
      </c>
      <c r="C2990" s="944" t="s">
        <v>1416</v>
      </c>
      <c r="D2990" s="943" t="s">
        <v>4</v>
      </c>
      <c r="E2990" s="945">
        <v>312</v>
      </c>
      <c r="F2990" s="945">
        <v>2</v>
      </c>
      <c r="G2990" s="946">
        <v>1612.5</v>
      </c>
      <c r="H2990" s="946">
        <v>1695</v>
      </c>
    </row>
    <row r="2991" spans="1:9" s="26" customFormat="1">
      <c r="A2991" s="947">
        <v>1</v>
      </c>
      <c r="B2991" s="948">
        <v>630</v>
      </c>
      <c r="C2991" s="948" t="s">
        <v>356</v>
      </c>
      <c r="D2991" s="947" t="s">
        <v>17</v>
      </c>
      <c r="E2991" s="949">
        <v>4600</v>
      </c>
      <c r="F2991" s="950">
        <v>3</v>
      </c>
      <c r="G2991" s="951">
        <v>47</v>
      </c>
      <c r="H2991" s="951">
        <v>40.229999999999997</v>
      </c>
      <c r="I2991" s="18"/>
    </row>
    <row r="2992" spans="1:9">
      <c r="A2992" s="943">
        <v>1</v>
      </c>
      <c r="B2992" s="944">
        <v>630.20000000000005</v>
      </c>
      <c r="C2992" s="944" t="s">
        <v>358</v>
      </c>
      <c r="D2992" s="943" t="s">
        <v>17</v>
      </c>
      <c r="E2992" s="952">
        <v>569229</v>
      </c>
      <c r="F2992" s="945">
        <v>12</v>
      </c>
      <c r="G2992" s="946">
        <v>12.5</v>
      </c>
      <c r="H2992" s="946">
        <v>11.88</v>
      </c>
    </row>
    <row r="2993" spans="1:9" s="26" customFormat="1">
      <c r="A2993" s="947">
        <v>1</v>
      </c>
      <c r="B2993" s="948">
        <v>632</v>
      </c>
      <c r="C2993" s="948" t="s">
        <v>359</v>
      </c>
      <c r="D2993" s="947" t="s">
        <v>2</v>
      </c>
      <c r="E2993" s="950">
        <v>90</v>
      </c>
      <c r="F2993" s="950">
        <v>1</v>
      </c>
      <c r="G2993" s="951">
        <v>125</v>
      </c>
      <c r="H2993" s="951">
        <v>129.97</v>
      </c>
      <c r="I2993" s="18"/>
    </row>
    <row r="2994" spans="1:9">
      <c r="A2994" s="943">
        <v>1</v>
      </c>
      <c r="B2994" s="944">
        <v>632.1</v>
      </c>
      <c r="C2994" s="944" t="s">
        <v>360</v>
      </c>
      <c r="D2994" s="943" t="s">
        <v>2</v>
      </c>
      <c r="E2994" s="945">
        <v>15</v>
      </c>
      <c r="F2994" s="945">
        <v>1</v>
      </c>
      <c r="G2994" s="946">
        <v>175</v>
      </c>
      <c r="H2994" s="946">
        <v>155.63999999999999</v>
      </c>
    </row>
    <row r="2995" spans="1:9" s="26" customFormat="1">
      <c r="A2995" s="947">
        <v>1</v>
      </c>
      <c r="B2995" s="948">
        <v>632.20000000000005</v>
      </c>
      <c r="C2995" s="948" t="s">
        <v>1418</v>
      </c>
      <c r="D2995" s="947" t="s">
        <v>2</v>
      </c>
      <c r="E2995" s="950">
        <v>15</v>
      </c>
      <c r="F2995" s="950">
        <v>1</v>
      </c>
      <c r="G2995" s="951">
        <v>85</v>
      </c>
      <c r="H2995" s="951">
        <v>89.97</v>
      </c>
      <c r="I2995" s="18"/>
    </row>
    <row r="2996" spans="1:9">
      <c r="A2996" s="943">
        <v>1</v>
      </c>
      <c r="B2996" s="944">
        <v>632.4</v>
      </c>
      <c r="C2996" s="944" t="s">
        <v>361</v>
      </c>
      <c r="D2996" s="943" t="s">
        <v>2</v>
      </c>
      <c r="E2996" s="945">
        <v>15</v>
      </c>
      <c r="F2996" s="945">
        <v>1</v>
      </c>
      <c r="G2996" s="946">
        <v>20</v>
      </c>
      <c r="H2996" s="946">
        <v>18.329999999999998</v>
      </c>
    </row>
    <row r="2997" spans="1:9" s="26" customFormat="1">
      <c r="A2997" s="947">
        <v>1</v>
      </c>
      <c r="B2997" s="948">
        <v>633</v>
      </c>
      <c r="C2997" s="948" t="s">
        <v>362</v>
      </c>
      <c r="D2997" s="947" t="s">
        <v>2</v>
      </c>
      <c r="E2997" s="950">
        <v>24</v>
      </c>
      <c r="F2997" s="950">
        <v>1</v>
      </c>
      <c r="G2997" s="951">
        <v>23.5</v>
      </c>
      <c r="H2997" s="951">
        <v>23.59</v>
      </c>
      <c r="I2997" s="18"/>
    </row>
    <row r="2998" spans="1:9">
      <c r="A2998" s="943">
        <v>1</v>
      </c>
      <c r="B2998" s="944">
        <v>633.1</v>
      </c>
      <c r="C2998" s="944" t="s">
        <v>363</v>
      </c>
      <c r="D2998" s="943" t="s">
        <v>2</v>
      </c>
      <c r="E2998" s="945">
        <v>15</v>
      </c>
      <c r="F2998" s="945">
        <v>1</v>
      </c>
      <c r="G2998" s="946">
        <v>34.5</v>
      </c>
      <c r="H2998" s="946">
        <v>32.880000000000003</v>
      </c>
    </row>
    <row r="2999" spans="1:9" s="26" customFormat="1">
      <c r="A2999" s="947">
        <v>1</v>
      </c>
      <c r="B2999" s="948">
        <v>634</v>
      </c>
      <c r="C2999" s="948" t="s">
        <v>364</v>
      </c>
      <c r="D2999" s="947" t="s">
        <v>2</v>
      </c>
      <c r="E2999" s="950">
        <v>29</v>
      </c>
      <c r="F2999" s="950">
        <v>2</v>
      </c>
      <c r="G2999" s="951">
        <v>350.79</v>
      </c>
      <c r="H2999" s="951">
        <v>319.56</v>
      </c>
      <c r="I2999" s="18"/>
    </row>
    <row r="3000" spans="1:9">
      <c r="A3000" s="943">
        <v>1</v>
      </c>
      <c r="B3000" s="944">
        <v>634.1</v>
      </c>
      <c r="C3000" s="944" t="s">
        <v>365</v>
      </c>
      <c r="D3000" s="943" t="s">
        <v>2</v>
      </c>
      <c r="E3000" s="945">
        <v>150</v>
      </c>
      <c r="F3000" s="945">
        <v>1</v>
      </c>
      <c r="G3000" s="946">
        <v>460</v>
      </c>
      <c r="H3000" s="946">
        <v>452.9</v>
      </c>
    </row>
    <row r="3001" spans="1:9" s="26" customFormat="1">
      <c r="A3001" s="947">
        <v>1</v>
      </c>
      <c r="B3001" s="948">
        <v>644.048</v>
      </c>
      <c r="C3001" s="948" t="s">
        <v>2428</v>
      </c>
      <c r="D3001" s="947" t="s">
        <v>17</v>
      </c>
      <c r="E3001" s="949">
        <v>1080</v>
      </c>
      <c r="F3001" s="950">
        <v>1</v>
      </c>
      <c r="G3001" s="951">
        <v>57</v>
      </c>
      <c r="H3001" s="951">
        <v>57</v>
      </c>
      <c r="I3001" s="18"/>
    </row>
    <row r="3002" spans="1:9">
      <c r="A3002" s="943">
        <v>1</v>
      </c>
      <c r="B3002" s="944">
        <v>645.048</v>
      </c>
      <c r="C3002" s="944" t="s">
        <v>373</v>
      </c>
      <c r="D3002" s="943" t="s">
        <v>17</v>
      </c>
      <c r="E3002" s="945">
        <v>560</v>
      </c>
      <c r="F3002" s="945">
        <v>1</v>
      </c>
      <c r="G3002" s="946">
        <v>75</v>
      </c>
      <c r="H3002" s="946">
        <v>80.48</v>
      </c>
    </row>
    <row r="3003" spans="1:9" s="26" customFormat="1">
      <c r="A3003" s="947">
        <v>1</v>
      </c>
      <c r="B3003" s="948">
        <v>652.048</v>
      </c>
      <c r="C3003" s="948" t="s">
        <v>380</v>
      </c>
      <c r="D3003" s="947" t="s">
        <v>2</v>
      </c>
      <c r="E3003" s="950">
        <v>28</v>
      </c>
      <c r="F3003" s="950">
        <v>1</v>
      </c>
      <c r="G3003" s="951">
        <v>270</v>
      </c>
      <c r="H3003" s="951">
        <v>255.71</v>
      </c>
      <c r="I3003" s="18"/>
    </row>
    <row r="3004" spans="1:9">
      <c r="A3004" s="943">
        <v>1</v>
      </c>
      <c r="B3004" s="944">
        <v>657</v>
      </c>
      <c r="C3004" s="944" t="s">
        <v>387</v>
      </c>
      <c r="D3004" s="943" t="s">
        <v>17</v>
      </c>
      <c r="E3004" s="952">
        <v>10100</v>
      </c>
      <c r="F3004" s="945">
        <v>7</v>
      </c>
      <c r="G3004" s="946">
        <v>30</v>
      </c>
      <c r="H3004" s="946">
        <v>28.13</v>
      </c>
    </row>
    <row r="3005" spans="1:9" s="26" customFormat="1">
      <c r="A3005" s="947">
        <v>1</v>
      </c>
      <c r="B3005" s="948">
        <v>657.5</v>
      </c>
      <c r="C3005" s="948" t="s">
        <v>388</v>
      </c>
      <c r="D3005" s="947" t="s">
        <v>17</v>
      </c>
      <c r="E3005" s="949">
        <v>3920</v>
      </c>
      <c r="F3005" s="950">
        <v>3</v>
      </c>
      <c r="G3005" s="951">
        <v>18</v>
      </c>
      <c r="H3005" s="951">
        <v>16.059999999999999</v>
      </c>
      <c r="I3005" s="18"/>
    </row>
    <row r="3006" spans="1:9">
      <c r="A3006" s="943">
        <v>1</v>
      </c>
      <c r="B3006" s="944">
        <v>665</v>
      </c>
      <c r="C3006" s="944" t="s">
        <v>390</v>
      </c>
      <c r="D3006" s="943" t="s">
        <v>17</v>
      </c>
      <c r="E3006" s="945">
        <v>360</v>
      </c>
      <c r="F3006" s="945">
        <v>1</v>
      </c>
      <c r="G3006" s="946">
        <v>28.58</v>
      </c>
      <c r="H3006" s="946">
        <v>36.4</v>
      </c>
    </row>
    <row r="3007" spans="1:9" s="26" customFormat="1">
      <c r="A3007" s="947">
        <v>1</v>
      </c>
      <c r="B3007" s="948">
        <v>666</v>
      </c>
      <c r="C3007" s="948" t="s">
        <v>391</v>
      </c>
      <c r="D3007" s="947" t="s">
        <v>17</v>
      </c>
      <c r="E3007" s="950">
        <v>630</v>
      </c>
      <c r="F3007" s="950">
        <v>1</v>
      </c>
      <c r="G3007" s="951">
        <v>59</v>
      </c>
      <c r="H3007" s="951">
        <v>59.33</v>
      </c>
      <c r="I3007" s="18"/>
    </row>
    <row r="3008" spans="1:9">
      <c r="A3008" s="943">
        <v>1</v>
      </c>
      <c r="B3008" s="944">
        <v>670</v>
      </c>
      <c r="C3008" s="944" t="s">
        <v>394</v>
      </c>
      <c r="D3008" s="943" t="s">
        <v>17</v>
      </c>
      <c r="E3008" s="952">
        <v>2460</v>
      </c>
      <c r="F3008" s="945">
        <v>5</v>
      </c>
      <c r="G3008" s="946">
        <v>75</v>
      </c>
      <c r="H3008" s="946">
        <v>72.569999999999993</v>
      </c>
    </row>
    <row r="3009" spans="1:9" s="26" customFormat="1">
      <c r="A3009" s="947">
        <v>1</v>
      </c>
      <c r="B3009" s="948">
        <v>685</v>
      </c>
      <c r="C3009" s="948" t="s">
        <v>396</v>
      </c>
      <c r="D3009" s="947" t="s">
        <v>4</v>
      </c>
      <c r="E3009" s="950">
        <v>48</v>
      </c>
      <c r="F3009" s="950">
        <v>1</v>
      </c>
      <c r="G3009" s="951">
        <v>1580.56</v>
      </c>
      <c r="H3009" s="951">
        <v>1401.26</v>
      </c>
      <c r="I3009" s="18"/>
    </row>
    <row r="3010" spans="1:9">
      <c r="A3010" s="943">
        <v>1</v>
      </c>
      <c r="B3010" s="944">
        <v>690</v>
      </c>
      <c r="C3010" s="944" t="s">
        <v>397</v>
      </c>
      <c r="D3010" s="943" t="s">
        <v>4</v>
      </c>
      <c r="E3010" s="945">
        <v>70</v>
      </c>
      <c r="F3010" s="945">
        <v>1</v>
      </c>
      <c r="G3010" s="946">
        <v>1462.5</v>
      </c>
      <c r="H3010" s="946">
        <v>1447.14</v>
      </c>
    </row>
    <row r="3011" spans="1:9" s="26" customFormat="1">
      <c r="A3011" s="947">
        <v>1</v>
      </c>
      <c r="B3011" s="948">
        <v>691</v>
      </c>
      <c r="C3011" s="948" t="s">
        <v>399</v>
      </c>
      <c r="D3011" s="947" t="s">
        <v>17</v>
      </c>
      <c r="E3011" s="950">
        <v>60</v>
      </c>
      <c r="F3011" s="950">
        <v>1</v>
      </c>
      <c r="G3011" s="951">
        <v>515</v>
      </c>
      <c r="H3011" s="951">
        <v>540.83000000000004</v>
      </c>
      <c r="I3011" s="18"/>
    </row>
    <row r="3012" spans="1:9">
      <c r="A3012" s="943">
        <v>1</v>
      </c>
      <c r="B3012" s="944">
        <v>697</v>
      </c>
      <c r="C3012" s="944" t="s">
        <v>400</v>
      </c>
      <c r="D3012" s="943" t="s">
        <v>17</v>
      </c>
      <c r="E3012" s="952">
        <v>5520</v>
      </c>
      <c r="F3012" s="945">
        <v>4</v>
      </c>
      <c r="G3012" s="946">
        <v>10.5</v>
      </c>
      <c r="H3012" s="946">
        <v>9.5500000000000007</v>
      </c>
    </row>
    <row r="3013" spans="1:9" s="26" customFormat="1">
      <c r="A3013" s="947">
        <v>1</v>
      </c>
      <c r="B3013" s="948">
        <v>697.1</v>
      </c>
      <c r="C3013" s="948" t="s">
        <v>401</v>
      </c>
      <c r="D3013" s="947" t="s">
        <v>2</v>
      </c>
      <c r="E3013" s="949">
        <v>1647</v>
      </c>
      <c r="F3013" s="950">
        <v>6</v>
      </c>
      <c r="G3013" s="951">
        <v>250</v>
      </c>
      <c r="H3013" s="951">
        <v>239.51</v>
      </c>
      <c r="I3013" s="18"/>
    </row>
    <row r="3014" spans="1:9">
      <c r="A3014" s="943">
        <v>1</v>
      </c>
      <c r="B3014" s="944">
        <v>698.1</v>
      </c>
      <c r="C3014" s="944" t="s">
        <v>403</v>
      </c>
      <c r="D3014" s="943" t="s">
        <v>1</v>
      </c>
      <c r="E3014" s="952">
        <v>7980</v>
      </c>
      <c r="F3014" s="945">
        <v>4</v>
      </c>
      <c r="G3014" s="946">
        <v>8</v>
      </c>
      <c r="H3014" s="946">
        <v>7.78</v>
      </c>
    </row>
    <row r="3015" spans="1:9" s="26" customFormat="1">
      <c r="A3015" s="947">
        <v>1</v>
      </c>
      <c r="B3015" s="948">
        <v>698.3</v>
      </c>
      <c r="C3015" s="948" t="s">
        <v>404</v>
      </c>
      <c r="D3015" s="947" t="s">
        <v>1</v>
      </c>
      <c r="E3015" s="949">
        <v>4420</v>
      </c>
      <c r="F3015" s="950">
        <v>4</v>
      </c>
      <c r="G3015" s="951">
        <v>8</v>
      </c>
      <c r="H3015" s="951">
        <v>6.72</v>
      </c>
      <c r="I3015" s="18"/>
    </row>
    <row r="3016" spans="1:9">
      <c r="A3016" s="943">
        <v>1</v>
      </c>
      <c r="B3016" s="944">
        <v>698.4</v>
      </c>
      <c r="C3016" s="944" t="s">
        <v>405</v>
      </c>
      <c r="D3016" s="943" t="s">
        <v>1</v>
      </c>
      <c r="E3016" s="952">
        <v>5550</v>
      </c>
      <c r="F3016" s="945">
        <v>4</v>
      </c>
      <c r="G3016" s="946">
        <v>8</v>
      </c>
      <c r="H3016" s="946">
        <v>6.58</v>
      </c>
    </row>
    <row r="3017" spans="1:9" s="26" customFormat="1">
      <c r="A3017" s="947">
        <v>1</v>
      </c>
      <c r="B3017" s="948">
        <v>701</v>
      </c>
      <c r="C3017" s="948" t="s">
        <v>406</v>
      </c>
      <c r="D3017" s="947" t="s">
        <v>1</v>
      </c>
      <c r="E3017" s="949">
        <v>58770</v>
      </c>
      <c r="F3017" s="950">
        <v>8</v>
      </c>
      <c r="G3017" s="951">
        <v>90</v>
      </c>
      <c r="H3017" s="951">
        <v>98.58</v>
      </c>
      <c r="I3017" s="18"/>
    </row>
    <row r="3018" spans="1:9">
      <c r="A3018" s="943">
        <v>1</v>
      </c>
      <c r="B3018" s="944">
        <v>701.1</v>
      </c>
      <c r="C3018" s="944" t="s">
        <v>407</v>
      </c>
      <c r="D3018" s="943" t="s">
        <v>1</v>
      </c>
      <c r="E3018" s="952">
        <v>20610</v>
      </c>
      <c r="F3018" s="945">
        <v>6</v>
      </c>
      <c r="G3018" s="946">
        <v>100</v>
      </c>
      <c r="H3018" s="946">
        <v>103.16</v>
      </c>
    </row>
    <row r="3019" spans="1:9" s="26" customFormat="1">
      <c r="A3019" s="947">
        <v>1</v>
      </c>
      <c r="B3019" s="948">
        <v>701.2</v>
      </c>
      <c r="C3019" s="948" t="s">
        <v>1422</v>
      </c>
      <c r="D3019" s="947" t="s">
        <v>1</v>
      </c>
      <c r="E3019" s="949">
        <v>10580</v>
      </c>
      <c r="F3019" s="950">
        <v>7</v>
      </c>
      <c r="G3019" s="951">
        <v>140</v>
      </c>
      <c r="H3019" s="951">
        <v>139.47999999999999</v>
      </c>
      <c r="I3019" s="18"/>
    </row>
    <row r="3020" spans="1:9">
      <c r="A3020" s="943">
        <v>1</v>
      </c>
      <c r="B3020" s="944">
        <v>702</v>
      </c>
      <c r="C3020" s="944" t="s">
        <v>1423</v>
      </c>
      <c r="D3020" s="943" t="s">
        <v>7</v>
      </c>
      <c r="E3020" s="952">
        <v>7678</v>
      </c>
      <c r="F3020" s="945">
        <v>9</v>
      </c>
      <c r="G3020" s="946">
        <v>300</v>
      </c>
      <c r="H3020" s="946">
        <v>296.2</v>
      </c>
    </row>
    <row r="3021" spans="1:9" s="26" customFormat="1">
      <c r="A3021" s="947">
        <v>1</v>
      </c>
      <c r="B3021" s="948">
        <v>707.2</v>
      </c>
      <c r="C3021" s="948" t="s">
        <v>415</v>
      </c>
      <c r="D3021" s="947" t="s">
        <v>2</v>
      </c>
      <c r="E3021" s="950">
        <v>6</v>
      </c>
      <c r="F3021" s="950">
        <v>1</v>
      </c>
      <c r="G3021" s="951">
        <v>4250</v>
      </c>
      <c r="H3021" s="951">
        <v>4150</v>
      </c>
      <c r="I3021" s="18"/>
    </row>
    <row r="3022" spans="1:9">
      <c r="A3022" s="943">
        <v>1</v>
      </c>
      <c r="B3022" s="944">
        <v>707.9</v>
      </c>
      <c r="C3022" s="944" t="s">
        <v>61</v>
      </c>
      <c r="D3022" s="943" t="s">
        <v>2</v>
      </c>
      <c r="E3022" s="945">
        <v>18</v>
      </c>
      <c r="F3022" s="945">
        <v>1</v>
      </c>
      <c r="G3022" s="946">
        <v>2000</v>
      </c>
      <c r="H3022" s="946">
        <v>2266.67</v>
      </c>
    </row>
    <row r="3023" spans="1:9" s="26" customFormat="1">
      <c r="A3023" s="947">
        <v>1</v>
      </c>
      <c r="B3023" s="948">
        <v>710.3</v>
      </c>
      <c r="C3023" s="948" t="s">
        <v>48</v>
      </c>
      <c r="D3023" s="947" t="s">
        <v>2</v>
      </c>
      <c r="E3023" s="950">
        <v>249</v>
      </c>
      <c r="F3023" s="950">
        <v>2</v>
      </c>
      <c r="G3023" s="951">
        <v>800</v>
      </c>
      <c r="H3023" s="951">
        <v>705.56</v>
      </c>
      <c r="I3023" s="18"/>
    </row>
    <row r="3024" spans="1:9">
      <c r="A3024" s="943">
        <v>1</v>
      </c>
      <c r="B3024" s="944">
        <v>710.4</v>
      </c>
      <c r="C3024" s="944" t="s">
        <v>417</v>
      </c>
      <c r="D3024" s="943" t="s">
        <v>2</v>
      </c>
      <c r="E3024" s="945">
        <v>198</v>
      </c>
      <c r="F3024" s="945">
        <v>3</v>
      </c>
      <c r="G3024" s="946">
        <v>935</v>
      </c>
      <c r="H3024" s="946">
        <v>886.82</v>
      </c>
    </row>
    <row r="3025" spans="1:9" s="26" customFormat="1">
      <c r="A3025" s="947">
        <v>1</v>
      </c>
      <c r="B3025" s="948">
        <v>711</v>
      </c>
      <c r="C3025" s="948" t="s">
        <v>418</v>
      </c>
      <c r="D3025" s="947" t="s">
        <v>2</v>
      </c>
      <c r="E3025" s="950">
        <v>30</v>
      </c>
      <c r="F3025" s="950">
        <v>1</v>
      </c>
      <c r="G3025" s="951">
        <v>700</v>
      </c>
      <c r="H3025" s="951">
        <v>620.83000000000004</v>
      </c>
      <c r="I3025" s="18"/>
    </row>
    <row r="3026" spans="1:9">
      <c r="A3026" s="943">
        <v>1</v>
      </c>
      <c r="B3026" s="944">
        <v>714.1</v>
      </c>
      <c r="C3026" s="944" t="s">
        <v>421</v>
      </c>
      <c r="D3026" s="943" t="s">
        <v>22</v>
      </c>
      <c r="E3026" s="945">
        <v>2</v>
      </c>
      <c r="F3026" s="945">
        <v>1</v>
      </c>
      <c r="G3026" s="946">
        <v>2350</v>
      </c>
      <c r="H3026" s="946">
        <v>2175</v>
      </c>
    </row>
    <row r="3027" spans="1:9" s="26" customFormat="1">
      <c r="A3027" s="947">
        <v>1</v>
      </c>
      <c r="B3027" s="948">
        <v>715</v>
      </c>
      <c r="C3027" s="948" t="s">
        <v>422</v>
      </c>
      <c r="D3027" s="947" t="s">
        <v>2</v>
      </c>
      <c r="E3027" s="950">
        <v>252</v>
      </c>
      <c r="F3027" s="950">
        <v>4</v>
      </c>
      <c r="G3027" s="951">
        <v>241</v>
      </c>
      <c r="H3027" s="951">
        <v>224.79</v>
      </c>
      <c r="I3027" s="18"/>
    </row>
    <row r="3028" spans="1:9">
      <c r="A3028" s="943">
        <v>1</v>
      </c>
      <c r="B3028" s="944">
        <v>734</v>
      </c>
      <c r="C3028" s="944" t="s">
        <v>426</v>
      </c>
      <c r="D3028" s="943" t="s">
        <v>2</v>
      </c>
      <c r="E3028" s="945">
        <v>20</v>
      </c>
      <c r="F3028" s="945">
        <v>1</v>
      </c>
      <c r="G3028" s="946">
        <v>650</v>
      </c>
      <c r="H3028" s="946">
        <v>612.5</v>
      </c>
    </row>
    <row r="3029" spans="1:9" s="26" customFormat="1">
      <c r="A3029" s="947">
        <v>1</v>
      </c>
      <c r="B3029" s="948">
        <v>740</v>
      </c>
      <c r="C3029" s="948" t="s">
        <v>4023</v>
      </c>
      <c r="D3029" s="947" t="s">
        <v>428</v>
      </c>
      <c r="E3029" s="949">
        <v>2247</v>
      </c>
      <c r="F3029" s="950">
        <v>17</v>
      </c>
      <c r="G3029" s="951">
        <v>3000</v>
      </c>
      <c r="H3029" s="951">
        <v>3041.54</v>
      </c>
      <c r="I3029" s="18"/>
    </row>
    <row r="3030" spans="1:9">
      <c r="A3030" s="943">
        <v>1</v>
      </c>
      <c r="B3030" s="944">
        <v>747</v>
      </c>
      <c r="C3030" s="944" t="s">
        <v>429</v>
      </c>
      <c r="D3030" s="943" t="s">
        <v>22</v>
      </c>
      <c r="E3030" s="945">
        <v>3</v>
      </c>
      <c r="F3030" s="945">
        <v>1</v>
      </c>
      <c r="G3030" s="946">
        <v>9640</v>
      </c>
      <c r="H3030" s="946">
        <v>9880</v>
      </c>
    </row>
    <row r="3031" spans="1:9" s="26" customFormat="1">
      <c r="A3031" s="947">
        <v>1</v>
      </c>
      <c r="B3031" s="948">
        <v>748</v>
      </c>
      <c r="C3031" s="948" t="s">
        <v>430</v>
      </c>
      <c r="D3031" s="947" t="s">
        <v>22</v>
      </c>
      <c r="E3031" s="950">
        <v>45</v>
      </c>
      <c r="F3031" s="950">
        <v>10</v>
      </c>
      <c r="G3031" s="951">
        <v>93225</v>
      </c>
      <c r="H3031" s="951">
        <v>86629.440000000002</v>
      </c>
      <c r="I3031" s="18"/>
    </row>
    <row r="3032" spans="1:9">
      <c r="A3032" s="943">
        <v>1</v>
      </c>
      <c r="B3032" s="944">
        <v>748.1</v>
      </c>
      <c r="C3032" s="944" t="s">
        <v>431</v>
      </c>
      <c r="D3032" s="943" t="s">
        <v>2</v>
      </c>
      <c r="E3032" s="945">
        <v>132</v>
      </c>
      <c r="F3032" s="945">
        <v>11</v>
      </c>
      <c r="G3032" s="946">
        <v>737.5</v>
      </c>
      <c r="H3032" s="946">
        <v>692.92</v>
      </c>
    </row>
    <row r="3033" spans="1:9" s="26" customFormat="1">
      <c r="A3033" s="947">
        <v>1</v>
      </c>
      <c r="B3033" s="948">
        <v>751</v>
      </c>
      <c r="C3033" s="948" t="s">
        <v>3902</v>
      </c>
      <c r="D3033" s="947" t="s">
        <v>4</v>
      </c>
      <c r="E3033" s="949">
        <v>22822</v>
      </c>
      <c r="F3033" s="950">
        <v>13</v>
      </c>
      <c r="G3033" s="951">
        <v>92.5</v>
      </c>
      <c r="H3033" s="951">
        <v>92.26</v>
      </c>
      <c r="I3033" s="18"/>
    </row>
    <row r="3034" spans="1:9">
      <c r="A3034" s="943">
        <v>1</v>
      </c>
      <c r="B3034" s="944">
        <v>751.1</v>
      </c>
      <c r="C3034" s="944" t="s">
        <v>4004</v>
      </c>
      <c r="D3034" s="943" t="s">
        <v>4</v>
      </c>
      <c r="E3034" s="952">
        <v>2905</v>
      </c>
      <c r="F3034" s="945">
        <v>7</v>
      </c>
      <c r="G3034" s="946">
        <v>85</v>
      </c>
      <c r="H3034" s="946">
        <v>89.78</v>
      </c>
    </row>
    <row r="3035" spans="1:9" s="26" customFormat="1">
      <c r="A3035" s="947">
        <v>1</v>
      </c>
      <c r="B3035" s="948">
        <v>751.7</v>
      </c>
      <c r="C3035" s="948" t="s">
        <v>4005</v>
      </c>
      <c r="D3035" s="947" t="s">
        <v>4</v>
      </c>
      <c r="E3035" s="950">
        <v>195</v>
      </c>
      <c r="F3035" s="950">
        <v>2</v>
      </c>
      <c r="G3035" s="951">
        <v>75</v>
      </c>
      <c r="H3035" s="951">
        <v>72.3</v>
      </c>
      <c r="I3035" s="18"/>
    </row>
    <row r="3036" spans="1:9">
      <c r="A3036" s="943">
        <v>1</v>
      </c>
      <c r="B3036" s="944">
        <v>755.35</v>
      </c>
      <c r="C3036" s="944" t="s">
        <v>1428</v>
      </c>
      <c r="D3036" s="943" t="s">
        <v>22</v>
      </c>
      <c r="E3036" s="945">
        <v>13</v>
      </c>
      <c r="F3036" s="945">
        <v>3</v>
      </c>
      <c r="G3036" s="946">
        <v>10000</v>
      </c>
      <c r="H3036" s="946">
        <v>9209.6200000000008</v>
      </c>
    </row>
    <row r="3037" spans="1:9" s="26" customFormat="1">
      <c r="A3037" s="947">
        <v>1</v>
      </c>
      <c r="B3037" s="948">
        <v>755.45</v>
      </c>
      <c r="C3037" s="948" t="s">
        <v>1429</v>
      </c>
      <c r="D3037" s="947" t="s">
        <v>1</v>
      </c>
      <c r="E3037" s="949">
        <v>2250</v>
      </c>
      <c r="F3037" s="950">
        <v>1</v>
      </c>
      <c r="G3037" s="951">
        <v>80</v>
      </c>
      <c r="H3037" s="951">
        <v>83.6</v>
      </c>
      <c r="I3037" s="18"/>
    </row>
    <row r="3038" spans="1:9">
      <c r="A3038" s="943">
        <v>1</v>
      </c>
      <c r="B3038" s="944">
        <v>755.75</v>
      </c>
      <c r="C3038" s="944" t="s">
        <v>1430</v>
      </c>
      <c r="D3038" s="943" t="s">
        <v>24</v>
      </c>
      <c r="E3038" s="945">
        <v>184</v>
      </c>
      <c r="F3038" s="945">
        <v>3</v>
      </c>
      <c r="G3038" s="946">
        <v>200</v>
      </c>
      <c r="H3038" s="946">
        <v>178</v>
      </c>
    </row>
    <row r="3039" spans="1:9" s="26" customFormat="1">
      <c r="A3039" s="947">
        <v>1</v>
      </c>
      <c r="B3039" s="948">
        <v>755.76</v>
      </c>
      <c r="C3039" s="948" t="s">
        <v>1431</v>
      </c>
      <c r="D3039" s="947" t="s">
        <v>22</v>
      </c>
      <c r="E3039" s="950">
        <v>9</v>
      </c>
      <c r="F3039" s="950">
        <v>2</v>
      </c>
      <c r="G3039" s="951">
        <v>7000</v>
      </c>
      <c r="H3039" s="951">
        <v>6075</v>
      </c>
      <c r="I3039" s="18"/>
    </row>
    <row r="3040" spans="1:9">
      <c r="A3040" s="943">
        <v>1</v>
      </c>
      <c r="B3040" s="944">
        <v>756</v>
      </c>
      <c r="C3040" s="944" t="s">
        <v>432</v>
      </c>
      <c r="D3040" s="943" t="s">
        <v>22</v>
      </c>
      <c r="E3040" s="945">
        <v>18</v>
      </c>
      <c r="F3040" s="945">
        <v>5</v>
      </c>
      <c r="G3040" s="946">
        <v>10000</v>
      </c>
      <c r="H3040" s="946">
        <v>8072.22</v>
      </c>
    </row>
    <row r="3041" spans="1:9" s="26" customFormat="1">
      <c r="A3041" s="947">
        <v>1</v>
      </c>
      <c r="B3041" s="948">
        <v>760</v>
      </c>
      <c r="C3041" s="948" t="s">
        <v>433</v>
      </c>
      <c r="D3041" s="947" t="s">
        <v>4</v>
      </c>
      <c r="E3041" s="950">
        <v>70</v>
      </c>
      <c r="F3041" s="950">
        <v>1</v>
      </c>
      <c r="G3041" s="951">
        <v>132.5</v>
      </c>
      <c r="H3041" s="951">
        <v>129.13999999999999</v>
      </c>
      <c r="I3041" s="18"/>
    </row>
    <row r="3042" spans="1:9">
      <c r="A3042" s="943">
        <v>1</v>
      </c>
      <c r="B3042" s="944">
        <v>765</v>
      </c>
      <c r="C3042" s="944" t="s">
        <v>34</v>
      </c>
      <c r="D3042" s="943" t="s">
        <v>1</v>
      </c>
      <c r="E3042" s="952">
        <v>112095</v>
      </c>
      <c r="F3042" s="945">
        <v>14</v>
      </c>
      <c r="G3042" s="946">
        <v>2.6</v>
      </c>
      <c r="H3042" s="946">
        <v>2.46</v>
      </c>
    </row>
    <row r="3043" spans="1:9" s="26" customFormat="1">
      <c r="A3043" s="947">
        <v>1</v>
      </c>
      <c r="B3043" s="948">
        <v>767.12099999999998</v>
      </c>
      <c r="C3043" s="948" t="s">
        <v>1436</v>
      </c>
      <c r="D3043" s="947" t="s">
        <v>17</v>
      </c>
      <c r="E3043" s="949">
        <v>305232</v>
      </c>
      <c r="F3043" s="950">
        <v>17</v>
      </c>
      <c r="G3043" s="951">
        <v>8</v>
      </c>
      <c r="H3043" s="951">
        <v>7.56</v>
      </c>
      <c r="I3043" s="18"/>
    </row>
    <row r="3044" spans="1:9">
      <c r="A3044" s="943">
        <v>1</v>
      </c>
      <c r="B3044" s="944">
        <v>767.2</v>
      </c>
      <c r="C3044" s="944" t="s">
        <v>438</v>
      </c>
      <c r="D3044" s="943" t="s">
        <v>1</v>
      </c>
      <c r="E3044" s="945">
        <v>300</v>
      </c>
      <c r="F3044" s="945">
        <v>2</v>
      </c>
      <c r="G3044" s="946">
        <v>10</v>
      </c>
      <c r="H3044" s="946">
        <v>10</v>
      </c>
    </row>
    <row r="3045" spans="1:9" s="26" customFormat="1">
      <c r="A3045" s="947">
        <v>1</v>
      </c>
      <c r="B3045" s="948">
        <v>767.31</v>
      </c>
      <c r="C3045" s="948" t="s">
        <v>439</v>
      </c>
      <c r="D3045" s="947" t="s">
        <v>1</v>
      </c>
      <c r="E3045" s="949">
        <v>35955</v>
      </c>
      <c r="F3045" s="950">
        <v>3</v>
      </c>
      <c r="G3045" s="951">
        <v>11</v>
      </c>
      <c r="H3045" s="951">
        <v>10.14</v>
      </c>
      <c r="I3045" s="18"/>
    </row>
    <row r="3046" spans="1:9">
      <c r="A3046" s="943">
        <v>1</v>
      </c>
      <c r="B3046" s="944">
        <v>767.4</v>
      </c>
      <c r="C3046" s="944" t="s">
        <v>440</v>
      </c>
      <c r="D3046" s="943" t="s">
        <v>4</v>
      </c>
      <c r="E3046" s="945">
        <v>65</v>
      </c>
      <c r="F3046" s="945">
        <v>1</v>
      </c>
      <c r="G3046" s="946">
        <v>125</v>
      </c>
      <c r="H3046" s="946">
        <v>117.8</v>
      </c>
    </row>
    <row r="3047" spans="1:9" s="26" customFormat="1">
      <c r="A3047" s="947">
        <v>1</v>
      </c>
      <c r="B3047" s="948">
        <v>767.9</v>
      </c>
      <c r="C3047" s="948" t="s">
        <v>1437</v>
      </c>
      <c r="D3047" s="947" t="s">
        <v>1</v>
      </c>
      <c r="E3047" s="949">
        <v>5450</v>
      </c>
      <c r="F3047" s="950">
        <v>3</v>
      </c>
      <c r="G3047" s="951">
        <v>10</v>
      </c>
      <c r="H3047" s="951">
        <v>26.31</v>
      </c>
      <c r="I3047" s="18"/>
    </row>
    <row r="3048" spans="1:9">
      <c r="A3048" s="943">
        <v>1</v>
      </c>
      <c r="B3048" s="944">
        <v>769</v>
      </c>
      <c r="C3048" s="944" t="s">
        <v>443</v>
      </c>
      <c r="D3048" s="943" t="s">
        <v>17</v>
      </c>
      <c r="E3048" s="952">
        <v>597660</v>
      </c>
      <c r="F3048" s="945">
        <v>12</v>
      </c>
      <c r="G3048" s="946">
        <v>12.75</v>
      </c>
      <c r="H3048" s="946">
        <v>12.39</v>
      </c>
    </row>
    <row r="3049" spans="1:9" s="26" customFormat="1">
      <c r="A3049" s="947">
        <v>1</v>
      </c>
      <c r="B3049" s="948">
        <v>772.33299999999997</v>
      </c>
      <c r="C3049" s="948" t="s">
        <v>1470</v>
      </c>
      <c r="D3049" s="947" t="s">
        <v>2</v>
      </c>
      <c r="E3049" s="950">
        <v>56</v>
      </c>
      <c r="F3049" s="950">
        <v>1</v>
      </c>
      <c r="G3049" s="951">
        <v>160.5</v>
      </c>
      <c r="H3049" s="951">
        <v>159.43</v>
      </c>
      <c r="I3049" s="18"/>
    </row>
    <row r="3050" spans="1:9">
      <c r="A3050" s="943">
        <v>1</v>
      </c>
      <c r="B3050" s="944">
        <v>773.43600000000004</v>
      </c>
      <c r="C3050" s="944" t="s">
        <v>445</v>
      </c>
      <c r="D3050" s="943" t="s">
        <v>2</v>
      </c>
      <c r="E3050" s="945">
        <v>35</v>
      </c>
      <c r="F3050" s="945">
        <v>1</v>
      </c>
      <c r="G3050" s="946">
        <v>750</v>
      </c>
      <c r="H3050" s="946">
        <v>709</v>
      </c>
    </row>
    <row r="3051" spans="1:9" s="26" customFormat="1">
      <c r="A3051" s="947">
        <v>1</v>
      </c>
      <c r="B3051" s="948">
        <v>776.55700000000002</v>
      </c>
      <c r="C3051" s="948" t="s">
        <v>4013</v>
      </c>
      <c r="D3051" s="947" t="s">
        <v>2</v>
      </c>
      <c r="E3051" s="950">
        <v>8</v>
      </c>
      <c r="F3051" s="950">
        <v>1</v>
      </c>
      <c r="G3051" s="951">
        <v>931.5</v>
      </c>
      <c r="H3051" s="951">
        <v>902.25</v>
      </c>
      <c r="I3051" s="18"/>
    </row>
    <row r="3052" spans="1:9">
      <c r="A3052" s="943">
        <v>1</v>
      </c>
      <c r="B3052" s="944">
        <v>776.83600000000001</v>
      </c>
      <c r="C3052" s="944" t="s">
        <v>1477</v>
      </c>
      <c r="D3052" s="943" t="s">
        <v>2</v>
      </c>
      <c r="E3052" s="945">
        <v>10</v>
      </c>
      <c r="F3052" s="945">
        <v>1</v>
      </c>
      <c r="G3052" s="946">
        <v>1200</v>
      </c>
      <c r="H3052" s="946">
        <v>1075.5999999999999</v>
      </c>
    </row>
    <row r="3053" spans="1:9" s="26" customFormat="1">
      <c r="A3053" s="947">
        <v>1</v>
      </c>
      <c r="B3053" s="948">
        <v>777.673</v>
      </c>
      <c r="C3053" s="948" t="s">
        <v>4006</v>
      </c>
      <c r="D3053" s="947" t="s">
        <v>2</v>
      </c>
      <c r="E3053" s="950">
        <v>8</v>
      </c>
      <c r="F3053" s="950">
        <v>1</v>
      </c>
      <c r="G3053" s="951">
        <v>954.5</v>
      </c>
      <c r="H3053" s="951">
        <v>931.38</v>
      </c>
      <c r="I3053" s="18"/>
    </row>
    <row r="3054" spans="1:9">
      <c r="A3054" s="943">
        <v>1</v>
      </c>
      <c r="B3054" s="944">
        <v>778.38300000000004</v>
      </c>
      <c r="C3054" s="944" t="s">
        <v>2674</v>
      </c>
      <c r="D3054" s="943" t="s">
        <v>2</v>
      </c>
      <c r="E3054" s="945">
        <v>4</v>
      </c>
      <c r="F3054" s="945">
        <v>1</v>
      </c>
      <c r="G3054" s="946">
        <v>1500</v>
      </c>
      <c r="H3054" s="946">
        <v>1347.5</v>
      </c>
    </row>
    <row r="3055" spans="1:9" s="26" customFormat="1">
      <c r="A3055" s="947">
        <v>1</v>
      </c>
      <c r="B3055" s="948">
        <v>782.53300000000002</v>
      </c>
      <c r="C3055" s="948" t="s">
        <v>4051</v>
      </c>
      <c r="D3055" s="947" t="s">
        <v>2</v>
      </c>
      <c r="E3055" s="950">
        <v>12</v>
      </c>
      <c r="F3055" s="950">
        <v>1</v>
      </c>
      <c r="G3055" s="951">
        <v>795</v>
      </c>
      <c r="H3055" s="951">
        <v>751.75</v>
      </c>
      <c r="I3055" s="18"/>
    </row>
    <row r="3056" spans="1:9">
      <c r="A3056" s="943">
        <v>1</v>
      </c>
      <c r="B3056" s="944">
        <v>783.03599999999994</v>
      </c>
      <c r="C3056" s="944" t="s">
        <v>4054</v>
      </c>
      <c r="D3056" s="943" t="s">
        <v>2</v>
      </c>
      <c r="E3056" s="945">
        <v>15</v>
      </c>
      <c r="F3056" s="945">
        <v>1</v>
      </c>
      <c r="G3056" s="946">
        <v>500</v>
      </c>
      <c r="H3056" s="946">
        <v>433</v>
      </c>
    </row>
    <row r="3057" spans="1:9" s="26" customFormat="1">
      <c r="A3057" s="947">
        <v>1</v>
      </c>
      <c r="B3057" s="948">
        <v>783.44100000000003</v>
      </c>
      <c r="C3057" s="948" t="s">
        <v>4056</v>
      </c>
      <c r="D3057" s="947" t="s">
        <v>2</v>
      </c>
      <c r="E3057" s="950">
        <v>2</v>
      </c>
      <c r="F3057" s="950">
        <v>1</v>
      </c>
      <c r="G3057" s="951">
        <v>902.5</v>
      </c>
      <c r="H3057" s="951">
        <v>902.5</v>
      </c>
      <c r="I3057" s="18"/>
    </row>
    <row r="3058" spans="1:9">
      <c r="A3058" s="943">
        <v>1</v>
      </c>
      <c r="B3058" s="944">
        <v>783.46699999999998</v>
      </c>
      <c r="C3058" s="944" t="s">
        <v>463</v>
      </c>
      <c r="D3058" s="943" t="s">
        <v>2</v>
      </c>
      <c r="E3058" s="945">
        <v>8</v>
      </c>
      <c r="F3058" s="945">
        <v>1</v>
      </c>
      <c r="G3058" s="946">
        <v>931.5</v>
      </c>
      <c r="H3058" s="946">
        <v>932.88</v>
      </c>
    </row>
    <row r="3059" spans="1:9" s="26" customFormat="1">
      <c r="A3059" s="947">
        <v>1</v>
      </c>
      <c r="B3059" s="948">
        <v>790.71900000000005</v>
      </c>
      <c r="C3059" s="948" t="s">
        <v>4009</v>
      </c>
      <c r="D3059" s="947" t="s">
        <v>2</v>
      </c>
      <c r="E3059" s="950">
        <v>54</v>
      </c>
      <c r="F3059" s="950">
        <v>1</v>
      </c>
      <c r="G3059" s="951">
        <v>60</v>
      </c>
      <c r="H3059" s="951">
        <v>57.33</v>
      </c>
      <c r="I3059" s="18"/>
    </row>
    <row r="3060" spans="1:9">
      <c r="A3060" s="943">
        <v>1</v>
      </c>
      <c r="B3060" s="944">
        <v>795.00900000000001</v>
      </c>
      <c r="C3060" s="944" t="s">
        <v>4018</v>
      </c>
      <c r="D3060" s="943" t="s">
        <v>2</v>
      </c>
      <c r="E3060" s="945">
        <v>40</v>
      </c>
      <c r="F3060" s="945">
        <v>1</v>
      </c>
      <c r="G3060" s="946">
        <v>149</v>
      </c>
      <c r="H3060" s="946">
        <v>136.5</v>
      </c>
    </row>
    <row r="3061" spans="1:9" s="26" customFormat="1">
      <c r="A3061" s="947">
        <v>1</v>
      </c>
      <c r="B3061" s="948">
        <v>804.2</v>
      </c>
      <c r="C3061" s="948" t="s">
        <v>487</v>
      </c>
      <c r="D3061" s="947" t="s">
        <v>17</v>
      </c>
      <c r="E3061" s="949">
        <v>2050</v>
      </c>
      <c r="F3061" s="950">
        <v>2</v>
      </c>
      <c r="G3061" s="951">
        <v>45</v>
      </c>
      <c r="H3061" s="951">
        <v>42.16</v>
      </c>
      <c r="I3061" s="18"/>
    </row>
    <row r="3062" spans="1:9">
      <c r="A3062" s="943">
        <v>1</v>
      </c>
      <c r="B3062" s="944">
        <v>804.3</v>
      </c>
      <c r="C3062" s="944" t="s">
        <v>488</v>
      </c>
      <c r="D3062" s="943" t="s">
        <v>17</v>
      </c>
      <c r="E3062" s="952">
        <v>12570</v>
      </c>
      <c r="F3062" s="945">
        <v>3</v>
      </c>
      <c r="G3062" s="946">
        <v>52.5</v>
      </c>
      <c r="H3062" s="946">
        <v>53.1</v>
      </c>
    </row>
    <row r="3063" spans="1:9" s="26" customFormat="1">
      <c r="A3063" s="947">
        <v>1</v>
      </c>
      <c r="B3063" s="948">
        <v>811.22</v>
      </c>
      <c r="C3063" s="948" t="s">
        <v>496</v>
      </c>
      <c r="D3063" s="947" t="s">
        <v>2</v>
      </c>
      <c r="E3063" s="950">
        <v>44</v>
      </c>
      <c r="F3063" s="950">
        <v>2</v>
      </c>
      <c r="G3063" s="951">
        <v>1600</v>
      </c>
      <c r="H3063" s="951">
        <v>1547.39</v>
      </c>
      <c r="I3063" s="18"/>
    </row>
    <row r="3064" spans="1:9">
      <c r="A3064" s="943">
        <v>1</v>
      </c>
      <c r="B3064" s="944">
        <v>811.31</v>
      </c>
      <c r="C3064" s="944" t="s">
        <v>501</v>
      </c>
      <c r="D3064" s="943" t="s">
        <v>2</v>
      </c>
      <c r="E3064" s="945">
        <v>132</v>
      </c>
      <c r="F3064" s="945">
        <v>3</v>
      </c>
      <c r="G3064" s="946">
        <v>1350</v>
      </c>
      <c r="H3064" s="946">
        <v>1440.13</v>
      </c>
    </row>
    <row r="3065" spans="1:9" s="26" customFormat="1">
      <c r="A3065" s="947">
        <v>1</v>
      </c>
      <c r="B3065" s="948">
        <v>812.13</v>
      </c>
      <c r="C3065" s="948" t="s">
        <v>508</v>
      </c>
      <c r="D3065" s="947" t="s">
        <v>2</v>
      </c>
      <c r="E3065" s="950">
        <v>14</v>
      </c>
      <c r="F3065" s="950">
        <v>1</v>
      </c>
      <c r="G3065" s="951">
        <v>4250</v>
      </c>
      <c r="H3065" s="951">
        <v>4250</v>
      </c>
      <c r="I3065" s="18"/>
    </row>
    <row r="3066" spans="1:9">
      <c r="A3066" s="943">
        <v>1</v>
      </c>
      <c r="B3066" s="944">
        <v>812.3</v>
      </c>
      <c r="C3066" s="944" t="s">
        <v>3113</v>
      </c>
      <c r="D3066" s="943" t="s">
        <v>2</v>
      </c>
      <c r="E3066" s="945">
        <v>8</v>
      </c>
      <c r="F3066" s="945">
        <v>1</v>
      </c>
      <c r="G3066" s="946">
        <v>1155.5</v>
      </c>
      <c r="H3066" s="946">
        <v>1152.75</v>
      </c>
    </row>
    <row r="3067" spans="1:9" s="26" customFormat="1">
      <c r="A3067" s="947">
        <v>1</v>
      </c>
      <c r="B3067" s="948">
        <v>813.3</v>
      </c>
      <c r="C3067" s="948" t="s">
        <v>511</v>
      </c>
      <c r="D3067" s="947" t="s">
        <v>17</v>
      </c>
      <c r="E3067" s="949">
        <v>1240</v>
      </c>
      <c r="F3067" s="950">
        <v>1</v>
      </c>
      <c r="G3067" s="951">
        <v>1.6</v>
      </c>
      <c r="H3067" s="951">
        <v>1.6</v>
      </c>
      <c r="I3067" s="18"/>
    </row>
    <row r="3068" spans="1:9">
      <c r="A3068" s="943">
        <v>1</v>
      </c>
      <c r="B3068" s="944">
        <v>813.32</v>
      </c>
      <c r="C3068" s="944" t="s">
        <v>513</v>
      </c>
      <c r="D3068" s="943" t="s">
        <v>17</v>
      </c>
      <c r="E3068" s="952">
        <v>5050</v>
      </c>
      <c r="F3068" s="945">
        <v>2</v>
      </c>
      <c r="G3068" s="946">
        <v>2.2999999999999998</v>
      </c>
      <c r="H3068" s="946">
        <v>2.36</v>
      </c>
    </row>
    <row r="3069" spans="1:9" s="26" customFormat="1">
      <c r="A3069" s="947">
        <v>1</v>
      </c>
      <c r="B3069" s="948">
        <v>813.52</v>
      </c>
      <c r="C3069" s="948" t="s">
        <v>521</v>
      </c>
      <c r="D3069" s="947" t="s">
        <v>17</v>
      </c>
      <c r="E3069" s="950">
        <v>150</v>
      </c>
      <c r="F3069" s="950">
        <v>1</v>
      </c>
      <c r="G3069" s="951">
        <v>2</v>
      </c>
      <c r="H3069" s="951">
        <v>1.67</v>
      </c>
      <c r="I3069" s="18"/>
    </row>
    <row r="3070" spans="1:9">
      <c r="A3070" s="943">
        <v>1</v>
      </c>
      <c r="B3070" s="944">
        <v>813.53</v>
      </c>
      <c r="C3070" s="944" t="s">
        <v>3132</v>
      </c>
      <c r="D3070" s="943" t="s">
        <v>17</v>
      </c>
      <c r="E3070" s="945">
        <v>100</v>
      </c>
      <c r="F3070" s="945">
        <v>1</v>
      </c>
      <c r="G3070" s="946">
        <v>3.5</v>
      </c>
      <c r="H3070" s="946">
        <v>3.5</v>
      </c>
    </row>
    <row r="3071" spans="1:9" s="26" customFormat="1">
      <c r="A3071" s="947">
        <v>1</v>
      </c>
      <c r="B3071" s="948">
        <v>813.8</v>
      </c>
      <c r="C3071" s="948" t="s">
        <v>1445</v>
      </c>
      <c r="D3071" s="947" t="s">
        <v>22</v>
      </c>
      <c r="E3071" s="950">
        <v>15</v>
      </c>
      <c r="F3071" s="950">
        <v>3</v>
      </c>
      <c r="G3071" s="951">
        <v>6800</v>
      </c>
      <c r="H3071" s="951">
        <v>6970.14</v>
      </c>
      <c r="I3071" s="18"/>
    </row>
    <row r="3072" spans="1:9">
      <c r="A3072" s="943">
        <v>1</v>
      </c>
      <c r="B3072" s="944">
        <v>815.1</v>
      </c>
      <c r="C3072" s="944" t="s">
        <v>526</v>
      </c>
      <c r="D3072" s="943" t="s">
        <v>22</v>
      </c>
      <c r="E3072" s="945">
        <v>6</v>
      </c>
      <c r="F3072" s="945">
        <v>1</v>
      </c>
      <c r="G3072" s="946">
        <v>265250</v>
      </c>
      <c r="H3072" s="946">
        <v>227573.93</v>
      </c>
    </row>
    <row r="3073" spans="1:9" s="26" customFormat="1">
      <c r="A3073" s="947">
        <v>1</v>
      </c>
      <c r="B3073" s="948">
        <v>816.01</v>
      </c>
      <c r="C3073" s="948" t="s">
        <v>531</v>
      </c>
      <c r="D3073" s="947" t="s">
        <v>22</v>
      </c>
      <c r="E3073" s="950">
        <v>12</v>
      </c>
      <c r="F3073" s="950">
        <v>2</v>
      </c>
      <c r="G3073" s="951">
        <v>349500</v>
      </c>
      <c r="H3073" s="951">
        <v>322223.76</v>
      </c>
      <c r="I3073" s="18"/>
    </row>
    <row r="3074" spans="1:9">
      <c r="A3074" s="943">
        <v>1</v>
      </c>
      <c r="B3074" s="944">
        <v>816.02</v>
      </c>
      <c r="C3074" s="944" t="s">
        <v>532</v>
      </c>
      <c r="D3074" s="943" t="s">
        <v>22</v>
      </c>
      <c r="E3074" s="945">
        <v>7</v>
      </c>
      <c r="F3074" s="945">
        <v>1</v>
      </c>
      <c r="G3074" s="946">
        <v>450000</v>
      </c>
      <c r="H3074" s="946">
        <v>446065.87</v>
      </c>
    </row>
    <row r="3075" spans="1:9" s="26" customFormat="1">
      <c r="A3075" s="947">
        <v>1</v>
      </c>
      <c r="B3075" s="948">
        <v>816.81</v>
      </c>
      <c r="C3075" s="948" t="s">
        <v>535</v>
      </c>
      <c r="D3075" s="947" t="s">
        <v>22</v>
      </c>
      <c r="E3075" s="950">
        <v>16</v>
      </c>
      <c r="F3075" s="950">
        <v>3</v>
      </c>
      <c r="G3075" s="951">
        <v>130000</v>
      </c>
      <c r="H3075" s="951">
        <v>124931.98</v>
      </c>
      <c r="I3075" s="18"/>
    </row>
    <row r="3076" spans="1:9">
      <c r="A3076" s="943">
        <v>1</v>
      </c>
      <c r="B3076" s="944">
        <v>816.9</v>
      </c>
      <c r="C3076" s="944" t="s">
        <v>536</v>
      </c>
      <c r="D3076" s="943" t="s">
        <v>22</v>
      </c>
      <c r="E3076" s="945">
        <v>6</v>
      </c>
      <c r="F3076" s="945">
        <v>1</v>
      </c>
      <c r="G3076" s="946">
        <v>11340</v>
      </c>
      <c r="H3076" s="946">
        <v>11084.49</v>
      </c>
    </row>
    <row r="3077" spans="1:9" s="26" customFormat="1">
      <c r="A3077" s="947">
        <v>1</v>
      </c>
      <c r="B3077" s="948">
        <v>817.2</v>
      </c>
      <c r="C3077" s="948" t="s">
        <v>3139</v>
      </c>
      <c r="D3077" s="947" t="s">
        <v>2</v>
      </c>
      <c r="E3077" s="950">
        <v>6</v>
      </c>
      <c r="F3077" s="950">
        <v>1</v>
      </c>
      <c r="G3077" s="951">
        <v>1025</v>
      </c>
      <c r="H3077" s="951">
        <v>966.67</v>
      </c>
      <c r="I3077" s="18"/>
    </row>
    <row r="3078" spans="1:9">
      <c r="A3078" s="943">
        <v>1</v>
      </c>
      <c r="B3078" s="944">
        <v>817.21</v>
      </c>
      <c r="C3078" s="944" t="s">
        <v>3140</v>
      </c>
      <c r="D3078" s="943" t="s">
        <v>2</v>
      </c>
      <c r="E3078" s="945">
        <v>6</v>
      </c>
      <c r="F3078" s="945">
        <v>1</v>
      </c>
      <c r="G3078" s="946">
        <v>1200</v>
      </c>
      <c r="H3078" s="946">
        <v>1100</v>
      </c>
    </row>
    <row r="3079" spans="1:9" s="26" customFormat="1">
      <c r="A3079" s="947">
        <v>1</v>
      </c>
      <c r="B3079" s="948">
        <v>818.42</v>
      </c>
      <c r="C3079" s="948" t="s">
        <v>3172</v>
      </c>
      <c r="D3079" s="947" t="s">
        <v>2</v>
      </c>
      <c r="E3079" s="950">
        <v>20</v>
      </c>
      <c r="F3079" s="950">
        <v>1</v>
      </c>
      <c r="G3079" s="951">
        <v>875</v>
      </c>
      <c r="H3079" s="951">
        <v>946.25</v>
      </c>
      <c r="I3079" s="18"/>
    </row>
    <row r="3080" spans="1:9">
      <c r="A3080" s="943">
        <v>1</v>
      </c>
      <c r="B3080" s="944">
        <v>819.85</v>
      </c>
      <c r="C3080" s="944" t="s">
        <v>3215</v>
      </c>
      <c r="D3080" s="943" t="s">
        <v>2</v>
      </c>
      <c r="E3080" s="945">
        <v>24</v>
      </c>
      <c r="F3080" s="945">
        <v>1</v>
      </c>
      <c r="G3080" s="946">
        <v>252.5</v>
      </c>
      <c r="H3080" s="946">
        <v>251.25</v>
      </c>
    </row>
    <row r="3081" spans="1:9" s="26" customFormat="1">
      <c r="A3081" s="947">
        <v>1</v>
      </c>
      <c r="B3081" s="948">
        <v>823.61</v>
      </c>
      <c r="C3081" s="948" t="s">
        <v>545</v>
      </c>
      <c r="D3081" s="947" t="s">
        <v>22</v>
      </c>
      <c r="E3081" s="950">
        <v>2</v>
      </c>
      <c r="F3081" s="950">
        <v>1</v>
      </c>
      <c r="G3081" s="951">
        <v>27400</v>
      </c>
      <c r="H3081" s="951">
        <v>27400</v>
      </c>
      <c r="I3081" s="18"/>
    </row>
    <row r="3082" spans="1:9">
      <c r="A3082" s="943">
        <v>1</v>
      </c>
      <c r="B3082" s="944">
        <v>823.7</v>
      </c>
      <c r="C3082" s="944" t="s">
        <v>547</v>
      </c>
      <c r="D3082" s="943" t="s">
        <v>2</v>
      </c>
      <c r="E3082" s="945">
        <v>15</v>
      </c>
      <c r="F3082" s="945">
        <v>1</v>
      </c>
      <c r="G3082" s="946">
        <v>4500</v>
      </c>
      <c r="H3082" s="946">
        <v>3919.06</v>
      </c>
    </row>
    <row r="3083" spans="1:9" s="26" customFormat="1">
      <c r="A3083" s="947">
        <v>1</v>
      </c>
      <c r="B3083" s="948">
        <v>823.71</v>
      </c>
      <c r="C3083" s="948" t="s">
        <v>548</v>
      </c>
      <c r="D3083" s="947" t="s">
        <v>2</v>
      </c>
      <c r="E3083" s="950">
        <v>3</v>
      </c>
      <c r="F3083" s="950">
        <v>1</v>
      </c>
      <c r="G3083" s="951">
        <v>1500</v>
      </c>
      <c r="H3083" s="951">
        <v>1400</v>
      </c>
      <c r="I3083" s="18"/>
    </row>
    <row r="3084" spans="1:9">
      <c r="A3084" s="943">
        <v>1</v>
      </c>
      <c r="B3084" s="944">
        <v>824.51</v>
      </c>
      <c r="C3084" s="944" t="s">
        <v>550</v>
      </c>
      <c r="D3084" s="943" t="s">
        <v>22</v>
      </c>
      <c r="E3084" s="945">
        <v>7</v>
      </c>
      <c r="F3084" s="945">
        <v>1</v>
      </c>
      <c r="G3084" s="946">
        <v>3800</v>
      </c>
      <c r="H3084" s="946">
        <v>3915.26</v>
      </c>
    </row>
    <row r="3085" spans="1:9" s="26" customFormat="1">
      <c r="A3085" s="947">
        <v>1</v>
      </c>
      <c r="B3085" s="948">
        <v>827.22</v>
      </c>
      <c r="C3085" s="948" t="s">
        <v>3307</v>
      </c>
      <c r="D3085" s="947" t="s">
        <v>2</v>
      </c>
      <c r="E3085" s="950">
        <v>35</v>
      </c>
      <c r="F3085" s="950">
        <v>1</v>
      </c>
      <c r="G3085" s="951">
        <v>300</v>
      </c>
      <c r="H3085" s="951">
        <v>301.81</v>
      </c>
      <c r="I3085" s="18"/>
    </row>
    <row r="3086" spans="1:9">
      <c r="A3086" s="943">
        <v>1</v>
      </c>
      <c r="B3086" s="944">
        <v>831</v>
      </c>
      <c r="C3086" s="944" t="s">
        <v>555</v>
      </c>
      <c r="D3086" s="943" t="s">
        <v>3</v>
      </c>
      <c r="E3086" s="945">
        <v>40</v>
      </c>
      <c r="F3086" s="945">
        <v>1</v>
      </c>
      <c r="G3086" s="946">
        <v>51.25</v>
      </c>
      <c r="H3086" s="946">
        <v>52.81</v>
      </c>
    </row>
    <row r="3087" spans="1:9" s="26" customFormat="1">
      <c r="A3087" s="947">
        <v>1</v>
      </c>
      <c r="B3087" s="948">
        <v>832</v>
      </c>
      <c r="C3087" s="948" t="s">
        <v>556</v>
      </c>
      <c r="D3087" s="947" t="s">
        <v>3</v>
      </c>
      <c r="E3087" s="949">
        <v>11694</v>
      </c>
      <c r="F3087" s="950">
        <v>6</v>
      </c>
      <c r="G3087" s="951">
        <v>19.5</v>
      </c>
      <c r="H3087" s="951">
        <v>18.420000000000002</v>
      </c>
      <c r="I3087" s="18"/>
    </row>
    <row r="3088" spans="1:9">
      <c r="A3088" s="943">
        <v>1</v>
      </c>
      <c r="B3088" s="944">
        <v>833.5</v>
      </c>
      <c r="C3088" s="944" t="s">
        <v>557</v>
      </c>
      <c r="D3088" s="943" t="s">
        <v>2</v>
      </c>
      <c r="E3088" s="945">
        <v>150</v>
      </c>
      <c r="F3088" s="945">
        <v>1</v>
      </c>
      <c r="G3088" s="946">
        <v>7.5</v>
      </c>
      <c r="H3088" s="946">
        <v>7.67</v>
      </c>
    </row>
    <row r="3089" spans="1:9" s="26" customFormat="1">
      <c r="A3089" s="947">
        <v>1</v>
      </c>
      <c r="B3089" s="948">
        <v>833.7</v>
      </c>
      <c r="C3089" s="948" t="s">
        <v>558</v>
      </c>
      <c r="D3089" s="947" t="s">
        <v>2</v>
      </c>
      <c r="E3089" s="950">
        <v>253</v>
      </c>
      <c r="F3089" s="950">
        <v>8</v>
      </c>
      <c r="G3089" s="951">
        <v>89.25</v>
      </c>
      <c r="H3089" s="951">
        <v>84.12</v>
      </c>
      <c r="I3089" s="18"/>
    </row>
    <row r="3090" spans="1:9">
      <c r="A3090" s="943">
        <v>1</v>
      </c>
      <c r="B3090" s="944">
        <v>841.1</v>
      </c>
      <c r="C3090" s="944" t="s">
        <v>566</v>
      </c>
      <c r="D3090" s="943" t="s">
        <v>2</v>
      </c>
      <c r="E3090" s="945">
        <v>7</v>
      </c>
      <c r="F3090" s="945">
        <v>1</v>
      </c>
      <c r="G3090" s="946">
        <v>3900</v>
      </c>
      <c r="H3090" s="946">
        <v>3807.14</v>
      </c>
    </row>
    <row r="3091" spans="1:9" s="26" customFormat="1">
      <c r="A3091" s="947">
        <v>1</v>
      </c>
      <c r="B3091" s="948">
        <v>847.1</v>
      </c>
      <c r="C3091" s="948" t="s">
        <v>578</v>
      </c>
      <c r="D3091" s="947" t="s">
        <v>2</v>
      </c>
      <c r="E3091" s="949">
        <v>1123</v>
      </c>
      <c r="F3091" s="950">
        <v>6</v>
      </c>
      <c r="G3091" s="951">
        <v>316</v>
      </c>
      <c r="H3091" s="951">
        <v>357.79</v>
      </c>
      <c r="I3091" s="18"/>
    </row>
    <row r="3092" spans="1:9">
      <c r="A3092" s="943">
        <v>1</v>
      </c>
      <c r="B3092" s="944">
        <v>848.1</v>
      </c>
      <c r="C3092" s="944" t="s">
        <v>579</v>
      </c>
      <c r="D3092" s="943" t="s">
        <v>2</v>
      </c>
      <c r="E3092" s="945">
        <v>6</v>
      </c>
      <c r="F3092" s="945">
        <v>1</v>
      </c>
      <c r="G3092" s="946">
        <v>700</v>
      </c>
      <c r="H3092" s="946">
        <v>642.5</v>
      </c>
    </row>
    <row r="3093" spans="1:9" s="26" customFormat="1">
      <c r="A3093" s="947">
        <v>1</v>
      </c>
      <c r="B3093" s="948">
        <v>850.41</v>
      </c>
      <c r="C3093" s="948" t="s">
        <v>580</v>
      </c>
      <c r="D3093" s="947" t="s">
        <v>24</v>
      </c>
      <c r="E3093" s="949">
        <v>53802</v>
      </c>
      <c r="F3093" s="950">
        <v>18</v>
      </c>
      <c r="G3093" s="951">
        <v>73</v>
      </c>
      <c r="H3093" s="951">
        <v>73.88</v>
      </c>
      <c r="I3093" s="18"/>
    </row>
    <row r="3094" spans="1:9">
      <c r="A3094" s="943">
        <v>1</v>
      </c>
      <c r="B3094" s="944">
        <v>851.1</v>
      </c>
      <c r="C3094" s="944" t="s">
        <v>581</v>
      </c>
      <c r="D3094" s="943" t="s">
        <v>42</v>
      </c>
      <c r="E3094" s="952">
        <v>5520</v>
      </c>
      <c r="F3094" s="945">
        <v>11</v>
      </c>
      <c r="G3094" s="946">
        <v>175</v>
      </c>
      <c r="H3094" s="946">
        <v>516.01</v>
      </c>
    </row>
    <row r="3095" spans="1:9" s="26" customFormat="1">
      <c r="A3095" s="947">
        <v>1</v>
      </c>
      <c r="B3095" s="948">
        <v>852</v>
      </c>
      <c r="C3095" s="948" t="s">
        <v>49</v>
      </c>
      <c r="D3095" s="947" t="s">
        <v>3</v>
      </c>
      <c r="E3095" s="949">
        <v>53320</v>
      </c>
      <c r="F3095" s="950">
        <v>23</v>
      </c>
      <c r="G3095" s="951">
        <v>25</v>
      </c>
      <c r="H3095" s="951">
        <v>26.07</v>
      </c>
      <c r="I3095" s="18"/>
    </row>
    <row r="3096" spans="1:9">
      <c r="A3096" s="943">
        <v>1</v>
      </c>
      <c r="B3096" s="944">
        <v>853.1</v>
      </c>
      <c r="C3096" s="944" t="s">
        <v>582</v>
      </c>
      <c r="D3096" s="943" t="s">
        <v>2</v>
      </c>
      <c r="E3096" s="945">
        <v>348</v>
      </c>
      <c r="F3096" s="945">
        <v>7</v>
      </c>
      <c r="G3096" s="946">
        <v>183.71</v>
      </c>
      <c r="H3096" s="946">
        <v>181.11</v>
      </c>
    </row>
    <row r="3097" spans="1:9" s="26" customFormat="1">
      <c r="A3097" s="947">
        <v>1</v>
      </c>
      <c r="B3097" s="948">
        <v>853.2</v>
      </c>
      <c r="C3097" s="948" t="s">
        <v>1453</v>
      </c>
      <c r="D3097" s="947" t="s">
        <v>17</v>
      </c>
      <c r="E3097" s="949">
        <v>4030</v>
      </c>
      <c r="F3097" s="950">
        <v>5</v>
      </c>
      <c r="G3097" s="951">
        <v>68</v>
      </c>
      <c r="H3097" s="951">
        <v>63.21</v>
      </c>
      <c r="I3097" s="18"/>
    </row>
    <row r="3098" spans="1:9">
      <c r="A3098" s="943">
        <v>1</v>
      </c>
      <c r="B3098" s="944">
        <v>853.21</v>
      </c>
      <c r="C3098" s="944" t="s">
        <v>583</v>
      </c>
      <c r="D3098" s="943" t="s">
        <v>17</v>
      </c>
      <c r="E3098" s="952">
        <v>28020</v>
      </c>
      <c r="F3098" s="945">
        <v>10</v>
      </c>
      <c r="G3098" s="946">
        <v>22</v>
      </c>
      <c r="H3098" s="946">
        <v>21.1</v>
      </c>
    </row>
    <row r="3099" spans="1:9" s="26" customFormat="1">
      <c r="A3099" s="947">
        <v>1</v>
      </c>
      <c r="B3099" s="948">
        <v>853.23</v>
      </c>
      <c r="C3099" s="948" t="s">
        <v>584</v>
      </c>
      <c r="D3099" s="947" t="s">
        <v>17</v>
      </c>
      <c r="E3099" s="949">
        <v>2600</v>
      </c>
      <c r="F3099" s="950">
        <v>4</v>
      </c>
      <c r="G3099" s="951">
        <v>95</v>
      </c>
      <c r="H3099" s="951">
        <v>93.12</v>
      </c>
      <c r="I3099" s="18"/>
    </row>
    <row r="3100" spans="1:9">
      <c r="A3100" s="943">
        <v>1</v>
      </c>
      <c r="B3100" s="944">
        <v>853.33</v>
      </c>
      <c r="C3100" s="944" t="s">
        <v>587</v>
      </c>
      <c r="D3100" s="943" t="s">
        <v>17</v>
      </c>
      <c r="E3100" s="952">
        <v>39430</v>
      </c>
      <c r="F3100" s="945">
        <v>10</v>
      </c>
      <c r="G3100" s="946">
        <v>100</v>
      </c>
      <c r="H3100" s="946">
        <v>100.07</v>
      </c>
    </row>
    <row r="3101" spans="1:9" s="26" customFormat="1">
      <c r="A3101" s="947">
        <v>1</v>
      </c>
      <c r="B3101" s="948">
        <v>853.40300000000002</v>
      </c>
      <c r="C3101" s="948" t="s">
        <v>588</v>
      </c>
      <c r="D3101" s="947" t="s">
        <v>42</v>
      </c>
      <c r="E3101" s="954">
        <v>3710.8</v>
      </c>
      <c r="F3101" s="950">
        <v>15</v>
      </c>
      <c r="G3101" s="951">
        <v>300</v>
      </c>
      <c r="H3101" s="951">
        <v>253.3</v>
      </c>
      <c r="I3101" s="18"/>
    </row>
    <row r="3102" spans="1:9">
      <c r="A3102" s="943">
        <v>1</v>
      </c>
      <c r="B3102" s="944">
        <v>853.8</v>
      </c>
      <c r="C3102" s="944" t="s">
        <v>589</v>
      </c>
      <c r="D3102" s="943" t="s">
        <v>42</v>
      </c>
      <c r="E3102" s="952">
        <v>2208</v>
      </c>
      <c r="F3102" s="945">
        <v>8</v>
      </c>
      <c r="G3102" s="946">
        <v>130</v>
      </c>
      <c r="H3102" s="946">
        <v>175</v>
      </c>
    </row>
    <row r="3103" spans="1:9" s="26" customFormat="1">
      <c r="A3103" s="947">
        <v>1</v>
      </c>
      <c r="B3103" s="948">
        <v>854.01599999999996</v>
      </c>
      <c r="C3103" s="948" t="s">
        <v>591</v>
      </c>
      <c r="D3103" s="947" t="s">
        <v>17</v>
      </c>
      <c r="E3103" s="949">
        <v>1054800</v>
      </c>
      <c r="F3103" s="950">
        <v>6</v>
      </c>
      <c r="G3103" s="951">
        <v>1.96</v>
      </c>
      <c r="H3103" s="951">
        <v>1.22</v>
      </c>
      <c r="I3103" s="18"/>
    </row>
    <row r="3104" spans="1:9">
      <c r="A3104" s="943">
        <v>1</v>
      </c>
      <c r="B3104" s="944">
        <v>854.03599999999994</v>
      </c>
      <c r="C3104" s="944" t="s">
        <v>592</v>
      </c>
      <c r="D3104" s="943" t="s">
        <v>17</v>
      </c>
      <c r="E3104" s="952">
        <v>187430</v>
      </c>
      <c r="F3104" s="945">
        <v>8</v>
      </c>
      <c r="G3104" s="946">
        <v>2.85</v>
      </c>
      <c r="H3104" s="946">
        <v>2.58</v>
      </c>
    </row>
    <row r="3105" spans="1:9" s="26" customFormat="1">
      <c r="A3105" s="947">
        <v>1</v>
      </c>
      <c r="B3105" s="948">
        <v>854.1</v>
      </c>
      <c r="C3105" s="948" t="s">
        <v>593</v>
      </c>
      <c r="D3105" s="947" t="s">
        <v>3</v>
      </c>
      <c r="E3105" s="949">
        <v>52540</v>
      </c>
      <c r="F3105" s="950">
        <v>9</v>
      </c>
      <c r="G3105" s="951">
        <v>4</v>
      </c>
      <c r="H3105" s="951">
        <v>3.23</v>
      </c>
      <c r="I3105" s="18"/>
    </row>
    <row r="3106" spans="1:9">
      <c r="A3106" s="943">
        <v>1</v>
      </c>
      <c r="B3106" s="944">
        <v>854.6</v>
      </c>
      <c r="C3106" s="944" t="s">
        <v>1454</v>
      </c>
      <c r="D3106" s="943" t="s">
        <v>42</v>
      </c>
      <c r="E3106" s="952">
        <v>1133</v>
      </c>
      <c r="F3106" s="945">
        <v>4</v>
      </c>
      <c r="G3106" s="946">
        <v>90</v>
      </c>
      <c r="H3106" s="946">
        <v>83</v>
      </c>
    </row>
    <row r="3107" spans="1:9" s="26" customFormat="1">
      <c r="A3107" s="947">
        <v>1</v>
      </c>
      <c r="B3107" s="948">
        <v>856</v>
      </c>
      <c r="C3107" s="948" t="s">
        <v>595</v>
      </c>
      <c r="D3107" s="947" t="s">
        <v>42</v>
      </c>
      <c r="E3107" s="949">
        <v>17029</v>
      </c>
      <c r="F3107" s="950">
        <v>20</v>
      </c>
      <c r="G3107" s="951">
        <v>22</v>
      </c>
      <c r="H3107" s="951">
        <v>21.29</v>
      </c>
      <c r="I3107" s="18"/>
    </row>
    <row r="3108" spans="1:9">
      <c r="A3108" s="943">
        <v>1</v>
      </c>
      <c r="B3108" s="944">
        <v>856.12</v>
      </c>
      <c r="C3108" s="944" t="s">
        <v>596</v>
      </c>
      <c r="D3108" s="943" t="s">
        <v>42</v>
      </c>
      <c r="E3108" s="952">
        <v>48988</v>
      </c>
      <c r="F3108" s="945">
        <v>23</v>
      </c>
      <c r="G3108" s="946">
        <v>32</v>
      </c>
      <c r="H3108" s="946">
        <v>31.43</v>
      </c>
    </row>
    <row r="3109" spans="1:9" s="26" customFormat="1">
      <c r="A3109" s="947">
        <v>1</v>
      </c>
      <c r="B3109" s="948">
        <v>859</v>
      </c>
      <c r="C3109" s="948" t="s">
        <v>28</v>
      </c>
      <c r="D3109" s="947" t="s">
        <v>42</v>
      </c>
      <c r="E3109" s="949">
        <v>2669043</v>
      </c>
      <c r="F3109" s="950">
        <v>18</v>
      </c>
      <c r="G3109" s="951">
        <v>0.35</v>
      </c>
      <c r="H3109" s="951">
        <v>0.31</v>
      </c>
      <c r="I3109" s="18"/>
    </row>
    <row r="3110" spans="1:9">
      <c r="A3110" s="943">
        <v>1</v>
      </c>
      <c r="B3110" s="944">
        <v>859.1</v>
      </c>
      <c r="C3110" s="944" t="s">
        <v>1455</v>
      </c>
      <c r="D3110" s="943" t="s">
        <v>42</v>
      </c>
      <c r="E3110" s="952">
        <v>63011</v>
      </c>
      <c r="F3110" s="945">
        <v>12</v>
      </c>
      <c r="G3110" s="946">
        <v>6</v>
      </c>
      <c r="H3110" s="946">
        <v>6.65</v>
      </c>
    </row>
    <row r="3111" spans="1:9" s="26" customFormat="1">
      <c r="A3111" s="947">
        <v>1</v>
      </c>
      <c r="B3111" s="948">
        <v>860.10599999999999</v>
      </c>
      <c r="C3111" s="948" t="s">
        <v>597</v>
      </c>
      <c r="D3111" s="947" t="s">
        <v>17</v>
      </c>
      <c r="E3111" s="949">
        <v>3100</v>
      </c>
      <c r="F3111" s="950">
        <v>4</v>
      </c>
      <c r="G3111" s="951">
        <v>4.5</v>
      </c>
      <c r="H3111" s="951">
        <v>3.79</v>
      </c>
      <c r="I3111" s="18"/>
    </row>
    <row r="3112" spans="1:9">
      <c r="A3112" s="943">
        <v>1</v>
      </c>
      <c r="B3112" s="944">
        <v>860.11199999999997</v>
      </c>
      <c r="C3112" s="944" t="s">
        <v>598</v>
      </c>
      <c r="D3112" s="943" t="s">
        <v>17</v>
      </c>
      <c r="E3112" s="945">
        <v>100</v>
      </c>
      <c r="F3112" s="945">
        <v>1</v>
      </c>
      <c r="G3112" s="946">
        <v>30</v>
      </c>
      <c r="H3112" s="946">
        <v>25.4</v>
      </c>
    </row>
    <row r="3113" spans="1:9" s="26" customFormat="1">
      <c r="A3113" s="947">
        <v>1</v>
      </c>
      <c r="B3113" s="948">
        <v>861.10599999999999</v>
      </c>
      <c r="C3113" s="948" t="s">
        <v>599</v>
      </c>
      <c r="D3113" s="947" t="s">
        <v>17</v>
      </c>
      <c r="E3113" s="949">
        <v>3160</v>
      </c>
      <c r="F3113" s="950">
        <v>4</v>
      </c>
      <c r="G3113" s="951">
        <v>10.25</v>
      </c>
      <c r="H3113" s="951">
        <v>10.55</v>
      </c>
      <c r="I3113" s="18"/>
    </row>
    <row r="3114" spans="1:9">
      <c r="A3114" s="943">
        <v>1</v>
      </c>
      <c r="B3114" s="944">
        <v>864</v>
      </c>
      <c r="C3114" s="944" t="s">
        <v>601</v>
      </c>
      <c r="D3114" s="943" t="s">
        <v>3</v>
      </c>
      <c r="E3114" s="945">
        <v>450</v>
      </c>
      <c r="F3114" s="945">
        <v>1</v>
      </c>
      <c r="G3114" s="946">
        <v>28</v>
      </c>
      <c r="H3114" s="946">
        <v>29.8</v>
      </c>
    </row>
    <row r="3115" spans="1:9" s="26" customFormat="1">
      <c r="A3115" s="947">
        <v>1</v>
      </c>
      <c r="B3115" s="948">
        <v>864.04</v>
      </c>
      <c r="C3115" s="948" t="s">
        <v>1456</v>
      </c>
      <c r="D3115" s="947" t="s">
        <v>3</v>
      </c>
      <c r="E3115" s="949">
        <v>14255</v>
      </c>
      <c r="F3115" s="950">
        <v>3</v>
      </c>
      <c r="G3115" s="951">
        <v>24.5</v>
      </c>
      <c r="H3115" s="951">
        <v>21.67</v>
      </c>
      <c r="I3115" s="18"/>
    </row>
    <row r="3116" spans="1:9">
      <c r="A3116" s="943">
        <v>1</v>
      </c>
      <c r="B3116" s="944">
        <v>864.07</v>
      </c>
      <c r="C3116" s="944" t="s">
        <v>604</v>
      </c>
      <c r="D3116" s="943" t="s">
        <v>3</v>
      </c>
      <c r="E3116" s="952">
        <v>12000</v>
      </c>
      <c r="F3116" s="945">
        <v>1</v>
      </c>
      <c r="G3116" s="946">
        <v>7</v>
      </c>
      <c r="H3116" s="946">
        <v>7</v>
      </c>
    </row>
    <row r="3117" spans="1:9" s="26" customFormat="1">
      <c r="A3117" s="947">
        <v>1</v>
      </c>
      <c r="B3117" s="948">
        <v>864.31</v>
      </c>
      <c r="C3117" s="948" t="s">
        <v>605</v>
      </c>
      <c r="D3117" s="947" t="s">
        <v>2</v>
      </c>
      <c r="E3117" s="949">
        <v>4350</v>
      </c>
      <c r="F3117" s="950">
        <v>2</v>
      </c>
      <c r="G3117" s="951">
        <v>32.5</v>
      </c>
      <c r="H3117" s="951">
        <v>32.17</v>
      </c>
      <c r="I3117" s="18"/>
    </row>
    <row r="3118" spans="1:9">
      <c r="A3118" s="943">
        <v>1</v>
      </c>
      <c r="B3118" s="944">
        <v>864.33</v>
      </c>
      <c r="C3118" s="944" t="s">
        <v>607</v>
      </c>
      <c r="D3118" s="943" t="s">
        <v>2</v>
      </c>
      <c r="E3118" s="945">
        <v>78</v>
      </c>
      <c r="F3118" s="945">
        <v>1</v>
      </c>
      <c r="G3118" s="946">
        <v>32</v>
      </c>
      <c r="H3118" s="946">
        <v>32.33</v>
      </c>
    </row>
    <row r="3119" spans="1:9" s="26" customFormat="1">
      <c r="A3119" s="947">
        <v>1</v>
      </c>
      <c r="B3119" s="948">
        <v>864.34</v>
      </c>
      <c r="C3119" s="948" t="s">
        <v>608</v>
      </c>
      <c r="D3119" s="947" t="s">
        <v>2</v>
      </c>
      <c r="E3119" s="950">
        <v>210</v>
      </c>
      <c r="F3119" s="950">
        <v>1</v>
      </c>
      <c r="G3119" s="951">
        <v>32</v>
      </c>
      <c r="H3119" s="951">
        <v>32.33</v>
      </c>
      <c r="I3119" s="18"/>
    </row>
    <row r="3120" spans="1:9">
      <c r="A3120" s="943">
        <v>1</v>
      </c>
      <c r="B3120" s="944">
        <v>864.35</v>
      </c>
      <c r="C3120" s="944" t="s">
        <v>609</v>
      </c>
      <c r="D3120" s="943" t="s">
        <v>2</v>
      </c>
      <c r="E3120" s="945">
        <v>595</v>
      </c>
      <c r="F3120" s="945">
        <v>1</v>
      </c>
      <c r="G3120" s="946">
        <v>63</v>
      </c>
      <c r="H3120" s="946">
        <v>63.43</v>
      </c>
    </row>
    <row r="3121" spans="1:9" s="26" customFormat="1">
      <c r="A3121" s="947">
        <v>1</v>
      </c>
      <c r="B3121" s="948">
        <v>866.10599999999999</v>
      </c>
      <c r="C3121" s="948" t="s">
        <v>25</v>
      </c>
      <c r="D3121" s="947" t="s">
        <v>17</v>
      </c>
      <c r="E3121" s="949">
        <v>5700</v>
      </c>
      <c r="F3121" s="950">
        <v>2</v>
      </c>
      <c r="G3121" s="951">
        <v>2</v>
      </c>
      <c r="H3121" s="951">
        <v>1.75</v>
      </c>
      <c r="I3121" s="18"/>
    </row>
    <row r="3122" spans="1:9">
      <c r="A3122" s="943">
        <v>1</v>
      </c>
      <c r="B3122" s="944">
        <v>866.11199999999997</v>
      </c>
      <c r="C3122" s="944" t="s">
        <v>610</v>
      </c>
      <c r="D3122" s="943" t="s">
        <v>17</v>
      </c>
      <c r="E3122" s="945">
        <v>200</v>
      </c>
      <c r="F3122" s="945">
        <v>1</v>
      </c>
      <c r="G3122" s="946">
        <v>7.5</v>
      </c>
      <c r="H3122" s="946">
        <v>7.5</v>
      </c>
    </row>
    <row r="3123" spans="1:9" s="26" customFormat="1">
      <c r="A3123" s="947">
        <v>1</v>
      </c>
      <c r="B3123" s="948">
        <v>866.20600000000002</v>
      </c>
      <c r="C3123" s="948" t="s">
        <v>611</v>
      </c>
      <c r="D3123" s="947" t="s">
        <v>17</v>
      </c>
      <c r="E3123" s="949">
        <v>2970</v>
      </c>
      <c r="F3123" s="950">
        <v>2</v>
      </c>
      <c r="G3123" s="951">
        <v>5.94</v>
      </c>
      <c r="H3123" s="951">
        <v>5.65</v>
      </c>
      <c r="I3123" s="18"/>
    </row>
    <row r="3124" spans="1:9">
      <c r="A3124" s="943">
        <v>1</v>
      </c>
      <c r="B3124" s="944">
        <v>866.21199999999999</v>
      </c>
      <c r="C3124" s="944" t="s">
        <v>612</v>
      </c>
      <c r="D3124" s="943" t="s">
        <v>17</v>
      </c>
      <c r="E3124" s="945">
        <v>560</v>
      </c>
      <c r="F3124" s="945">
        <v>1</v>
      </c>
      <c r="G3124" s="946">
        <v>12</v>
      </c>
      <c r="H3124" s="946">
        <v>12</v>
      </c>
    </row>
    <row r="3125" spans="1:9" s="26" customFormat="1">
      <c r="A3125" s="947">
        <v>1</v>
      </c>
      <c r="B3125" s="948">
        <v>867.10599999999999</v>
      </c>
      <c r="C3125" s="948" t="s">
        <v>613</v>
      </c>
      <c r="D3125" s="947" t="s">
        <v>17</v>
      </c>
      <c r="E3125" s="949">
        <v>5700</v>
      </c>
      <c r="F3125" s="950">
        <v>2</v>
      </c>
      <c r="G3125" s="951">
        <v>2</v>
      </c>
      <c r="H3125" s="951">
        <v>1.75</v>
      </c>
      <c r="I3125" s="18"/>
    </row>
    <row r="3126" spans="1:9">
      <c r="A3126" s="943">
        <v>1</v>
      </c>
      <c r="B3126" s="944">
        <v>867.11199999999997</v>
      </c>
      <c r="C3126" s="944" t="s">
        <v>50</v>
      </c>
      <c r="D3126" s="943" t="s">
        <v>17</v>
      </c>
      <c r="E3126" s="945">
        <v>200</v>
      </c>
      <c r="F3126" s="945">
        <v>1</v>
      </c>
      <c r="G3126" s="946">
        <v>6.5</v>
      </c>
      <c r="H3126" s="946">
        <v>6.5</v>
      </c>
    </row>
    <row r="3127" spans="1:9" s="26" customFormat="1">
      <c r="A3127" s="947">
        <v>1</v>
      </c>
      <c r="B3127" s="948">
        <v>867.20600000000002</v>
      </c>
      <c r="C3127" s="948" t="s">
        <v>614</v>
      </c>
      <c r="D3127" s="947" t="s">
        <v>17</v>
      </c>
      <c r="E3127" s="949">
        <v>2910</v>
      </c>
      <c r="F3127" s="950">
        <v>2</v>
      </c>
      <c r="G3127" s="951">
        <v>5.94</v>
      </c>
      <c r="H3127" s="951">
        <v>6.31</v>
      </c>
      <c r="I3127" s="18"/>
    </row>
    <row r="3128" spans="1:9">
      <c r="A3128" s="943">
        <v>1</v>
      </c>
      <c r="B3128" s="944">
        <v>867.21199999999999</v>
      </c>
      <c r="C3128" s="944" t="s">
        <v>1523</v>
      </c>
      <c r="D3128" s="943" t="s">
        <v>17</v>
      </c>
      <c r="E3128" s="945">
        <v>100</v>
      </c>
      <c r="F3128" s="945">
        <v>1</v>
      </c>
      <c r="G3128" s="946">
        <v>19</v>
      </c>
      <c r="H3128" s="946">
        <v>19</v>
      </c>
    </row>
    <row r="3129" spans="1:9" s="26" customFormat="1">
      <c r="A3129" s="947">
        <v>1</v>
      </c>
      <c r="B3129" s="948">
        <v>874</v>
      </c>
      <c r="C3129" s="948" t="s">
        <v>23</v>
      </c>
      <c r="D3129" s="947" t="s">
        <v>2</v>
      </c>
      <c r="E3129" s="950">
        <v>458</v>
      </c>
      <c r="F3129" s="950">
        <v>5</v>
      </c>
      <c r="G3129" s="951">
        <v>150</v>
      </c>
      <c r="H3129" s="951">
        <v>140.12</v>
      </c>
      <c r="I3129" s="18"/>
    </row>
    <row r="3130" spans="1:9">
      <c r="A3130" s="943">
        <v>1</v>
      </c>
      <c r="B3130" s="944">
        <v>874.1</v>
      </c>
      <c r="C3130" s="944" t="s">
        <v>617</v>
      </c>
      <c r="D3130" s="943" t="s">
        <v>2</v>
      </c>
      <c r="E3130" s="945">
        <v>15</v>
      </c>
      <c r="F3130" s="945">
        <v>1</v>
      </c>
      <c r="G3130" s="946">
        <v>375</v>
      </c>
      <c r="H3130" s="946">
        <v>416.67</v>
      </c>
    </row>
    <row r="3131" spans="1:9" s="26" customFormat="1">
      <c r="A3131" s="947">
        <v>1</v>
      </c>
      <c r="B3131" s="948">
        <v>874.2</v>
      </c>
      <c r="C3131" s="948" t="s">
        <v>618</v>
      </c>
      <c r="D3131" s="947" t="s">
        <v>2</v>
      </c>
      <c r="E3131" s="950">
        <v>435</v>
      </c>
      <c r="F3131" s="950">
        <v>4</v>
      </c>
      <c r="G3131" s="951">
        <v>150</v>
      </c>
      <c r="H3131" s="951">
        <v>155.15</v>
      </c>
      <c r="I3131" s="18"/>
    </row>
    <row r="3132" spans="1:9">
      <c r="A3132" s="943">
        <v>1</v>
      </c>
      <c r="B3132" s="944">
        <v>874.4</v>
      </c>
      <c r="C3132" s="944" t="s">
        <v>620</v>
      </c>
      <c r="D3132" s="943" t="s">
        <v>2</v>
      </c>
      <c r="E3132" s="945">
        <v>518</v>
      </c>
      <c r="F3132" s="945">
        <v>5</v>
      </c>
      <c r="G3132" s="946">
        <v>50</v>
      </c>
      <c r="H3132" s="946">
        <v>41.97</v>
      </c>
    </row>
    <row r="3133" spans="1:9" s="26" customFormat="1">
      <c r="A3133" s="947">
        <v>1</v>
      </c>
      <c r="B3133" s="948">
        <v>874.7</v>
      </c>
      <c r="C3133" s="948" t="s">
        <v>46</v>
      </c>
      <c r="D3133" s="947" t="s">
        <v>2</v>
      </c>
      <c r="E3133" s="950">
        <v>16</v>
      </c>
      <c r="F3133" s="950">
        <v>1</v>
      </c>
      <c r="G3133" s="951">
        <v>80</v>
      </c>
      <c r="H3133" s="951">
        <v>73</v>
      </c>
      <c r="I3133" s="18"/>
    </row>
    <row r="3134" spans="1:9">
      <c r="A3134" s="943">
        <v>1</v>
      </c>
      <c r="B3134" s="944">
        <v>901</v>
      </c>
      <c r="C3134" s="944" t="s">
        <v>624</v>
      </c>
      <c r="D3134" s="943" t="s">
        <v>4</v>
      </c>
      <c r="E3134" s="945">
        <v>356</v>
      </c>
      <c r="F3134" s="945">
        <v>2</v>
      </c>
      <c r="G3134" s="946">
        <v>2750</v>
      </c>
      <c r="H3134" s="946">
        <v>3053.85</v>
      </c>
    </row>
    <row r="3135" spans="1:9" s="26" customFormat="1">
      <c r="A3135" s="947">
        <v>1</v>
      </c>
      <c r="B3135" s="948">
        <v>902</v>
      </c>
      <c r="C3135" s="948" t="s">
        <v>3332</v>
      </c>
      <c r="D3135" s="947" t="s">
        <v>4</v>
      </c>
      <c r="E3135" s="950">
        <v>8</v>
      </c>
      <c r="F3135" s="950">
        <v>1</v>
      </c>
      <c r="G3135" s="951">
        <v>1025</v>
      </c>
      <c r="H3135" s="951">
        <v>1200</v>
      </c>
      <c r="I3135" s="18"/>
    </row>
    <row r="3136" spans="1:9">
      <c r="A3136" s="943">
        <v>1</v>
      </c>
      <c r="B3136" s="944">
        <v>903</v>
      </c>
      <c r="C3136" s="944" t="s">
        <v>626</v>
      </c>
      <c r="D3136" s="943" t="s">
        <v>4</v>
      </c>
      <c r="E3136" s="945">
        <v>44</v>
      </c>
      <c r="F3136" s="945">
        <v>1</v>
      </c>
      <c r="G3136" s="946">
        <v>850</v>
      </c>
      <c r="H3136" s="946">
        <v>1781.85</v>
      </c>
    </row>
    <row r="3137" spans="1:9" s="26" customFormat="1">
      <c r="A3137" s="947">
        <v>1</v>
      </c>
      <c r="B3137" s="948">
        <v>904</v>
      </c>
      <c r="C3137" s="948" t="s">
        <v>627</v>
      </c>
      <c r="D3137" s="947" t="s">
        <v>4</v>
      </c>
      <c r="E3137" s="950">
        <v>10</v>
      </c>
      <c r="F3137" s="950">
        <v>1</v>
      </c>
      <c r="G3137" s="951">
        <v>2500</v>
      </c>
      <c r="H3137" s="951">
        <v>3000</v>
      </c>
      <c r="I3137" s="18"/>
    </row>
    <row r="3138" spans="1:9">
      <c r="A3138" s="943">
        <v>1</v>
      </c>
      <c r="B3138" s="944">
        <v>904.3</v>
      </c>
      <c r="C3138" s="944" t="s">
        <v>628</v>
      </c>
      <c r="D3138" s="943" t="s">
        <v>4</v>
      </c>
      <c r="E3138" s="945">
        <v>238</v>
      </c>
      <c r="F3138" s="945">
        <v>2</v>
      </c>
      <c r="G3138" s="946">
        <v>3000</v>
      </c>
      <c r="H3138" s="946">
        <v>2987.5</v>
      </c>
    </row>
    <row r="3139" spans="1:9" s="26" customFormat="1">
      <c r="A3139" s="947">
        <v>1</v>
      </c>
      <c r="B3139" s="948">
        <v>904.4</v>
      </c>
      <c r="C3139" s="948" t="s">
        <v>629</v>
      </c>
      <c r="D3139" s="947" t="s">
        <v>4</v>
      </c>
      <c r="E3139" s="950">
        <v>350</v>
      </c>
      <c r="F3139" s="950">
        <v>1</v>
      </c>
      <c r="G3139" s="951">
        <v>4525</v>
      </c>
      <c r="H3139" s="951">
        <v>4525</v>
      </c>
      <c r="I3139" s="18"/>
    </row>
    <row r="3140" spans="1:9">
      <c r="A3140" s="943">
        <v>1</v>
      </c>
      <c r="B3140" s="944">
        <v>905</v>
      </c>
      <c r="C3140" s="944" t="s">
        <v>630</v>
      </c>
      <c r="D3140" s="943" t="s">
        <v>4</v>
      </c>
      <c r="E3140" s="945">
        <v>582</v>
      </c>
      <c r="F3140" s="945">
        <v>11</v>
      </c>
      <c r="G3140" s="946">
        <v>4200</v>
      </c>
      <c r="H3140" s="946">
        <v>4323.62</v>
      </c>
    </row>
    <row r="3141" spans="1:9" s="26" customFormat="1">
      <c r="A3141" s="947">
        <v>1</v>
      </c>
      <c r="B3141" s="948">
        <v>908</v>
      </c>
      <c r="C3141" s="948" t="s">
        <v>633</v>
      </c>
      <c r="D3141" s="947" t="s">
        <v>634</v>
      </c>
      <c r="E3141" s="950">
        <v>300</v>
      </c>
      <c r="F3141" s="950">
        <v>1</v>
      </c>
      <c r="G3141" s="951">
        <v>255</v>
      </c>
      <c r="H3141" s="951">
        <v>253.33</v>
      </c>
      <c r="I3141" s="18"/>
    </row>
    <row r="3142" spans="1:9">
      <c r="A3142" s="943">
        <v>1</v>
      </c>
      <c r="B3142" s="944">
        <v>909.2</v>
      </c>
      <c r="C3142" s="944" t="s">
        <v>635</v>
      </c>
      <c r="D3142" s="943" t="s">
        <v>3</v>
      </c>
      <c r="E3142" s="952">
        <v>3440</v>
      </c>
      <c r="F3142" s="945">
        <v>4</v>
      </c>
      <c r="G3142" s="946">
        <v>140</v>
      </c>
      <c r="H3142" s="946">
        <v>130</v>
      </c>
    </row>
    <row r="3143" spans="1:9" s="26" customFormat="1">
      <c r="A3143" s="947">
        <v>1</v>
      </c>
      <c r="B3143" s="948">
        <v>910.1</v>
      </c>
      <c r="C3143" s="948" t="s">
        <v>637</v>
      </c>
      <c r="D3143" s="947" t="s">
        <v>100</v>
      </c>
      <c r="E3143" s="949">
        <v>159394</v>
      </c>
      <c r="F3143" s="950">
        <v>11</v>
      </c>
      <c r="G3143" s="951">
        <v>6.38</v>
      </c>
      <c r="H3143" s="951">
        <v>6.52</v>
      </c>
      <c r="I3143" s="18"/>
    </row>
    <row r="3144" spans="1:9">
      <c r="A3144" s="943">
        <v>1</v>
      </c>
      <c r="B3144" s="944">
        <v>912</v>
      </c>
      <c r="C3144" s="944" t="s">
        <v>641</v>
      </c>
      <c r="D3144" s="943" t="s">
        <v>2</v>
      </c>
      <c r="E3144" s="945">
        <v>150</v>
      </c>
      <c r="F3144" s="945">
        <v>1</v>
      </c>
      <c r="G3144" s="946">
        <v>100</v>
      </c>
      <c r="H3144" s="946">
        <v>100</v>
      </c>
    </row>
    <row r="3145" spans="1:9" s="26" customFormat="1">
      <c r="A3145" s="947">
        <v>1</v>
      </c>
      <c r="B3145" s="948">
        <v>912.5</v>
      </c>
      <c r="C3145" s="948" t="s">
        <v>642</v>
      </c>
      <c r="D3145" s="947" t="s">
        <v>2</v>
      </c>
      <c r="E3145" s="950">
        <v>600</v>
      </c>
      <c r="F3145" s="950">
        <v>1</v>
      </c>
      <c r="G3145" s="951">
        <v>75</v>
      </c>
      <c r="H3145" s="951">
        <v>75</v>
      </c>
      <c r="I3145" s="18"/>
    </row>
    <row r="3146" spans="1:9">
      <c r="A3146" s="943">
        <v>1</v>
      </c>
      <c r="B3146" s="944">
        <v>950.1</v>
      </c>
      <c r="C3146" s="944" t="s">
        <v>656</v>
      </c>
      <c r="D3146" s="943" t="s">
        <v>22</v>
      </c>
      <c r="E3146" s="945">
        <v>5</v>
      </c>
      <c r="F3146" s="945">
        <v>1</v>
      </c>
      <c r="G3146" s="946">
        <v>250000</v>
      </c>
      <c r="H3146" s="946">
        <v>285000.02</v>
      </c>
    </row>
    <row r="3147" spans="1:9" s="26" customFormat="1">
      <c r="A3147" s="947">
        <v>1</v>
      </c>
      <c r="B3147" s="948">
        <v>961.20100000000002</v>
      </c>
      <c r="C3147" s="948" t="s">
        <v>660</v>
      </c>
      <c r="D3147" s="947" t="s">
        <v>22</v>
      </c>
      <c r="E3147" s="950">
        <v>2</v>
      </c>
      <c r="F3147" s="950">
        <v>1</v>
      </c>
      <c r="G3147" s="951">
        <v>824000</v>
      </c>
      <c r="H3147" s="951">
        <v>824000</v>
      </c>
      <c r="I3147" s="18"/>
    </row>
    <row r="3148" spans="1:9">
      <c r="A3148" s="943">
        <v>1</v>
      </c>
      <c r="B3148" s="944">
        <v>961.202</v>
      </c>
      <c r="C3148" s="944" t="s">
        <v>660</v>
      </c>
      <c r="D3148" s="943" t="s">
        <v>22</v>
      </c>
      <c r="E3148" s="945">
        <v>2</v>
      </c>
      <c r="F3148" s="945">
        <v>1</v>
      </c>
      <c r="G3148" s="946">
        <v>724500</v>
      </c>
      <c r="H3148" s="946">
        <v>724500</v>
      </c>
    </row>
    <row r="3149" spans="1:9" s="26" customFormat="1">
      <c r="A3149" s="947">
        <v>1</v>
      </c>
      <c r="B3149" s="948">
        <v>961.20299999999997</v>
      </c>
      <c r="C3149" s="948" t="s">
        <v>661</v>
      </c>
      <c r="D3149" s="947" t="s">
        <v>22</v>
      </c>
      <c r="E3149" s="950">
        <v>2</v>
      </c>
      <c r="F3149" s="950">
        <v>1</v>
      </c>
      <c r="G3149" s="951">
        <v>877500</v>
      </c>
      <c r="H3149" s="951">
        <v>877500</v>
      </c>
      <c r="I3149" s="18"/>
    </row>
    <row r="3150" spans="1:9">
      <c r="A3150" s="943">
        <v>1</v>
      </c>
      <c r="B3150" s="944">
        <v>961.20399999999995</v>
      </c>
      <c r="C3150" s="944" t="s">
        <v>660</v>
      </c>
      <c r="D3150" s="943" t="s">
        <v>22</v>
      </c>
      <c r="E3150" s="945">
        <v>2</v>
      </c>
      <c r="F3150" s="945">
        <v>1</v>
      </c>
      <c r="G3150" s="946">
        <v>752000</v>
      </c>
      <c r="H3150" s="946">
        <v>752000</v>
      </c>
    </row>
    <row r="3151" spans="1:9" s="26" customFormat="1">
      <c r="A3151" s="947">
        <v>1</v>
      </c>
      <c r="B3151" s="948">
        <v>961.20500000000004</v>
      </c>
      <c r="C3151" s="948" t="s">
        <v>662</v>
      </c>
      <c r="D3151" s="947" t="s">
        <v>22</v>
      </c>
      <c r="E3151" s="950">
        <v>2</v>
      </c>
      <c r="F3151" s="950">
        <v>1</v>
      </c>
      <c r="G3151" s="951">
        <v>554500</v>
      </c>
      <c r="H3151" s="951">
        <v>554500</v>
      </c>
      <c r="I3151" s="18"/>
    </row>
    <row r="3152" spans="1:9">
      <c r="A3152" s="943">
        <v>1</v>
      </c>
      <c r="B3152" s="944">
        <v>961.20600000000002</v>
      </c>
      <c r="C3152" s="944" t="s">
        <v>662</v>
      </c>
      <c r="D3152" s="943" t="s">
        <v>22</v>
      </c>
      <c r="E3152" s="945">
        <v>2</v>
      </c>
      <c r="F3152" s="945">
        <v>1</v>
      </c>
      <c r="G3152" s="946">
        <v>538500</v>
      </c>
      <c r="H3152" s="946">
        <v>538500</v>
      </c>
    </row>
    <row r="3153" spans="1:9" s="26" customFormat="1">
      <c r="A3153" s="947">
        <v>1</v>
      </c>
      <c r="B3153" s="948">
        <v>964.1</v>
      </c>
      <c r="C3153" s="948" t="s">
        <v>663</v>
      </c>
      <c r="D3153" s="947" t="s">
        <v>3</v>
      </c>
      <c r="E3153" s="949">
        <v>5400</v>
      </c>
      <c r="F3153" s="950">
        <v>1</v>
      </c>
      <c r="G3153" s="951">
        <v>5.5</v>
      </c>
      <c r="H3153" s="951">
        <v>5.5</v>
      </c>
      <c r="I3153" s="18"/>
    </row>
    <row r="3154" spans="1:9">
      <c r="A3154" s="943">
        <v>1</v>
      </c>
      <c r="B3154" s="944">
        <v>964.7</v>
      </c>
      <c r="C3154" s="944" t="s">
        <v>664</v>
      </c>
      <c r="D3154" s="943" t="s">
        <v>3</v>
      </c>
      <c r="E3154" s="945">
        <v>562</v>
      </c>
      <c r="F3154" s="945">
        <v>2</v>
      </c>
      <c r="G3154" s="946">
        <v>100</v>
      </c>
      <c r="H3154" s="946">
        <v>78.75</v>
      </c>
    </row>
    <row r="3155" spans="1:9" s="26" customFormat="1">
      <c r="A3155" s="947">
        <v>1</v>
      </c>
      <c r="B3155" s="948">
        <v>970</v>
      </c>
      <c r="C3155" s="948" t="s">
        <v>3585</v>
      </c>
      <c r="D3155" s="947" t="s">
        <v>3</v>
      </c>
      <c r="E3155" s="949">
        <v>1200</v>
      </c>
      <c r="F3155" s="950">
        <v>1</v>
      </c>
      <c r="G3155" s="951">
        <v>12</v>
      </c>
      <c r="H3155" s="951">
        <v>11.33</v>
      </c>
      <c r="I3155" s="18"/>
    </row>
    <row r="3156" spans="1:9">
      <c r="A3156" s="943">
        <v>1</v>
      </c>
      <c r="B3156" s="944">
        <v>971</v>
      </c>
      <c r="C3156" s="944" t="s">
        <v>667</v>
      </c>
      <c r="D3156" s="943" t="s">
        <v>17</v>
      </c>
      <c r="E3156" s="945">
        <v>400</v>
      </c>
      <c r="F3156" s="945">
        <v>1</v>
      </c>
      <c r="G3156" s="946">
        <v>347.5</v>
      </c>
      <c r="H3156" s="946">
        <v>342.5</v>
      </c>
    </row>
    <row r="3157" spans="1:9" s="26" customFormat="1">
      <c r="A3157" s="947">
        <v>1</v>
      </c>
      <c r="B3157" s="948">
        <v>975.1</v>
      </c>
      <c r="C3157" s="948" t="s">
        <v>3588</v>
      </c>
      <c r="D3157" s="947" t="s">
        <v>17</v>
      </c>
      <c r="E3157" s="950">
        <v>110</v>
      </c>
      <c r="F3157" s="950">
        <v>1</v>
      </c>
      <c r="G3157" s="951">
        <v>1300</v>
      </c>
      <c r="H3157" s="951">
        <v>1297</v>
      </c>
      <c r="I3157" s="18"/>
    </row>
    <row r="3158" spans="1:9">
      <c r="A3158" s="943">
        <v>1</v>
      </c>
      <c r="B3158" s="944">
        <v>983</v>
      </c>
      <c r="C3158" s="944" t="s">
        <v>671</v>
      </c>
      <c r="D3158" s="943" t="s">
        <v>7</v>
      </c>
      <c r="E3158" s="952">
        <v>3270</v>
      </c>
      <c r="F3158" s="945">
        <v>2</v>
      </c>
      <c r="G3158" s="946">
        <v>92.5</v>
      </c>
      <c r="H3158" s="946">
        <v>89.08</v>
      </c>
    </row>
    <row r="3159" spans="1:9" s="26" customFormat="1">
      <c r="A3159" s="947">
        <v>1</v>
      </c>
      <c r="B3159" s="948">
        <v>983.1</v>
      </c>
      <c r="C3159" s="948" t="s">
        <v>672</v>
      </c>
      <c r="D3159" s="947" t="s">
        <v>7</v>
      </c>
      <c r="E3159" s="949">
        <v>1440</v>
      </c>
      <c r="F3159" s="950">
        <v>3</v>
      </c>
      <c r="G3159" s="951">
        <v>92</v>
      </c>
      <c r="H3159" s="951">
        <v>93.46</v>
      </c>
      <c r="I3159" s="18"/>
    </row>
    <row r="3160" spans="1:9">
      <c r="A3160" s="943">
        <v>1</v>
      </c>
      <c r="B3160" s="944">
        <v>983.11</v>
      </c>
      <c r="C3160" s="944" t="s">
        <v>673</v>
      </c>
      <c r="D3160" s="943" t="s">
        <v>7</v>
      </c>
      <c r="E3160" s="945">
        <v>120</v>
      </c>
      <c r="F3160" s="945">
        <v>1</v>
      </c>
      <c r="G3160" s="946">
        <v>100</v>
      </c>
      <c r="H3160" s="946">
        <v>106.67</v>
      </c>
    </row>
    <row r="3161" spans="1:9" s="26" customFormat="1">
      <c r="A3161" s="947">
        <v>1</v>
      </c>
      <c r="B3161" s="948">
        <v>986</v>
      </c>
      <c r="C3161" s="948" t="s">
        <v>675</v>
      </c>
      <c r="D3161" s="947" t="s">
        <v>7</v>
      </c>
      <c r="E3161" s="949">
        <v>5290</v>
      </c>
      <c r="F3161" s="950">
        <v>6</v>
      </c>
      <c r="G3161" s="951">
        <v>100</v>
      </c>
      <c r="H3161" s="951">
        <v>99.59</v>
      </c>
      <c r="I3161" s="18"/>
    </row>
    <row r="3162" spans="1:9">
      <c r="A3162" s="943">
        <v>1</v>
      </c>
      <c r="B3162" s="944">
        <v>987.02</v>
      </c>
      <c r="C3162" s="944" t="s">
        <v>676</v>
      </c>
      <c r="D3162" s="943" t="s">
        <v>1</v>
      </c>
      <c r="E3162" s="945">
        <v>940</v>
      </c>
      <c r="F3162" s="945">
        <v>2</v>
      </c>
      <c r="G3162" s="946">
        <v>195</v>
      </c>
      <c r="H3162" s="946">
        <v>219.5</v>
      </c>
    </row>
    <row r="3163" spans="1:9" s="26" customFormat="1">
      <c r="A3163" s="947">
        <v>1</v>
      </c>
      <c r="B3163" s="948">
        <v>991.1</v>
      </c>
      <c r="C3163" s="948" t="s">
        <v>678</v>
      </c>
      <c r="D3163" s="947" t="s">
        <v>22</v>
      </c>
      <c r="E3163" s="950">
        <v>15</v>
      </c>
      <c r="F3163" s="950">
        <v>4</v>
      </c>
      <c r="G3163" s="951">
        <v>175000</v>
      </c>
      <c r="H3163" s="951">
        <v>176867.73</v>
      </c>
      <c r="I3163" s="18"/>
    </row>
    <row r="3164" spans="1:9">
      <c r="A3164" s="943">
        <v>1</v>
      </c>
      <c r="B3164" s="944">
        <v>993.1</v>
      </c>
      <c r="C3164" s="944" t="s">
        <v>681</v>
      </c>
      <c r="D3164" s="943" t="s">
        <v>22</v>
      </c>
      <c r="E3164" s="945">
        <v>6</v>
      </c>
      <c r="F3164" s="945">
        <v>1</v>
      </c>
      <c r="G3164" s="946">
        <v>400000</v>
      </c>
      <c r="H3164" s="946">
        <v>390153.75</v>
      </c>
    </row>
    <row r="3165" spans="1:9" s="26" customFormat="1">
      <c r="A3165" s="947">
        <v>1</v>
      </c>
      <c r="B3165" s="948">
        <v>994.01</v>
      </c>
      <c r="C3165" s="948" t="s">
        <v>682</v>
      </c>
      <c r="D3165" s="947" t="s">
        <v>22</v>
      </c>
      <c r="E3165" s="950">
        <v>12</v>
      </c>
      <c r="F3165" s="950">
        <v>3</v>
      </c>
      <c r="G3165" s="951">
        <v>46300</v>
      </c>
      <c r="H3165" s="951">
        <v>42123.42</v>
      </c>
      <c r="I3165" s="18"/>
    </row>
    <row r="3166" spans="1:9">
      <c r="A3166" s="943">
        <v>1</v>
      </c>
      <c r="B3166" s="944">
        <v>994.1</v>
      </c>
      <c r="C3166" s="944" t="s">
        <v>683</v>
      </c>
      <c r="D3166" s="943" t="s">
        <v>3</v>
      </c>
      <c r="E3166" s="952">
        <v>86240</v>
      </c>
      <c r="F3166" s="945">
        <v>5</v>
      </c>
      <c r="G3166" s="946">
        <v>23</v>
      </c>
      <c r="H3166" s="946">
        <v>23.39</v>
      </c>
    </row>
    <row r="3167" spans="1:9" s="26" customFormat="1">
      <c r="A3167" s="947">
        <v>1</v>
      </c>
      <c r="B3167" s="948">
        <v>995</v>
      </c>
      <c r="C3167" s="948" t="s">
        <v>684</v>
      </c>
      <c r="D3167" s="947" t="s">
        <v>22</v>
      </c>
      <c r="E3167" s="950">
        <v>5</v>
      </c>
      <c r="F3167" s="950">
        <v>1</v>
      </c>
      <c r="G3167" s="951">
        <v>1200000</v>
      </c>
      <c r="H3167" s="951">
        <v>1163075.8</v>
      </c>
      <c r="I3167" s="18"/>
    </row>
    <row r="3168" spans="1:9">
      <c r="A3168" s="943">
        <v>1</v>
      </c>
      <c r="B3168" s="944">
        <v>995.01</v>
      </c>
      <c r="C3168" s="944" t="s">
        <v>685</v>
      </c>
      <c r="D3168" s="943" t="s">
        <v>22</v>
      </c>
      <c r="E3168" s="945">
        <v>19</v>
      </c>
      <c r="F3168" s="945">
        <v>3</v>
      </c>
      <c r="G3168" s="946">
        <v>1330600</v>
      </c>
      <c r="H3168" s="946">
        <v>1330125.47</v>
      </c>
    </row>
    <row r="3169" spans="1:9" s="26" customFormat="1">
      <c r="A3169" s="947">
        <v>1</v>
      </c>
      <c r="B3169" s="948">
        <v>996.01</v>
      </c>
      <c r="C3169" s="948" t="s">
        <v>688</v>
      </c>
      <c r="D3169" s="947" t="s">
        <v>22</v>
      </c>
      <c r="E3169" s="950">
        <v>10</v>
      </c>
      <c r="F3169" s="950">
        <v>2</v>
      </c>
      <c r="G3169" s="951">
        <v>931750.25</v>
      </c>
      <c r="H3169" s="951">
        <v>906556.35</v>
      </c>
      <c r="I3169" s="18"/>
    </row>
    <row r="3170" spans="1:9">
      <c r="A3170" s="943">
        <v>1</v>
      </c>
      <c r="B3170" s="944">
        <v>996.31</v>
      </c>
      <c r="C3170" s="944" t="s">
        <v>3627</v>
      </c>
      <c r="D3170" s="943" t="s">
        <v>1</v>
      </c>
      <c r="E3170" s="945">
        <v>300</v>
      </c>
      <c r="F3170" s="945">
        <v>1</v>
      </c>
      <c r="G3170" s="946">
        <v>230</v>
      </c>
      <c r="H3170" s="946">
        <v>220</v>
      </c>
    </row>
    <row r="3171" spans="1:9" s="26" customFormat="1">
      <c r="A3171" s="947">
        <v>2</v>
      </c>
      <c r="B3171" s="948">
        <v>100</v>
      </c>
      <c r="C3171" s="948" t="s">
        <v>51</v>
      </c>
      <c r="D3171" s="947" t="s">
        <v>22</v>
      </c>
      <c r="E3171" s="950">
        <v>24</v>
      </c>
      <c r="F3171" s="950">
        <v>5</v>
      </c>
      <c r="G3171" s="951">
        <v>34500</v>
      </c>
      <c r="H3171" s="951">
        <v>37250</v>
      </c>
      <c r="I3171" s="18"/>
    </row>
    <row r="3172" spans="1:9">
      <c r="A3172" s="943">
        <v>2</v>
      </c>
      <c r="B3172" s="944">
        <v>100.001</v>
      </c>
      <c r="C3172" s="944" t="s">
        <v>82</v>
      </c>
      <c r="D3172" s="943" t="s">
        <v>24</v>
      </c>
      <c r="E3172" s="952">
        <v>4400</v>
      </c>
      <c r="F3172" s="945">
        <v>1</v>
      </c>
      <c r="G3172" s="946">
        <v>154.5</v>
      </c>
      <c r="H3172" s="946">
        <v>153.5</v>
      </c>
    </row>
    <row r="3173" spans="1:9" s="26" customFormat="1">
      <c r="A3173" s="947">
        <v>2</v>
      </c>
      <c r="B3173" s="948">
        <v>100.002</v>
      </c>
      <c r="C3173" s="948" t="s">
        <v>83</v>
      </c>
      <c r="D3173" s="947" t="s">
        <v>24</v>
      </c>
      <c r="E3173" s="949">
        <v>1564</v>
      </c>
      <c r="F3173" s="950">
        <v>4</v>
      </c>
      <c r="G3173" s="951">
        <v>92.5</v>
      </c>
      <c r="H3173" s="951">
        <v>95.06</v>
      </c>
      <c r="I3173" s="18"/>
    </row>
    <row r="3174" spans="1:9">
      <c r="A3174" s="943">
        <v>2</v>
      </c>
      <c r="B3174" s="944">
        <v>100.1</v>
      </c>
      <c r="C3174" s="944" t="s">
        <v>85</v>
      </c>
      <c r="D3174" s="943" t="s">
        <v>24</v>
      </c>
      <c r="E3174" s="952">
        <v>13610</v>
      </c>
      <c r="F3174" s="945">
        <v>6</v>
      </c>
      <c r="G3174" s="946">
        <v>138.4</v>
      </c>
      <c r="H3174" s="946">
        <v>138.04</v>
      </c>
    </row>
    <row r="3175" spans="1:9" s="26" customFormat="1">
      <c r="A3175" s="947">
        <v>2</v>
      </c>
      <c r="B3175" s="948">
        <v>101</v>
      </c>
      <c r="C3175" s="948" t="s">
        <v>54</v>
      </c>
      <c r="D3175" s="947" t="s">
        <v>55</v>
      </c>
      <c r="E3175" s="950">
        <v>18.7</v>
      </c>
      <c r="F3175" s="950">
        <v>6</v>
      </c>
      <c r="G3175" s="951">
        <v>45800</v>
      </c>
      <c r="H3175" s="951">
        <v>42061.9</v>
      </c>
      <c r="I3175" s="18"/>
    </row>
    <row r="3176" spans="1:9">
      <c r="A3176" s="943">
        <v>2</v>
      </c>
      <c r="B3176" s="944">
        <v>101.1</v>
      </c>
      <c r="C3176" s="944" t="s">
        <v>1273</v>
      </c>
      <c r="D3176" s="943" t="s">
        <v>55</v>
      </c>
      <c r="E3176" s="945">
        <v>1.9</v>
      </c>
      <c r="F3176" s="945">
        <v>3</v>
      </c>
      <c r="G3176" s="946">
        <v>30000</v>
      </c>
      <c r="H3176" s="946">
        <v>27080</v>
      </c>
    </row>
    <row r="3177" spans="1:9" s="26" customFormat="1">
      <c r="A3177" s="947">
        <v>2</v>
      </c>
      <c r="B3177" s="948">
        <v>102</v>
      </c>
      <c r="C3177" s="948" t="s">
        <v>92</v>
      </c>
      <c r="D3177" s="947" t="s">
        <v>55</v>
      </c>
      <c r="E3177" s="950">
        <v>3.7</v>
      </c>
      <c r="F3177" s="950">
        <v>3</v>
      </c>
      <c r="G3177" s="951">
        <v>22000</v>
      </c>
      <c r="H3177" s="951">
        <v>19400</v>
      </c>
      <c r="I3177" s="18"/>
    </row>
    <row r="3178" spans="1:9">
      <c r="A3178" s="943">
        <v>2</v>
      </c>
      <c r="B3178" s="944">
        <v>102.01</v>
      </c>
      <c r="C3178" s="944" t="s">
        <v>1950</v>
      </c>
      <c r="D3178" s="943" t="s">
        <v>22</v>
      </c>
      <c r="E3178" s="945">
        <v>3</v>
      </c>
      <c r="F3178" s="945">
        <v>1</v>
      </c>
      <c r="G3178" s="946">
        <v>21375</v>
      </c>
      <c r="H3178" s="946">
        <v>24250</v>
      </c>
    </row>
    <row r="3179" spans="1:9" s="26" customFormat="1">
      <c r="A3179" s="947">
        <v>2</v>
      </c>
      <c r="B3179" s="948">
        <v>102.1</v>
      </c>
      <c r="C3179" s="948" t="s">
        <v>93</v>
      </c>
      <c r="D3179" s="947" t="s">
        <v>17</v>
      </c>
      <c r="E3179" s="949">
        <v>12965</v>
      </c>
      <c r="F3179" s="950">
        <v>8</v>
      </c>
      <c r="G3179" s="951">
        <v>14.25</v>
      </c>
      <c r="H3179" s="951">
        <v>14.39</v>
      </c>
      <c r="I3179" s="18"/>
    </row>
    <row r="3180" spans="1:9">
      <c r="A3180" s="943">
        <v>2</v>
      </c>
      <c r="B3180" s="944">
        <v>102.12</v>
      </c>
      <c r="C3180" s="944" t="s">
        <v>93</v>
      </c>
      <c r="D3180" s="943" t="s">
        <v>2</v>
      </c>
      <c r="E3180" s="952">
        <v>2200</v>
      </c>
      <c r="F3180" s="945">
        <v>1</v>
      </c>
      <c r="G3180" s="946">
        <v>100</v>
      </c>
      <c r="H3180" s="946">
        <v>75</v>
      </c>
    </row>
    <row r="3181" spans="1:9" s="26" customFormat="1">
      <c r="A3181" s="947">
        <v>2</v>
      </c>
      <c r="B3181" s="948">
        <v>102.3</v>
      </c>
      <c r="C3181" s="948" t="s">
        <v>3995</v>
      </c>
      <c r="D3181" s="947" t="s">
        <v>24</v>
      </c>
      <c r="E3181" s="950">
        <v>348</v>
      </c>
      <c r="F3181" s="950">
        <v>3</v>
      </c>
      <c r="G3181" s="951">
        <v>730</v>
      </c>
      <c r="H3181" s="951">
        <v>819.05</v>
      </c>
      <c r="I3181" s="18"/>
    </row>
    <row r="3182" spans="1:9">
      <c r="A3182" s="943">
        <v>2</v>
      </c>
      <c r="B3182" s="944">
        <v>102.33</v>
      </c>
      <c r="C3182" s="944" t="s">
        <v>1275</v>
      </c>
      <c r="D3182" s="943" t="s">
        <v>24</v>
      </c>
      <c r="E3182" s="945">
        <v>228</v>
      </c>
      <c r="F3182" s="945">
        <v>3</v>
      </c>
      <c r="G3182" s="946">
        <v>370</v>
      </c>
      <c r="H3182" s="946">
        <v>357.05</v>
      </c>
    </row>
    <row r="3183" spans="1:9" s="26" customFormat="1">
      <c r="A3183" s="947">
        <v>2</v>
      </c>
      <c r="B3183" s="948">
        <v>102.511</v>
      </c>
      <c r="C3183" s="948" t="s">
        <v>4029</v>
      </c>
      <c r="D3183" s="947" t="s">
        <v>2</v>
      </c>
      <c r="E3183" s="950">
        <v>211</v>
      </c>
      <c r="F3183" s="950">
        <v>6</v>
      </c>
      <c r="G3183" s="951">
        <v>480</v>
      </c>
      <c r="H3183" s="951">
        <v>463.5</v>
      </c>
      <c r="I3183" s="18"/>
    </row>
    <row r="3184" spans="1:9">
      <c r="A3184" s="943">
        <v>2</v>
      </c>
      <c r="B3184" s="944">
        <v>102.521</v>
      </c>
      <c r="C3184" s="944" t="s">
        <v>1276</v>
      </c>
      <c r="D3184" s="943" t="s">
        <v>17</v>
      </c>
      <c r="E3184" s="952">
        <v>5916</v>
      </c>
      <c r="F3184" s="945">
        <v>6</v>
      </c>
      <c r="G3184" s="946">
        <v>10</v>
      </c>
      <c r="H3184" s="946">
        <v>9.08</v>
      </c>
    </row>
    <row r="3185" spans="1:9" s="26" customFormat="1">
      <c r="A3185" s="947">
        <v>2</v>
      </c>
      <c r="B3185" s="948">
        <v>102.55</v>
      </c>
      <c r="C3185" s="948" t="s">
        <v>1277</v>
      </c>
      <c r="D3185" s="947" t="s">
        <v>24</v>
      </c>
      <c r="E3185" s="950">
        <v>272</v>
      </c>
      <c r="F3185" s="950">
        <v>2</v>
      </c>
      <c r="G3185" s="951">
        <v>200</v>
      </c>
      <c r="H3185" s="951">
        <v>197.14</v>
      </c>
      <c r="I3185" s="18"/>
    </row>
    <row r="3186" spans="1:9">
      <c r="A3186" s="943">
        <v>2</v>
      </c>
      <c r="B3186" s="944">
        <v>103</v>
      </c>
      <c r="C3186" s="944" t="s">
        <v>35</v>
      </c>
      <c r="D3186" s="943" t="s">
        <v>2</v>
      </c>
      <c r="E3186" s="945">
        <v>169</v>
      </c>
      <c r="F3186" s="945">
        <v>7</v>
      </c>
      <c r="G3186" s="946">
        <v>1637.5</v>
      </c>
      <c r="H3186" s="946">
        <v>1654.83</v>
      </c>
    </row>
    <row r="3187" spans="1:9" s="26" customFormat="1">
      <c r="A3187" s="947">
        <v>2</v>
      </c>
      <c r="B3187" s="948">
        <v>104</v>
      </c>
      <c r="C3187" s="948" t="s">
        <v>94</v>
      </c>
      <c r="D3187" s="947" t="s">
        <v>2</v>
      </c>
      <c r="E3187" s="950">
        <v>222</v>
      </c>
      <c r="F3187" s="950">
        <v>9</v>
      </c>
      <c r="G3187" s="951">
        <v>3500</v>
      </c>
      <c r="H3187" s="951">
        <v>3330.61</v>
      </c>
      <c r="I3187" s="18"/>
    </row>
    <row r="3188" spans="1:9">
      <c r="A3188" s="943">
        <v>2</v>
      </c>
      <c r="B3188" s="944">
        <v>105</v>
      </c>
      <c r="C3188" s="944" t="s">
        <v>95</v>
      </c>
      <c r="D3188" s="943" t="s">
        <v>2</v>
      </c>
      <c r="E3188" s="945">
        <v>48</v>
      </c>
      <c r="F3188" s="945">
        <v>1</v>
      </c>
      <c r="G3188" s="946">
        <v>850</v>
      </c>
      <c r="H3188" s="946">
        <v>850</v>
      </c>
    </row>
    <row r="3189" spans="1:9" s="26" customFormat="1">
      <c r="A3189" s="947">
        <v>2</v>
      </c>
      <c r="B3189" s="948">
        <v>106.12</v>
      </c>
      <c r="C3189" s="948" t="s">
        <v>96</v>
      </c>
      <c r="D3189" s="947" t="s">
        <v>17</v>
      </c>
      <c r="E3189" s="949">
        <v>1263</v>
      </c>
      <c r="F3189" s="950">
        <v>3</v>
      </c>
      <c r="G3189" s="951">
        <v>130.5</v>
      </c>
      <c r="H3189" s="951">
        <v>125.11</v>
      </c>
      <c r="I3189" s="18"/>
    </row>
    <row r="3190" spans="1:9">
      <c r="A3190" s="943">
        <v>2</v>
      </c>
      <c r="B3190" s="944">
        <v>106.14</v>
      </c>
      <c r="C3190" s="944" t="s">
        <v>1958</v>
      </c>
      <c r="D3190" s="943" t="s">
        <v>2</v>
      </c>
      <c r="E3190" s="945">
        <v>6</v>
      </c>
      <c r="F3190" s="945">
        <v>1</v>
      </c>
      <c r="G3190" s="946">
        <v>12000</v>
      </c>
      <c r="H3190" s="946">
        <v>13633.33</v>
      </c>
    </row>
    <row r="3191" spans="1:9" s="26" customFormat="1">
      <c r="A3191" s="947">
        <v>2</v>
      </c>
      <c r="B3191" s="948">
        <v>106.15</v>
      </c>
      <c r="C3191" s="948" t="s">
        <v>97</v>
      </c>
      <c r="D3191" s="947" t="s">
        <v>2</v>
      </c>
      <c r="E3191" s="950">
        <v>63</v>
      </c>
      <c r="F3191" s="950">
        <v>5</v>
      </c>
      <c r="G3191" s="951">
        <v>1625</v>
      </c>
      <c r="H3191" s="951">
        <v>1711.67</v>
      </c>
      <c r="I3191" s="18"/>
    </row>
    <row r="3192" spans="1:9">
      <c r="A3192" s="943">
        <v>2</v>
      </c>
      <c r="B3192" s="944">
        <v>106.88</v>
      </c>
      <c r="C3192" s="944" t="s">
        <v>98</v>
      </c>
      <c r="D3192" s="943" t="s">
        <v>2</v>
      </c>
      <c r="E3192" s="945">
        <v>34</v>
      </c>
      <c r="F3192" s="945">
        <v>5</v>
      </c>
      <c r="G3192" s="946">
        <v>13000</v>
      </c>
      <c r="H3192" s="946">
        <v>13243</v>
      </c>
    </row>
    <row r="3193" spans="1:9" s="26" customFormat="1">
      <c r="A3193" s="947">
        <v>2</v>
      </c>
      <c r="B3193" s="948">
        <v>107.48</v>
      </c>
      <c r="C3193" s="948" t="s">
        <v>101</v>
      </c>
      <c r="D3193" s="947" t="s">
        <v>17</v>
      </c>
      <c r="E3193" s="950">
        <v>160</v>
      </c>
      <c r="F3193" s="950">
        <v>1</v>
      </c>
      <c r="G3193" s="951">
        <v>50</v>
      </c>
      <c r="H3193" s="951">
        <v>45.5</v>
      </c>
      <c r="I3193" s="18"/>
    </row>
    <row r="3194" spans="1:9">
      <c r="A3194" s="943">
        <v>2</v>
      </c>
      <c r="B3194" s="944">
        <v>107.855</v>
      </c>
      <c r="C3194" s="944" t="s">
        <v>102</v>
      </c>
      <c r="D3194" s="943" t="s">
        <v>17</v>
      </c>
      <c r="E3194" s="952">
        <v>2350</v>
      </c>
      <c r="F3194" s="945">
        <v>2</v>
      </c>
      <c r="G3194" s="946">
        <v>64</v>
      </c>
      <c r="H3194" s="946">
        <v>67</v>
      </c>
    </row>
    <row r="3195" spans="1:9" s="26" customFormat="1">
      <c r="A3195" s="947">
        <v>2</v>
      </c>
      <c r="B3195" s="948">
        <v>107.97</v>
      </c>
      <c r="C3195" s="948" t="s">
        <v>103</v>
      </c>
      <c r="D3195" s="947" t="s">
        <v>100</v>
      </c>
      <c r="E3195" s="949">
        <v>36045</v>
      </c>
      <c r="F3195" s="950">
        <v>2</v>
      </c>
      <c r="G3195" s="951">
        <v>59</v>
      </c>
      <c r="H3195" s="951">
        <v>59.5</v>
      </c>
      <c r="I3195" s="18"/>
    </row>
    <row r="3196" spans="1:9">
      <c r="A3196" s="943">
        <v>2</v>
      </c>
      <c r="B3196" s="944">
        <v>114.1</v>
      </c>
      <c r="C3196" s="944" t="s">
        <v>104</v>
      </c>
      <c r="D3196" s="943" t="s">
        <v>22</v>
      </c>
      <c r="E3196" s="945">
        <v>5</v>
      </c>
      <c r="F3196" s="945">
        <v>1</v>
      </c>
      <c r="G3196" s="946">
        <v>122500</v>
      </c>
      <c r="H3196" s="946">
        <v>119000</v>
      </c>
    </row>
    <row r="3197" spans="1:9" s="26" customFormat="1">
      <c r="A3197" s="947">
        <v>2</v>
      </c>
      <c r="B3197" s="948">
        <v>115.2</v>
      </c>
      <c r="C3197" s="948" t="s">
        <v>105</v>
      </c>
      <c r="D3197" s="947" t="s">
        <v>22</v>
      </c>
      <c r="E3197" s="950">
        <v>5</v>
      </c>
      <c r="F3197" s="950">
        <v>1</v>
      </c>
      <c r="G3197" s="951">
        <v>23000</v>
      </c>
      <c r="H3197" s="951">
        <v>22469.599999999999</v>
      </c>
      <c r="I3197" s="18"/>
    </row>
    <row r="3198" spans="1:9">
      <c r="A3198" s="943">
        <v>2</v>
      </c>
      <c r="B3198" s="944">
        <v>120</v>
      </c>
      <c r="C3198" s="944" t="s">
        <v>107</v>
      </c>
      <c r="D3198" s="943" t="s">
        <v>4</v>
      </c>
      <c r="E3198" s="952">
        <v>115044</v>
      </c>
      <c r="F3198" s="945">
        <v>7</v>
      </c>
      <c r="G3198" s="946">
        <v>45</v>
      </c>
      <c r="H3198" s="946">
        <v>42.22</v>
      </c>
    </row>
    <row r="3199" spans="1:9" s="26" customFormat="1">
      <c r="A3199" s="947">
        <v>2</v>
      </c>
      <c r="B3199" s="948">
        <v>120.1</v>
      </c>
      <c r="C3199" s="948" t="s">
        <v>19</v>
      </c>
      <c r="D3199" s="947" t="s">
        <v>4</v>
      </c>
      <c r="E3199" s="949">
        <v>136029</v>
      </c>
      <c r="F3199" s="950">
        <v>10</v>
      </c>
      <c r="G3199" s="951">
        <v>85</v>
      </c>
      <c r="H3199" s="951">
        <v>107.13</v>
      </c>
      <c r="I3199" s="18"/>
    </row>
    <row r="3200" spans="1:9">
      <c r="A3200" s="943">
        <v>2</v>
      </c>
      <c r="B3200" s="944">
        <v>121</v>
      </c>
      <c r="C3200" s="944" t="s">
        <v>108</v>
      </c>
      <c r="D3200" s="943" t="s">
        <v>4</v>
      </c>
      <c r="E3200" s="952">
        <v>26985</v>
      </c>
      <c r="F3200" s="945">
        <v>5</v>
      </c>
      <c r="G3200" s="946">
        <v>108</v>
      </c>
      <c r="H3200" s="946">
        <v>116.61</v>
      </c>
    </row>
    <row r="3201" spans="1:9" s="26" customFormat="1">
      <c r="A3201" s="947">
        <v>2</v>
      </c>
      <c r="B3201" s="948">
        <v>122</v>
      </c>
      <c r="C3201" s="948" t="s">
        <v>2012</v>
      </c>
      <c r="D3201" s="947" t="s">
        <v>1</v>
      </c>
      <c r="E3201" s="949">
        <v>4440</v>
      </c>
      <c r="F3201" s="950">
        <v>1</v>
      </c>
      <c r="G3201" s="951">
        <v>120</v>
      </c>
      <c r="H3201" s="951">
        <v>115</v>
      </c>
      <c r="I3201" s="18"/>
    </row>
    <row r="3202" spans="1:9">
      <c r="A3202" s="943">
        <v>2</v>
      </c>
      <c r="B3202" s="944">
        <v>123</v>
      </c>
      <c r="C3202" s="944" t="s">
        <v>109</v>
      </c>
      <c r="D3202" s="943" t="s">
        <v>4</v>
      </c>
      <c r="E3202" s="945">
        <v>200</v>
      </c>
      <c r="F3202" s="945">
        <v>1</v>
      </c>
      <c r="G3202" s="946">
        <v>63.5</v>
      </c>
      <c r="H3202" s="946">
        <v>54.25</v>
      </c>
    </row>
    <row r="3203" spans="1:9" s="26" customFormat="1">
      <c r="A3203" s="947">
        <v>2</v>
      </c>
      <c r="B3203" s="948">
        <v>127</v>
      </c>
      <c r="C3203" s="948" t="s">
        <v>111</v>
      </c>
      <c r="D3203" s="947" t="s">
        <v>4</v>
      </c>
      <c r="E3203" s="950">
        <v>1.5</v>
      </c>
      <c r="F3203" s="950">
        <v>1</v>
      </c>
      <c r="G3203" s="951">
        <v>500</v>
      </c>
      <c r="H3203" s="951">
        <v>532.5</v>
      </c>
      <c r="I3203" s="18"/>
    </row>
    <row r="3204" spans="1:9">
      <c r="A3204" s="943">
        <v>2</v>
      </c>
      <c r="B3204" s="944">
        <v>127.1</v>
      </c>
      <c r="C3204" s="944" t="s">
        <v>112</v>
      </c>
      <c r="D3204" s="943" t="s">
        <v>4</v>
      </c>
      <c r="E3204" s="952">
        <v>1290</v>
      </c>
      <c r="F3204" s="945">
        <v>9</v>
      </c>
      <c r="G3204" s="946">
        <v>1992</v>
      </c>
      <c r="H3204" s="946">
        <v>3973.86</v>
      </c>
    </row>
    <row r="3205" spans="1:9" s="26" customFormat="1">
      <c r="A3205" s="947">
        <v>2</v>
      </c>
      <c r="B3205" s="948">
        <v>127.4</v>
      </c>
      <c r="C3205" s="948" t="s">
        <v>113</v>
      </c>
      <c r="D3205" s="947" t="s">
        <v>1</v>
      </c>
      <c r="E3205" s="949">
        <v>3945</v>
      </c>
      <c r="F3205" s="950">
        <v>5</v>
      </c>
      <c r="G3205" s="951">
        <v>1148.5</v>
      </c>
      <c r="H3205" s="951">
        <v>1179.5</v>
      </c>
      <c r="I3205" s="18"/>
    </row>
    <row r="3206" spans="1:9">
      <c r="A3206" s="943">
        <v>2</v>
      </c>
      <c r="B3206" s="944">
        <v>127.41</v>
      </c>
      <c r="C3206" s="944" t="s">
        <v>114</v>
      </c>
      <c r="D3206" s="943" t="s">
        <v>4</v>
      </c>
      <c r="E3206" s="952">
        <v>1002</v>
      </c>
      <c r="F3206" s="945">
        <v>5</v>
      </c>
      <c r="G3206" s="946">
        <v>4336.5</v>
      </c>
      <c r="H3206" s="946">
        <v>4510.25</v>
      </c>
    </row>
    <row r="3207" spans="1:9" s="26" customFormat="1">
      <c r="A3207" s="947">
        <v>2</v>
      </c>
      <c r="B3207" s="948">
        <v>129.30000000000001</v>
      </c>
      <c r="C3207" s="948" t="s">
        <v>115</v>
      </c>
      <c r="D3207" s="947" t="s">
        <v>4</v>
      </c>
      <c r="E3207" s="949">
        <v>3325</v>
      </c>
      <c r="F3207" s="950">
        <v>2</v>
      </c>
      <c r="G3207" s="951">
        <v>56</v>
      </c>
      <c r="H3207" s="951">
        <v>58</v>
      </c>
      <c r="I3207" s="18"/>
    </row>
    <row r="3208" spans="1:9">
      <c r="A3208" s="943">
        <v>2</v>
      </c>
      <c r="B3208" s="944">
        <v>129.6</v>
      </c>
      <c r="C3208" s="944" t="s">
        <v>117</v>
      </c>
      <c r="D3208" s="943" t="s">
        <v>1</v>
      </c>
      <c r="E3208" s="952">
        <v>11565</v>
      </c>
      <c r="F3208" s="945">
        <v>2</v>
      </c>
      <c r="G3208" s="946">
        <v>72.25</v>
      </c>
      <c r="H3208" s="946">
        <v>68.88</v>
      </c>
    </row>
    <row r="3209" spans="1:9" s="26" customFormat="1">
      <c r="A3209" s="947">
        <v>2</v>
      </c>
      <c r="B3209" s="948">
        <v>140</v>
      </c>
      <c r="C3209" s="948" t="s">
        <v>118</v>
      </c>
      <c r="D3209" s="947" t="s">
        <v>4</v>
      </c>
      <c r="E3209" s="949">
        <v>28670</v>
      </c>
      <c r="F3209" s="950">
        <v>4</v>
      </c>
      <c r="G3209" s="951">
        <v>61</v>
      </c>
      <c r="H3209" s="951">
        <v>57.55</v>
      </c>
      <c r="I3209" s="18"/>
    </row>
    <row r="3210" spans="1:9">
      <c r="A3210" s="943">
        <v>2</v>
      </c>
      <c r="B3210" s="944">
        <v>140.1</v>
      </c>
      <c r="C3210" s="944" t="s">
        <v>119</v>
      </c>
      <c r="D3210" s="943" t="s">
        <v>4</v>
      </c>
      <c r="E3210" s="952">
        <v>2800</v>
      </c>
      <c r="F3210" s="945">
        <v>1</v>
      </c>
      <c r="G3210" s="946">
        <v>62.5</v>
      </c>
      <c r="H3210" s="946">
        <v>64.38</v>
      </c>
    </row>
    <row r="3211" spans="1:9" s="26" customFormat="1">
      <c r="A3211" s="947">
        <v>2</v>
      </c>
      <c r="B3211" s="948">
        <v>141</v>
      </c>
      <c r="C3211" s="948" t="s">
        <v>120</v>
      </c>
      <c r="D3211" s="947" t="s">
        <v>4</v>
      </c>
      <c r="E3211" s="949">
        <v>1305</v>
      </c>
      <c r="F3211" s="950">
        <v>8</v>
      </c>
      <c r="G3211" s="951">
        <v>57.5</v>
      </c>
      <c r="H3211" s="951">
        <v>56.94</v>
      </c>
      <c r="I3211" s="18"/>
    </row>
    <row r="3212" spans="1:9">
      <c r="A3212" s="943">
        <v>2</v>
      </c>
      <c r="B3212" s="944">
        <v>141.1</v>
      </c>
      <c r="C3212" s="944" t="s">
        <v>121</v>
      </c>
      <c r="D3212" s="943" t="s">
        <v>4</v>
      </c>
      <c r="E3212" s="952">
        <v>8860</v>
      </c>
      <c r="F3212" s="945">
        <v>12</v>
      </c>
      <c r="G3212" s="946">
        <v>100</v>
      </c>
      <c r="H3212" s="946">
        <v>89.69</v>
      </c>
    </row>
    <row r="3213" spans="1:9" s="26" customFormat="1">
      <c r="A3213" s="947">
        <v>2</v>
      </c>
      <c r="B3213" s="948">
        <v>142</v>
      </c>
      <c r="C3213" s="948" t="s">
        <v>122</v>
      </c>
      <c r="D3213" s="947" t="s">
        <v>4</v>
      </c>
      <c r="E3213" s="949">
        <v>8885</v>
      </c>
      <c r="F3213" s="950">
        <v>4</v>
      </c>
      <c r="G3213" s="951">
        <v>50</v>
      </c>
      <c r="H3213" s="951">
        <v>42.87</v>
      </c>
      <c r="I3213" s="18"/>
    </row>
    <row r="3214" spans="1:9">
      <c r="A3214" s="943">
        <v>2</v>
      </c>
      <c r="B3214" s="944">
        <v>143</v>
      </c>
      <c r="C3214" s="944" t="s">
        <v>123</v>
      </c>
      <c r="D3214" s="943" t="s">
        <v>4</v>
      </c>
      <c r="E3214" s="952">
        <v>2410</v>
      </c>
      <c r="F3214" s="945">
        <v>3</v>
      </c>
      <c r="G3214" s="946">
        <v>65</v>
      </c>
      <c r="H3214" s="946">
        <v>72.349999999999994</v>
      </c>
    </row>
    <row r="3215" spans="1:9" s="26" customFormat="1">
      <c r="A3215" s="947">
        <v>2</v>
      </c>
      <c r="B3215" s="948">
        <v>144</v>
      </c>
      <c r="C3215" s="948" t="s">
        <v>124</v>
      </c>
      <c r="D3215" s="947" t="s">
        <v>4</v>
      </c>
      <c r="E3215" s="949">
        <v>8831</v>
      </c>
      <c r="F3215" s="950">
        <v>8</v>
      </c>
      <c r="G3215" s="951">
        <v>187.5</v>
      </c>
      <c r="H3215" s="951">
        <v>173.57</v>
      </c>
      <c r="I3215" s="18"/>
    </row>
    <row r="3216" spans="1:9">
      <c r="A3216" s="943">
        <v>2</v>
      </c>
      <c r="B3216" s="944">
        <v>145</v>
      </c>
      <c r="C3216" s="944" t="s">
        <v>125</v>
      </c>
      <c r="D3216" s="943" t="s">
        <v>2</v>
      </c>
      <c r="E3216" s="945">
        <v>60</v>
      </c>
      <c r="F3216" s="945">
        <v>3</v>
      </c>
      <c r="G3216" s="946">
        <v>600</v>
      </c>
      <c r="H3216" s="946">
        <v>600</v>
      </c>
    </row>
    <row r="3217" spans="1:9" s="26" customFormat="1">
      <c r="A3217" s="947">
        <v>2</v>
      </c>
      <c r="B3217" s="948">
        <v>146</v>
      </c>
      <c r="C3217" s="948" t="s">
        <v>126</v>
      </c>
      <c r="D3217" s="947" t="s">
        <v>2</v>
      </c>
      <c r="E3217" s="950">
        <v>346</v>
      </c>
      <c r="F3217" s="950">
        <v>8</v>
      </c>
      <c r="G3217" s="951">
        <v>677.5</v>
      </c>
      <c r="H3217" s="951">
        <v>647.63</v>
      </c>
      <c r="I3217" s="18"/>
    </row>
    <row r="3218" spans="1:9">
      <c r="A3218" s="943">
        <v>2</v>
      </c>
      <c r="B3218" s="944">
        <v>150</v>
      </c>
      <c r="C3218" s="944" t="s">
        <v>128</v>
      </c>
      <c r="D3218" s="943" t="s">
        <v>4</v>
      </c>
      <c r="E3218" s="952">
        <v>38293</v>
      </c>
      <c r="F3218" s="945">
        <v>7</v>
      </c>
      <c r="G3218" s="946">
        <v>44</v>
      </c>
      <c r="H3218" s="946">
        <v>43.87</v>
      </c>
    </row>
    <row r="3219" spans="1:9" s="26" customFormat="1">
      <c r="A3219" s="947">
        <v>2</v>
      </c>
      <c r="B3219" s="948">
        <v>150.1</v>
      </c>
      <c r="C3219" s="948" t="s">
        <v>129</v>
      </c>
      <c r="D3219" s="947" t="s">
        <v>4</v>
      </c>
      <c r="E3219" s="949">
        <v>5430</v>
      </c>
      <c r="F3219" s="950">
        <v>2</v>
      </c>
      <c r="G3219" s="951">
        <v>52</v>
      </c>
      <c r="H3219" s="951">
        <v>58.11</v>
      </c>
      <c r="I3219" s="18"/>
    </row>
    <row r="3220" spans="1:9">
      <c r="A3220" s="943">
        <v>2</v>
      </c>
      <c r="B3220" s="944">
        <v>151</v>
      </c>
      <c r="C3220" s="944" t="s">
        <v>5</v>
      </c>
      <c r="D3220" s="943" t="s">
        <v>4</v>
      </c>
      <c r="E3220" s="952">
        <v>170185</v>
      </c>
      <c r="F3220" s="945">
        <v>17</v>
      </c>
      <c r="G3220" s="946">
        <v>55</v>
      </c>
      <c r="H3220" s="946">
        <v>54.48</v>
      </c>
    </row>
    <row r="3221" spans="1:9" s="26" customFormat="1">
      <c r="A3221" s="947">
        <v>2</v>
      </c>
      <c r="B3221" s="948">
        <v>151.01</v>
      </c>
      <c r="C3221" s="948" t="s">
        <v>130</v>
      </c>
      <c r="D3221" s="947" t="s">
        <v>4</v>
      </c>
      <c r="E3221" s="950">
        <v>2</v>
      </c>
      <c r="F3221" s="950">
        <v>1</v>
      </c>
      <c r="G3221" s="951">
        <v>95</v>
      </c>
      <c r="H3221" s="951">
        <v>72.5</v>
      </c>
      <c r="I3221" s="18"/>
    </row>
    <row r="3222" spans="1:9">
      <c r="A3222" s="943">
        <v>2</v>
      </c>
      <c r="B3222" s="944">
        <v>151.1</v>
      </c>
      <c r="C3222" s="944" t="s">
        <v>131</v>
      </c>
      <c r="D3222" s="943" t="s">
        <v>4</v>
      </c>
      <c r="E3222" s="952">
        <v>2400</v>
      </c>
      <c r="F3222" s="945">
        <v>2</v>
      </c>
      <c r="G3222" s="946">
        <v>67.5</v>
      </c>
      <c r="H3222" s="946">
        <v>67</v>
      </c>
    </row>
    <row r="3223" spans="1:9" s="26" customFormat="1">
      <c r="A3223" s="947">
        <v>2</v>
      </c>
      <c r="B3223" s="948">
        <v>151.19999999999999</v>
      </c>
      <c r="C3223" s="948" t="s">
        <v>52</v>
      </c>
      <c r="D3223" s="947" t="s">
        <v>4</v>
      </c>
      <c r="E3223" s="949">
        <v>16997</v>
      </c>
      <c r="F3223" s="950">
        <v>4</v>
      </c>
      <c r="G3223" s="951">
        <v>65</v>
      </c>
      <c r="H3223" s="951">
        <v>64.459999999999994</v>
      </c>
      <c r="I3223" s="18"/>
    </row>
    <row r="3224" spans="1:9">
      <c r="A3224" s="943">
        <v>2</v>
      </c>
      <c r="B3224" s="944">
        <v>153</v>
      </c>
      <c r="C3224" s="944" t="s">
        <v>134</v>
      </c>
      <c r="D3224" s="943" t="s">
        <v>4</v>
      </c>
      <c r="E3224" s="945">
        <v>137</v>
      </c>
      <c r="F3224" s="945">
        <v>2</v>
      </c>
      <c r="G3224" s="946">
        <v>195</v>
      </c>
      <c r="H3224" s="946">
        <v>168.57</v>
      </c>
    </row>
    <row r="3225" spans="1:9" s="26" customFormat="1">
      <c r="A3225" s="947">
        <v>2</v>
      </c>
      <c r="B3225" s="948">
        <v>153.1</v>
      </c>
      <c r="C3225" s="948" t="s">
        <v>135</v>
      </c>
      <c r="D3225" s="947" t="s">
        <v>4</v>
      </c>
      <c r="E3225" s="950">
        <v>470</v>
      </c>
      <c r="F3225" s="950">
        <v>2</v>
      </c>
      <c r="G3225" s="951">
        <v>250</v>
      </c>
      <c r="H3225" s="951">
        <v>218</v>
      </c>
      <c r="I3225" s="18"/>
    </row>
    <row r="3226" spans="1:9">
      <c r="A3226" s="943">
        <v>2</v>
      </c>
      <c r="B3226" s="944">
        <v>156</v>
      </c>
      <c r="C3226" s="944" t="s">
        <v>26</v>
      </c>
      <c r="D3226" s="943" t="s">
        <v>7</v>
      </c>
      <c r="E3226" s="952">
        <v>9872</v>
      </c>
      <c r="F3226" s="945">
        <v>6</v>
      </c>
      <c r="G3226" s="946">
        <v>55</v>
      </c>
      <c r="H3226" s="946">
        <v>58.04</v>
      </c>
    </row>
    <row r="3227" spans="1:9" s="26" customFormat="1">
      <c r="A3227" s="947">
        <v>5</v>
      </c>
      <c r="B3227" s="948">
        <v>866.20600000000002</v>
      </c>
      <c r="C3227" s="948" t="s">
        <v>611</v>
      </c>
      <c r="D3227" s="947" t="s">
        <v>17</v>
      </c>
      <c r="E3227" s="949">
        <v>485350</v>
      </c>
      <c r="F3227" s="950">
        <v>4</v>
      </c>
      <c r="G3227" s="951">
        <v>3</v>
      </c>
      <c r="H3227" s="951">
        <v>2.6</v>
      </c>
      <c r="I3227" s="18"/>
    </row>
    <row r="3228" spans="1:9">
      <c r="A3228" s="943">
        <v>5</v>
      </c>
      <c r="B3228" s="944">
        <v>866.21199999999999</v>
      </c>
      <c r="C3228" s="944" t="s">
        <v>612</v>
      </c>
      <c r="D3228" s="943" t="s">
        <v>17</v>
      </c>
      <c r="E3228" s="952">
        <v>60907</v>
      </c>
      <c r="F3228" s="945">
        <v>4</v>
      </c>
      <c r="G3228" s="946">
        <v>11.45</v>
      </c>
      <c r="H3228" s="946">
        <v>10.41</v>
      </c>
    </row>
    <row r="3229" spans="1:9" s="26" customFormat="1">
      <c r="A3229" s="947">
        <v>5</v>
      </c>
      <c r="B3229" s="948">
        <v>867.10599999999999</v>
      </c>
      <c r="C3229" s="948" t="s">
        <v>613</v>
      </c>
      <c r="D3229" s="947" t="s">
        <v>17</v>
      </c>
      <c r="E3229" s="949">
        <v>437394</v>
      </c>
      <c r="F3229" s="950">
        <v>17</v>
      </c>
      <c r="G3229" s="951">
        <v>2</v>
      </c>
      <c r="H3229" s="951">
        <v>1.88</v>
      </c>
      <c r="I3229" s="18"/>
    </row>
    <row r="3230" spans="1:9">
      <c r="A3230" s="943">
        <v>5</v>
      </c>
      <c r="B3230" s="944">
        <v>867.11199999999997</v>
      </c>
      <c r="C3230" s="944" t="s">
        <v>50</v>
      </c>
      <c r="D3230" s="943" t="s">
        <v>17</v>
      </c>
      <c r="E3230" s="952">
        <v>7368</v>
      </c>
      <c r="F3230" s="945">
        <v>11</v>
      </c>
      <c r="G3230" s="946">
        <v>7</v>
      </c>
      <c r="H3230" s="946">
        <v>6.59</v>
      </c>
    </row>
    <row r="3231" spans="1:9" s="26" customFormat="1">
      <c r="A3231" s="947">
        <v>5</v>
      </c>
      <c r="B3231" s="948">
        <v>867.20600000000002</v>
      </c>
      <c r="C3231" s="948" t="s">
        <v>614</v>
      </c>
      <c r="D3231" s="947" t="s">
        <v>17</v>
      </c>
      <c r="E3231" s="949">
        <v>408350</v>
      </c>
      <c r="F3231" s="950">
        <v>4</v>
      </c>
      <c r="G3231" s="951">
        <v>3</v>
      </c>
      <c r="H3231" s="951">
        <v>2.6</v>
      </c>
      <c r="I3231" s="18"/>
    </row>
    <row r="3232" spans="1:9">
      <c r="A3232" s="943">
        <v>5</v>
      </c>
      <c r="B3232" s="944">
        <v>867.21199999999999</v>
      </c>
      <c r="C3232" s="944" t="s">
        <v>1523</v>
      </c>
      <c r="D3232" s="943" t="s">
        <v>17</v>
      </c>
      <c r="E3232" s="952">
        <v>1592</v>
      </c>
      <c r="F3232" s="945">
        <v>3</v>
      </c>
      <c r="G3232" s="946">
        <v>13.7</v>
      </c>
      <c r="H3232" s="946">
        <v>13.01</v>
      </c>
    </row>
    <row r="3233" spans="1:9" s="26" customFormat="1">
      <c r="A3233" s="947">
        <v>5</v>
      </c>
      <c r="B3233" s="948">
        <v>874</v>
      </c>
      <c r="C3233" s="948" t="s">
        <v>23</v>
      </c>
      <c r="D3233" s="947" t="s">
        <v>2</v>
      </c>
      <c r="E3233" s="950">
        <v>419</v>
      </c>
      <c r="F3233" s="950">
        <v>7</v>
      </c>
      <c r="G3233" s="951">
        <v>175</v>
      </c>
      <c r="H3233" s="951">
        <v>156.44</v>
      </c>
      <c r="I3233" s="18"/>
    </row>
    <row r="3234" spans="1:9">
      <c r="A3234" s="943">
        <v>5</v>
      </c>
      <c r="B3234" s="944">
        <v>874.1</v>
      </c>
      <c r="C3234" s="944" t="s">
        <v>617</v>
      </c>
      <c r="D3234" s="943" t="s">
        <v>2</v>
      </c>
      <c r="E3234" s="945">
        <v>74</v>
      </c>
      <c r="F3234" s="945">
        <v>2</v>
      </c>
      <c r="G3234" s="946">
        <v>245</v>
      </c>
      <c r="H3234" s="946">
        <v>222.36</v>
      </c>
    </row>
    <row r="3235" spans="1:9" s="26" customFormat="1">
      <c r="A3235" s="947">
        <v>5</v>
      </c>
      <c r="B3235" s="948">
        <v>874.2</v>
      </c>
      <c r="C3235" s="948" t="s">
        <v>618</v>
      </c>
      <c r="D3235" s="947" t="s">
        <v>2</v>
      </c>
      <c r="E3235" s="950">
        <v>493</v>
      </c>
      <c r="F3235" s="950">
        <v>14</v>
      </c>
      <c r="G3235" s="951">
        <v>242.5</v>
      </c>
      <c r="H3235" s="951">
        <v>225.15</v>
      </c>
      <c r="I3235" s="18"/>
    </row>
    <row r="3236" spans="1:9">
      <c r="A3236" s="943">
        <v>5</v>
      </c>
      <c r="B3236" s="944">
        <v>874.4</v>
      </c>
      <c r="C3236" s="944" t="s">
        <v>620</v>
      </c>
      <c r="D3236" s="943" t="s">
        <v>2</v>
      </c>
      <c r="E3236" s="945">
        <v>95</v>
      </c>
      <c r="F3236" s="945">
        <v>4</v>
      </c>
      <c r="G3236" s="946">
        <v>50</v>
      </c>
      <c r="H3236" s="946">
        <v>48.64</v>
      </c>
    </row>
    <row r="3237" spans="1:9" s="26" customFormat="1">
      <c r="A3237" s="947">
        <v>5</v>
      </c>
      <c r="B3237" s="948">
        <v>874.7</v>
      </c>
      <c r="C3237" s="948" t="s">
        <v>46</v>
      </c>
      <c r="D3237" s="947" t="s">
        <v>2</v>
      </c>
      <c r="E3237" s="950">
        <v>218</v>
      </c>
      <c r="F3237" s="950">
        <v>2</v>
      </c>
      <c r="G3237" s="951">
        <v>45</v>
      </c>
      <c r="H3237" s="951">
        <v>58.57</v>
      </c>
      <c r="I3237" s="18"/>
    </row>
    <row r="3238" spans="1:9">
      <c r="A3238" s="943">
        <v>5</v>
      </c>
      <c r="B3238" s="944">
        <v>875.2</v>
      </c>
      <c r="C3238" s="944" t="s">
        <v>3326</v>
      </c>
      <c r="D3238" s="943" t="s">
        <v>2</v>
      </c>
      <c r="E3238" s="945">
        <v>2</v>
      </c>
      <c r="F3238" s="945">
        <v>1</v>
      </c>
      <c r="G3238" s="946">
        <v>225</v>
      </c>
      <c r="H3238" s="946">
        <v>225</v>
      </c>
    </row>
    <row r="3239" spans="1:9" s="26" customFormat="1">
      <c r="A3239" s="947">
        <v>5</v>
      </c>
      <c r="B3239" s="948">
        <v>877.1</v>
      </c>
      <c r="C3239" s="948" t="s">
        <v>622</v>
      </c>
      <c r="D3239" s="947" t="s">
        <v>2</v>
      </c>
      <c r="E3239" s="950">
        <v>195</v>
      </c>
      <c r="F3239" s="950">
        <v>2</v>
      </c>
      <c r="G3239" s="951">
        <v>45</v>
      </c>
      <c r="H3239" s="951">
        <v>45</v>
      </c>
      <c r="I3239" s="18"/>
    </row>
    <row r="3240" spans="1:9">
      <c r="A3240" s="943">
        <v>5</v>
      </c>
      <c r="B3240" s="944">
        <v>901</v>
      </c>
      <c r="C3240" s="944" t="s">
        <v>624</v>
      </c>
      <c r="D3240" s="943" t="s">
        <v>4</v>
      </c>
      <c r="E3240" s="945">
        <v>185</v>
      </c>
      <c r="F3240" s="945">
        <v>4</v>
      </c>
      <c r="G3240" s="946">
        <v>1770</v>
      </c>
      <c r="H3240" s="946">
        <v>1729.37</v>
      </c>
    </row>
    <row r="3241" spans="1:9" s="26" customFormat="1">
      <c r="A3241" s="947">
        <v>5</v>
      </c>
      <c r="B3241" s="948">
        <v>901.3</v>
      </c>
      <c r="C3241" s="948" t="s">
        <v>625</v>
      </c>
      <c r="D3241" s="947" t="s">
        <v>4</v>
      </c>
      <c r="E3241" s="950">
        <v>44</v>
      </c>
      <c r="F3241" s="950">
        <v>3</v>
      </c>
      <c r="G3241" s="951">
        <v>1000</v>
      </c>
      <c r="H3241" s="951">
        <v>851.75</v>
      </c>
      <c r="I3241" s="18"/>
    </row>
    <row r="3242" spans="1:9">
      <c r="A3242" s="943">
        <v>5</v>
      </c>
      <c r="B3242" s="944">
        <v>902</v>
      </c>
      <c r="C3242" s="944" t="s">
        <v>3332</v>
      </c>
      <c r="D3242" s="943" t="s">
        <v>4</v>
      </c>
      <c r="E3242" s="945">
        <v>5</v>
      </c>
      <c r="F3242" s="945">
        <v>1</v>
      </c>
      <c r="G3242" s="946">
        <v>1100</v>
      </c>
      <c r="H3242" s="946">
        <v>1100</v>
      </c>
    </row>
    <row r="3243" spans="1:9" s="26" customFormat="1">
      <c r="A3243" s="947">
        <v>5</v>
      </c>
      <c r="B3243" s="948">
        <v>903</v>
      </c>
      <c r="C3243" s="948" t="s">
        <v>626</v>
      </c>
      <c r="D3243" s="947" t="s">
        <v>4</v>
      </c>
      <c r="E3243" s="950">
        <v>160</v>
      </c>
      <c r="F3243" s="950">
        <v>6</v>
      </c>
      <c r="G3243" s="951">
        <v>600</v>
      </c>
      <c r="H3243" s="951">
        <v>507.72</v>
      </c>
      <c r="I3243" s="18"/>
    </row>
    <row r="3244" spans="1:9">
      <c r="A3244" s="943">
        <v>5</v>
      </c>
      <c r="B3244" s="944">
        <v>904</v>
      </c>
      <c r="C3244" s="944" t="s">
        <v>627</v>
      </c>
      <c r="D3244" s="943" t="s">
        <v>4</v>
      </c>
      <c r="E3244" s="945">
        <v>420</v>
      </c>
      <c r="F3244" s="945">
        <v>2</v>
      </c>
      <c r="G3244" s="946">
        <v>2194</v>
      </c>
      <c r="H3244" s="946">
        <v>1443.83</v>
      </c>
    </row>
    <row r="3245" spans="1:9" s="26" customFormat="1">
      <c r="A3245" s="947">
        <v>5</v>
      </c>
      <c r="B3245" s="948">
        <v>904.4</v>
      </c>
      <c r="C3245" s="948" t="s">
        <v>629</v>
      </c>
      <c r="D3245" s="947" t="s">
        <v>4</v>
      </c>
      <c r="E3245" s="950">
        <v>30</v>
      </c>
      <c r="F3245" s="950">
        <v>1</v>
      </c>
      <c r="G3245" s="951">
        <v>4000</v>
      </c>
      <c r="H3245" s="951">
        <v>4903.33</v>
      </c>
      <c r="I3245" s="18"/>
    </row>
    <row r="3246" spans="1:9">
      <c r="A3246" s="943">
        <v>5</v>
      </c>
      <c r="B3246" s="944">
        <v>905</v>
      </c>
      <c r="C3246" s="944" t="s">
        <v>630</v>
      </c>
      <c r="D3246" s="943" t="s">
        <v>4</v>
      </c>
      <c r="E3246" s="952">
        <v>1180</v>
      </c>
      <c r="F3246" s="945">
        <v>6</v>
      </c>
      <c r="G3246" s="946">
        <v>5500</v>
      </c>
      <c r="H3246" s="946">
        <v>5754.17</v>
      </c>
    </row>
    <row r="3247" spans="1:9" s="26" customFormat="1">
      <c r="A3247" s="947">
        <v>5</v>
      </c>
      <c r="B3247" s="948">
        <v>909.2</v>
      </c>
      <c r="C3247" s="948" t="s">
        <v>635</v>
      </c>
      <c r="D3247" s="947" t="s">
        <v>3</v>
      </c>
      <c r="E3247" s="950">
        <v>940</v>
      </c>
      <c r="F3247" s="950">
        <v>3</v>
      </c>
      <c r="G3247" s="951">
        <v>145</v>
      </c>
      <c r="H3247" s="951">
        <v>126.14</v>
      </c>
      <c r="I3247" s="18"/>
    </row>
    <row r="3248" spans="1:9">
      <c r="A3248" s="943">
        <v>5</v>
      </c>
      <c r="B3248" s="944">
        <v>910</v>
      </c>
      <c r="C3248" s="944" t="s">
        <v>636</v>
      </c>
      <c r="D3248" s="943" t="s">
        <v>100</v>
      </c>
      <c r="E3248" s="945">
        <v>430</v>
      </c>
      <c r="F3248" s="945">
        <v>2</v>
      </c>
      <c r="G3248" s="946">
        <v>15</v>
      </c>
      <c r="H3248" s="946">
        <v>14.08</v>
      </c>
    </row>
    <row r="3249" spans="1:9" s="26" customFormat="1">
      <c r="A3249" s="947">
        <v>5</v>
      </c>
      <c r="B3249" s="948">
        <v>910.1</v>
      </c>
      <c r="C3249" s="948" t="s">
        <v>637</v>
      </c>
      <c r="D3249" s="947" t="s">
        <v>100</v>
      </c>
      <c r="E3249" s="949">
        <v>70952</v>
      </c>
      <c r="F3249" s="950">
        <v>7</v>
      </c>
      <c r="G3249" s="951">
        <v>3.6</v>
      </c>
      <c r="H3249" s="951">
        <v>3.38</v>
      </c>
      <c r="I3249" s="18"/>
    </row>
    <row r="3250" spans="1:9">
      <c r="A3250" s="943">
        <v>5</v>
      </c>
      <c r="B3250" s="944">
        <v>910.4</v>
      </c>
      <c r="C3250" s="944" t="s">
        <v>639</v>
      </c>
      <c r="D3250" s="943" t="s">
        <v>2</v>
      </c>
      <c r="E3250" s="945">
        <v>940</v>
      </c>
      <c r="F3250" s="945">
        <v>2</v>
      </c>
      <c r="G3250" s="946">
        <v>106.12</v>
      </c>
      <c r="H3250" s="946">
        <v>98.36</v>
      </c>
    </row>
    <row r="3251" spans="1:9" s="26" customFormat="1">
      <c r="A3251" s="947">
        <v>5</v>
      </c>
      <c r="B3251" s="948">
        <v>912</v>
      </c>
      <c r="C3251" s="948" t="s">
        <v>641</v>
      </c>
      <c r="D3251" s="947" t="s">
        <v>2</v>
      </c>
      <c r="E3251" s="950">
        <v>300</v>
      </c>
      <c r="F3251" s="950">
        <v>1</v>
      </c>
      <c r="G3251" s="951">
        <v>65</v>
      </c>
      <c r="H3251" s="951">
        <v>66</v>
      </c>
      <c r="I3251" s="18"/>
    </row>
    <row r="3252" spans="1:9">
      <c r="A3252" s="943">
        <v>5</v>
      </c>
      <c r="B3252" s="944">
        <v>945.101</v>
      </c>
      <c r="C3252" s="944" t="s">
        <v>3491</v>
      </c>
      <c r="D3252" s="943" t="s">
        <v>17</v>
      </c>
      <c r="E3252" s="945">
        <v>830</v>
      </c>
      <c r="F3252" s="945">
        <v>1</v>
      </c>
      <c r="G3252" s="946">
        <v>400</v>
      </c>
      <c r="H3252" s="946">
        <v>400</v>
      </c>
    </row>
    <row r="3253" spans="1:9" s="26" customFormat="1">
      <c r="A3253" s="947">
        <v>5</v>
      </c>
      <c r="B3253" s="948">
        <v>961.20100000000002</v>
      </c>
      <c r="C3253" s="948" t="s">
        <v>660</v>
      </c>
      <c r="D3253" s="947" t="s">
        <v>22</v>
      </c>
      <c r="E3253" s="950">
        <v>8</v>
      </c>
      <c r="F3253" s="950">
        <v>2</v>
      </c>
      <c r="G3253" s="951">
        <v>1773000</v>
      </c>
      <c r="H3253" s="951">
        <v>1723154.75</v>
      </c>
      <c r="I3253" s="18"/>
    </row>
    <row r="3254" spans="1:9">
      <c r="A3254" s="943">
        <v>5</v>
      </c>
      <c r="B3254" s="944">
        <v>961.202</v>
      </c>
      <c r="C3254" s="944" t="s">
        <v>660</v>
      </c>
      <c r="D3254" s="943" t="s">
        <v>22</v>
      </c>
      <c r="E3254" s="945">
        <v>4</v>
      </c>
      <c r="F3254" s="945">
        <v>1</v>
      </c>
      <c r="G3254" s="946">
        <v>910000</v>
      </c>
      <c r="H3254" s="946">
        <v>910000</v>
      </c>
    </row>
    <row r="3255" spans="1:9" s="26" customFormat="1">
      <c r="A3255" s="947">
        <v>5</v>
      </c>
      <c r="B3255" s="948">
        <v>965</v>
      </c>
      <c r="C3255" s="948" t="s">
        <v>665</v>
      </c>
      <c r="D3255" s="947" t="s">
        <v>3</v>
      </c>
      <c r="E3255" s="949">
        <v>98500</v>
      </c>
      <c r="F3255" s="950">
        <v>1</v>
      </c>
      <c r="G3255" s="951">
        <v>10</v>
      </c>
      <c r="H3255" s="951">
        <v>10.7</v>
      </c>
      <c r="I3255" s="18"/>
    </row>
    <row r="3256" spans="1:9">
      <c r="A3256" s="943">
        <v>5</v>
      </c>
      <c r="B3256" s="944">
        <v>966</v>
      </c>
      <c r="C3256" s="944" t="s">
        <v>1466</v>
      </c>
      <c r="D3256" s="943" t="s">
        <v>3</v>
      </c>
      <c r="E3256" s="952">
        <v>165600</v>
      </c>
      <c r="F3256" s="945">
        <v>2</v>
      </c>
      <c r="G3256" s="946">
        <v>4.9000000000000004</v>
      </c>
      <c r="H3256" s="946">
        <v>4.47</v>
      </c>
    </row>
    <row r="3257" spans="1:9" s="26" customFormat="1">
      <c r="A3257" s="947">
        <v>5</v>
      </c>
      <c r="B3257" s="948">
        <v>983</v>
      </c>
      <c r="C3257" s="948" t="s">
        <v>671</v>
      </c>
      <c r="D3257" s="947" t="s">
        <v>7</v>
      </c>
      <c r="E3257" s="950">
        <v>210</v>
      </c>
      <c r="F3257" s="950">
        <v>1</v>
      </c>
      <c r="G3257" s="951">
        <v>100</v>
      </c>
      <c r="H3257" s="951">
        <v>105</v>
      </c>
      <c r="I3257" s="18"/>
    </row>
    <row r="3258" spans="1:9">
      <c r="A3258" s="943">
        <v>5</v>
      </c>
      <c r="B3258" s="944">
        <v>983.01</v>
      </c>
      <c r="C3258" s="944" t="s">
        <v>671</v>
      </c>
      <c r="D3258" s="943" t="s">
        <v>4</v>
      </c>
      <c r="E3258" s="945">
        <v>360</v>
      </c>
      <c r="F3258" s="945">
        <v>1</v>
      </c>
      <c r="G3258" s="946">
        <v>140</v>
      </c>
      <c r="H3258" s="946">
        <v>137.5</v>
      </c>
    </row>
    <row r="3259" spans="1:9" s="26" customFormat="1">
      <c r="A3259" s="947">
        <v>5</v>
      </c>
      <c r="B3259" s="948">
        <v>983.1</v>
      </c>
      <c r="C3259" s="948" t="s">
        <v>672</v>
      </c>
      <c r="D3259" s="947" t="s">
        <v>7</v>
      </c>
      <c r="E3259" s="949">
        <v>1020</v>
      </c>
      <c r="F3259" s="950">
        <v>1</v>
      </c>
      <c r="G3259" s="951">
        <v>120</v>
      </c>
      <c r="H3259" s="951">
        <v>120</v>
      </c>
      <c r="I3259" s="18"/>
    </row>
    <row r="3260" spans="1:9">
      <c r="A3260" s="943">
        <v>5</v>
      </c>
      <c r="B3260" s="944">
        <v>986</v>
      </c>
      <c r="C3260" s="944" t="s">
        <v>675</v>
      </c>
      <c r="D3260" s="943" t="s">
        <v>7</v>
      </c>
      <c r="E3260" s="952">
        <v>1630</v>
      </c>
      <c r="F3260" s="945">
        <v>5</v>
      </c>
      <c r="G3260" s="946">
        <v>100</v>
      </c>
      <c r="H3260" s="946">
        <v>97.47</v>
      </c>
    </row>
    <row r="3261" spans="1:9" s="26" customFormat="1">
      <c r="A3261" s="947">
        <v>5</v>
      </c>
      <c r="B3261" s="948">
        <v>987.02</v>
      </c>
      <c r="C3261" s="948" t="s">
        <v>676</v>
      </c>
      <c r="D3261" s="947" t="s">
        <v>1</v>
      </c>
      <c r="E3261" s="950">
        <v>860</v>
      </c>
      <c r="F3261" s="950">
        <v>2</v>
      </c>
      <c r="G3261" s="951">
        <v>175</v>
      </c>
      <c r="H3261" s="951">
        <v>161.25</v>
      </c>
      <c r="I3261" s="18"/>
    </row>
    <row r="3262" spans="1:9">
      <c r="A3262" s="943">
        <v>5</v>
      </c>
      <c r="B3262" s="944">
        <v>991.1</v>
      </c>
      <c r="C3262" s="944" t="s">
        <v>678</v>
      </c>
      <c r="D3262" s="943" t="s">
        <v>22</v>
      </c>
      <c r="E3262" s="945">
        <v>6</v>
      </c>
      <c r="F3262" s="945">
        <v>1</v>
      </c>
      <c r="G3262" s="946">
        <v>289000</v>
      </c>
      <c r="H3262" s="946">
        <v>218833.33</v>
      </c>
    </row>
    <row r="3263" spans="1:9" s="26" customFormat="1">
      <c r="A3263" s="947">
        <v>5</v>
      </c>
      <c r="B3263" s="948">
        <v>992.1</v>
      </c>
      <c r="C3263" s="948" t="s">
        <v>679</v>
      </c>
      <c r="D3263" s="947" t="s">
        <v>22</v>
      </c>
      <c r="E3263" s="950">
        <v>4</v>
      </c>
      <c r="F3263" s="950">
        <v>1</v>
      </c>
      <c r="G3263" s="951">
        <v>1075000</v>
      </c>
      <c r="H3263" s="951">
        <v>981622.47</v>
      </c>
      <c r="I3263" s="18"/>
    </row>
    <row r="3264" spans="1:9">
      <c r="A3264" s="943">
        <v>5</v>
      </c>
      <c r="B3264" s="944">
        <v>994.1</v>
      </c>
      <c r="C3264" s="944" t="s">
        <v>683</v>
      </c>
      <c r="D3264" s="943" t="s">
        <v>3</v>
      </c>
      <c r="E3264" s="952">
        <v>12270</v>
      </c>
      <c r="F3264" s="945">
        <v>5</v>
      </c>
      <c r="G3264" s="946">
        <v>11.5</v>
      </c>
      <c r="H3264" s="946">
        <v>10.52</v>
      </c>
    </row>
    <row r="3265" spans="1:9" s="26" customFormat="1">
      <c r="A3265" s="947">
        <v>5</v>
      </c>
      <c r="B3265" s="948">
        <v>995.01</v>
      </c>
      <c r="C3265" s="948" t="s">
        <v>685</v>
      </c>
      <c r="D3265" s="947" t="s">
        <v>22</v>
      </c>
      <c r="E3265" s="950">
        <v>9</v>
      </c>
      <c r="F3265" s="950">
        <v>1</v>
      </c>
      <c r="G3265" s="951">
        <v>1876390</v>
      </c>
      <c r="H3265" s="951">
        <v>1827689.67</v>
      </c>
      <c r="I3265" s="18"/>
    </row>
    <row r="3266" spans="1:9">
      <c r="A3266" s="943">
        <v>5</v>
      </c>
      <c r="B3266" s="944">
        <v>996.01</v>
      </c>
      <c r="C3266" s="944" t="s">
        <v>688</v>
      </c>
      <c r="D3266" s="943" t="s">
        <v>22</v>
      </c>
      <c r="E3266" s="945">
        <v>2</v>
      </c>
      <c r="F3266" s="945">
        <v>1</v>
      </c>
      <c r="G3266" s="946">
        <v>1500000</v>
      </c>
      <c r="H3266" s="946">
        <v>1675000</v>
      </c>
    </row>
    <row r="3267" spans="1:9" s="26" customFormat="1">
      <c r="A3267" s="947">
        <v>6</v>
      </c>
      <c r="B3267" s="948">
        <v>100</v>
      </c>
      <c r="C3267" s="948" t="s">
        <v>51</v>
      </c>
      <c r="D3267" s="947" t="s">
        <v>22</v>
      </c>
      <c r="E3267" s="950">
        <v>19</v>
      </c>
      <c r="F3267" s="950">
        <v>4</v>
      </c>
      <c r="G3267" s="951">
        <v>49500</v>
      </c>
      <c r="H3267" s="951">
        <v>55421.05</v>
      </c>
      <c r="I3267" s="18"/>
    </row>
    <row r="3268" spans="1:9">
      <c r="A3268" s="943">
        <v>6</v>
      </c>
      <c r="B3268" s="944">
        <v>100.002</v>
      </c>
      <c r="C3268" s="944" t="s">
        <v>83</v>
      </c>
      <c r="D3268" s="943" t="s">
        <v>24</v>
      </c>
      <c r="E3268" s="952">
        <v>12067</v>
      </c>
      <c r="F3268" s="945">
        <v>6</v>
      </c>
      <c r="G3268" s="946">
        <v>109.5</v>
      </c>
      <c r="H3268" s="946">
        <v>106.11</v>
      </c>
    </row>
    <row r="3269" spans="1:9" s="26" customFormat="1">
      <c r="A3269" s="947">
        <v>6</v>
      </c>
      <c r="B3269" s="948">
        <v>100.1</v>
      </c>
      <c r="C3269" s="948" t="s">
        <v>85</v>
      </c>
      <c r="D3269" s="947" t="s">
        <v>24</v>
      </c>
      <c r="E3269" s="949">
        <v>6930</v>
      </c>
      <c r="F3269" s="950">
        <v>3</v>
      </c>
      <c r="G3269" s="951">
        <v>146.5</v>
      </c>
      <c r="H3269" s="951">
        <v>146.13999999999999</v>
      </c>
      <c r="I3269" s="18"/>
    </row>
    <row r="3270" spans="1:9">
      <c r="A3270" s="943">
        <v>6</v>
      </c>
      <c r="B3270" s="944">
        <v>101.1</v>
      </c>
      <c r="C3270" s="944" t="s">
        <v>1273</v>
      </c>
      <c r="D3270" s="943" t="s">
        <v>55</v>
      </c>
      <c r="E3270" s="945">
        <v>8</v>
      </c>
      <c r="F3270" s="945">
        <v>1</v>
      </c>
      <c r="G3270" s="946">
        <v>9375</v>
      </c>
      <c r="H3270" s="946">
        <v>9375</v>
      </c>
    </row>
    <row r="3271" spans="1:9" s="26" customFormat="1">
      <c r="A3271" s="947">
        <v>6</v>
      </c>
      <c r="B3271" s="948">
        <v>102.1</v>
      </c>
      <c r="C3271" s="948" t="s">
        <v>93</v>
      </c>
      <c r="D3271" s="947" t="s">
        <v>17</v>
      </c>
      <c r="E3271" s="949">
        <v>75500</v>
      </c>
      <c r="F3271" s="950">
        <v>4</v>
      </c>
      <c r="G3271" s="951">
        <v>20</v>
      </c>
      <c r="H3271" s="951">
        <v>22.7</v>
      </c>
      <c r="I3271" s="18"/>
    </row>
    <row r="3272" spans="1:9">
      <c r="A3272" s="943">
        <v>6</v>
      </c>
      <c r="B3272" s="944">
        <v>102.12</v>
      </c>
      <c r="C3272" s="944" t="s">
        <v>93</v>
      </c>
      <c r="D3272" s="943" t="s">
        <v>2</v>
      </c>
      <c r="E3272" s="945">
        <v>70</v>
      </c>
      <c r="F3272" s="945">
        <v>1</v>
      </c>
      <c r="G3272" s="946">
        <v>1</v>
      </c>
      <c r="H3272" s="946">
        <v>1</v>
      </c>
    </row>
    <row r="3273" spans="1:9" s="26" customFormat="1">
      <c r="A3273" s="947">
        <v>6</v>
      </c>
      <c r="B3273" s="948">
        <v>102.2</v>
      </c>
      <c r="C3273" s="948" t="s">
        <v>93</v>
      </c>
      <c r="D3273" s="947" t="s">
        <v>22</v>
      </c>
      <c r="E3273" s="950">
        <v>5</v>
      </c>
      <c r="F3273" s="950">
        <v>1</v>
      </c>
      <c r="G3273" s="951">
        <v>25000</v>
      </c>
      <c r="H3273" s="951">
        <v>25950</v>
      </c>
      <c r="I3273" s="18"/>
    </row>
    <row r="3274" spans="1:9">
      <c r="A3274" s="943">
        <v>6</v>
      </c>
      <c r="B3274" s="944">
        <v>102.511</v>
      </c>
      <c r="C3274" s="944" t="s">
        <v>4029</v>
      </c>
      <c r="D3274" s="943" t="s">
        <v>2</v>
      </c>
      <c r="E3274" s="952">
        <v>1049</v>
      </c>
      <c r="F3274" s="945">
        <v>5</v>
      </c>
      <c r="G3274" s="946">
        <v>410</v>
      </c>
      <c r="H3274" s="946">
        <v>442.71</v>
      </c>
    </row>
    <row r="3275" spans="1:9" s="26" customFormat="1">
      <c r="A3275" s="947">
        <v>6</v>
      </c>
      <c r="B3275" s="948">
        <v>102.521</v>
      </c>
      <c r="C3275" s="948" t="s">
        <v>1276</v>
      </c>
      <c r="D3275" s="947" t="s">
        <v>17</v>
      </c>
      <c r="E3275" s="949">
        <v>16550</v>
      </c>
      <c r="F3275" s="950">
        <v>3</v>
      </c>
      <c r="G3275" s="951">
        <v>13.5</v>
      </c>
      <c r="H3275" s="951">
        <v>14.17</v>
      </c>
      <c r="I3275" s="18"/>
    </row>
    <row r="3276" spans="1:9">
      <c r="A3276" s="943">
        <v>6</v>
      </c>
      <c r="B3276" s="944">
        <v>102.55</v>
      </c>
      <c r="C3276" s="944" t="s">
        <v>1277</v>
      </c>
      <c r="D3276" s="943" t="s">
        <v>24</v>
      </c>
      <c r="E3276" s="945">
        <v>992</v>
      </c>
      <c r="F3276" s="945">
        <v>4</v>
      </c>
      <c r="G3276" s="946">
        <v>279.73</v>
      </c>
      <c r="H3276" s="946">
        <v>270.76</v>
      </c>
    </row>
    <row r="3277" spans="1:9" s="26" customFormat="1">
      <c r="A3277" s="947">
        <v>6</v>
      </c>
      <c r="B3277" s="948">
        <v>103</v>
      </c>
      <c r="C3277" s="948" t="s">
        <v>35</v>
      </c>
      <c r="D3277" s="947" t="s">
        <v>2</v>
      </c>
      <c r="E3277" s="950">
        <v>149</v>
      </c>
      <c r="F3277" s="950">
        <v>4</v>
      </c>
      <c r="G3277" s="951">
        <v>2800</v>
      </c>
      <c r="H3277" s="951">
        <v>3026.29</v>
      </c>
      <c r="I3277" s="18"/>
    </row>
    <row r="3278" spans="1:9">
      <c r="A3278" s="943">
        <v>6</v>
      </c>
      <c r="B3278" s="944">
        <v>104</v>
      </c>
      <c r="C3278" s="944" t="s">
        <v>94</v>
      </c>
      <c r="D3278" s="943" t="s">
        <v>2</v>
      </c>
      <c r="E3278" s="945">
        <v>16</v>
      </c>
      <c r="F3278" s="945">
        <v>2</v>
      </c>
      <c r="G3278" s="946">
        <v>3778</v>
      </c>
      <c r="H3278" s="946">
        <v>3869.13</v>
      </c>
    </row>
    <row r="3279" spans="1:9" s="26" customFormat="1">
      <c r="A3279" s="947">
        <v>6</v>
      </c>
      <c r="B3279" s="948">
        <v>105</v>
      </c>
      <c r="C3279" s="948" t="s">
        <v>95</v>
      </c>
      <c r="D3279" s="947" t="s">
        <v>2</v>
      </c>
      <c r="E3279" s="950">
        <v>64</v>
      </c>
      <c r="F3279" s="950">
        <v>2</v>
      </c>
      <c r="G3279" s="951">
        <v>778</v>
      </c>
      <c r="H3279" s="951">
        <v>815.81</v>
      </c>
      <c r="I3279" s="18"/>
    </row>
    <row r="3280" spans="1:9">
      <c r="A3280" s="943">
        <v>6</v>
      </c>
      <c r="B3280" s="944">
        <v>106.301</v>
      </c>
      <c r="C3280" s="944" t="s">
        <v>1962</v>
      </c>
      <c r="D3280" s="943" t="s">
        <v>22</v>
      </c>
      <c r="E3280" s="945">
        <v>5</v>
      </c>
      <c r="F3280" s="945">
        <v>1</v>
      </c>
      <c r="G3280" s="946">
        <v>66062625</v>
      </c>
      <c r="H3280" s="946">
        <v>64366725</v>
      </c>
    </row>
    <row r="3281" spans="1:9" s="26" customFormat="1">
      <c r="A3281" s="947">
        <v>6</v>
      </c>
      <c r="B3281" s="948">
        <v>107.855</v>
      </c>
      <c r="C3281" s="948" t="s">
        <v>102</v>
      </c>
      <c r="D3281" s="947" t="s">
        <v>17</v>
      </c>
      <c r="E3281" s="949">
        <v>8526</v>
      </c>
      <c r="F3281" s="950">
        <v>3</v>
      </c>
      <c r="G3281" s="951">
        <v>140</v>
      </c>
      <c r="H3281" s="951">
        <v>142.88</v>
      </c>
      <c r="I3281" s="18"/>
    </row>
    <row r="3282" spans="1:9">
      <c r="A3282" s="943">
        <v>6</v>
      </c>
      <c r="B3282" s="944">
        <v>119</v>
      </c>
      <c r="C3282" s="944" t="s">
        <v>106</v>
      </c>
      <c r="D3282" s="943" t="s">
        <v>22</v>
      </c>
      <c r="E3282" s="945">
        <v>6</v>
      </c>
      <c r="F3282" s="945">
        <v>3</v>
      </c>
      <c r="G3282" s="946">
        <v>20000</v>
      </c>
      <c r="H3282" s="946">
        <v>19925</v>
      </c>
    </row>
    <row r="3283" spans="1:9" s="26" customFormat="1">
      <c r="A3283" s="947">
        <v>6</v>
      </c>
      <c r="B3283" s="948">
        <v>120</v>
      </c>
      <c r="C3283" s="948" t="s">
        <v>107</v>
      </c>
      <c r="D3283" s="947" t="s">
        <v>4</v>
      </c>
      <c r="E3283" s="949">
        <v>70656</v>
      </c>
      <c r="F3283" s="950">
        <v>2</v>
      </c>
      <c r="G3283" s="951">
        <v>55</v>
      </c>
      <c r="H3283" s="951">
        <v>161.5</v>
      </c>
      <c r="I3283" s="18"/>
    </row>
    <row r="3284" spans="1:9">
      <c r="A3284" s="943">
        <v>6</v>
      </c>
      <c r="B3284" s="944">
        <v>120.1</v>
      </c>
      <c r="C3284" s="944" t="s">
        <v>19</v>
      </c>
      <c r="D3284" s="943" t="s">
        <v>4</v>
      </c>
      <c r="E3284" s="952">
        <v>69076</v>
      </c>
      <c r="F3284" s="945">
        <v>8</v>
      </c>
      <c r="G3284" s="946">
        <v>75</v>
      </c>
      <c r="H3284" s="946">
        <v>73.41</v>
      </c>
    </row>
    <row r="3285" spans="1:9" s="26" customFormat="1">
      <c r="A3285" s="947">
        <v>6</v>
      </c>
      <c r="B3285" s="948">
        <v>121</v>
      </c>
      <c r="C3285" s="948" t="s">
        <v>108</v>
      </c>
      <c r="D3285" s="947" t="s">
        <v>4</v>
      </c>
      <c r="E3285" s="950">
        <v>200</v>
      </c>
      <c r="F3285" s="950">
        <v>1</v>
      </c>
      <c r="G3285" s="951">
        <v>225</v>
      </c>
      <c r="H3285" s="951">
        <v>218.75</v>
      </c>
      <c r="I3285" s="18"/>
    </row>
    <row r="3286" spans="1:9">
      <c r="A3286" s="943">
        <v>6</v>
      </c>
      <c r="B3286" s="944">
        <v>127</v>
      </c>
      <c r="C3286" s="944" t="s">
        <v>111</v>
      </c>
      <c r="D3286" s="943" t="s">
        <v>4</v>
      </c>
      <c r="E3286" s="945">
        <v>200</v>
      </c>
      <c r="F3286" s="945">
        <v>1</v>
      </c>
      <c r="G3286" s="946">
        <v>200</v>
      </c>
      <c r="H3286" s="946">
        <v>175</v>
      </c>
    </row>
    <row r="3287" spans="1:9" s="26" customFormat="1">
      <c r="A3287" s="947">
        <v>6</v>
      </c>
      <c r="B3287" s="948">
        <v>127.1</v>
      </c>
      <c r="C3287" s="948" t="s">
        <v>112</v>
      </c>
      <c r="D3287" s="947" t="s">
        <v>4</v>
      </c>
      <c r="E3287" s="950">
        <v>378</v>
      </c>
      <c r="F3287" s="950">
        <v>2</v>
      </c>
      <c r="G3287" s="951">
        <v>3962.5</v>
      </c>
      <c r="H3287" s="951">
        <v>4211.8</v>
      </c>
      <c r="I3287" s="18"/>
    </row>
    <row r="3288" spans="1:9">
      <c r="A3288" s="943">
        <v>6</v>
      </c>
      <c r="B3288" s="944">
        <v>127.4</v>
      </c>
      <c r="C3288" s="944" t="s">
        <v>113</v>
      </c>
      <c r="D3288" s="943" t="s">
        <v>1</v>
      </c>
      <c r="E3288" s="952">
        <v>2420</v>
      </c>
      <c r="F3288" s="945">
        <v>2</v>
      </c>
      <c r="G3288" s="946">
        <v>1312.5</v>
      </c>
      <c r="H3288" s="946">
        <v>1331</v>
      </c>
    </row>
    <row r="3289" spans="1:9" s="26" customFormat="1">
      <c r="A3289" s="947">
        <v>6</v>
      </c>
      <c r="B3289" s="948">
        <v>127.41</v>
      </c>
      <c r="C3289" s="948" t="s">
        <v>114</v>
      </c>
      <c r="D3289" s="947" t="s">
        <v>4</v>
      </c>
      <c r="E3289" s="949">
        <v>1480</v>
      </c>
      <c r="F3289" s="950">
        <v>2</v>
      </c>
      <c r="G3289" s="951">
        <v>4325</v>
      </c>
      <c r="H3289" s="951">
        <v>4808.75</v>
      </c>
      <c r="I3289" s="18"/>
    </row>
    <row r="3290" spans="1:9">
      <c r="A3290" s="943">
        <v>6</v>
      </c>
      <c r="B3290" s="944">
        <v>129.6</v>
      </c>
      <c r="C3290" s="944" t="s">
        <v>117</v>
      </c>
      <c r="D3290" s="943" t="s">
        <v>1</v>
      </c>
      <c r="E3290" s="952">
        <v>4340</v>
      </c>
      <c r="F3290" s="945">
        <v>2</v>
      </c>
      <c r="G3290" s="946">
        <v>35.5</v>
      </c>
      <c r="H3290" s="946">
        <v>34.86</v>
      </c>
    </row>
    <row r="3291" spans="1:9" s="26" customFormat="1">
      <c r="A3291" s="947">
        <v>6</v>
      </c>
      <c r="B3291" s="948">
        <v>141</v>
      </c>
      <c r="C3291" s="948" t="s">
        <v>120</v>
      </c>
      <c r="D3291" s="947" t="s">
        <v>4</v>
      </c>
      <c r="E3291" s="950">
        <v>330</v>
      </c>
      <c r="F3291" s="950">
        <v>3</v>
      </c>
      <c r="G3291" s="951">
        <v>80</v>
      </c>
      <c r="H3291" s="951">
        <v>77.67</v>
      </c>
      <c r="I3291" s="18"/>
    </row>
    <row r="3292" spans="1:9">
      <c r="A3292" s="943">
        <v>6</v>
      </c>
      <c r="B3292" s="944">
        <v>141.1</v>
      </c>
      <c r="C3292" s="944" t="s">
        <v>121</v>
      </c>
      <c r="D3292" s="943" t="s">
        <v>4</v>
      </c>
      <c r="E3292" s="952">
        <v>2745</v>
      </c>
      <c r="F3292" s="945">
        <v>5</v>
      </c>
      <c r="G3292" s="946">
        <v>118.5</v>
      </c>
      <c r="H3292" s="946">
        <v>127.38</v>
      </c>
    </row>
    <row r="3293" spans="1:9" s="26" customFormat="1">
      <c r="A3293" s="947">
        <v>6</v>
      </c>
      <c r="B3293" s="948">
        <v>142</v>
      </c>
      <c r="C3293" s="948" t="s">
        <v>122</v>
      </c>
      <c r="D3293" s="947" t="s">
        <v>4</v>
      </c>
      <c r="E3293" s="949">
        <v>6945</v>
      </c>
      <c r="F3293" s="950">
        <v>4</v>
      </c>
      <c r="G3293" s="951">
        <v>27.5</v>
      </c>
      <c r="H3293" s="951">
        <v>33.43</v>
      </c>
      <c r="I3293" s="18"/>
    </row>
    <row r="3294" spans="1:9">
      <c r="A3294" s="943">
        <v>6</v>
      </c>
      <c r="B3294" s="944">
        <v>144</v>
      </c>
      <c r="C3294" s="944" t="s">
        <v>124</v>
      </c>
      <c r="D3294" s="943" t="s">
        <v>4</v>
      </c>
      <c r="E3294" s="945">
        <v>274</v>
      </c>
      <c r="F3294" s="945">
        <v>4</v>
      </c>
      <c r="G3294" s="946">
        <v>250</v>
      </c>
      <c r="H3294" s="946">
        <v>269.45999999999998</v>
      </c>
    </row>
    <row r="3295" spans="1:9" s="26" customFormat="1">
      <c r="A3295" s="947">
        <v>6</v>
      </c>
      <c r="B3295" s="948">
        <v>145</v>
      </c>
      <c r="C3295" s="948" t="s">
        <v>125</v>
      </c>
      <c r="D3295" s="947" t="s">
        <v>2</v>
      </c>
      <c r="E3295" s="950">
        <v>60</v>
      </c>
      <c r="F3295" s="950">
        <v>3</v>
      </c>
      <c r="G3295" s="951">
        <v>1000</v>
      </c>
      <c r="H3295" s="951">
        <v>901.56</v>
      </c>
      <c r="I3295" s="18"/>
    </row>
    <row r="3296" spans="1:9">
      <c r="A3296" s="943">
        <v>6</v>
      </c>
      <c r="B3296" s="944">
        <v>146</v>
      </c>
      <c r="C3296" s="944" t="s">
        <v>126</v>
      </c>
      <c r="D3296" s="943" t="s">
        <v>2</v>
      </c>
      <c r="E3296" s="945">
        <v>532</v>
      </c>
      <c r="F3296" s="945">
        <v>4</v>
      </c>
      <c r="G3296" s="946">
        <v>1075</v>
      </c>
      <c r="H3296" s="946">
        <v>1152.3</v>
      </c>
    </row>
    <row r="3297" spans="1:9" s="26" customFormat="1">
      <c r="A3297" s="947">
        <v>6</v>
      </c>
      <c r="B3297" s="948">
        <v>149.19999999999999</v>
      </c>
      <c r="C3297" s="948" t="s">
        <v>1284</v>
      </c>
      <c r="D3297" s="947" t="s">
        <v>22</v>
      </c>
      <c r="E3297" s="950">
        <v>3</v>
      </c>
      <c r="F3297" s="950">
        <v>1</v>
      </c>
      <c r="G3297" s="951">
        <v>400000</v>
      </c>
      <c r="H3297" s="951">
        <v>333333.33</v>
      </c>
      <c r="I3297" s="18"/>
    </row>
    <row r="3298" spans="1:9">
      <c r="A3298" s="943">
        <v>6</v>
      </c>
      <c r="B3298" s="944">
        <v>150</v>
      </c>
      <c r="C3298" s="944" t="s">
        <v>128</v>
      </c>
      <c r="D3298" s="943" t="s">
        <v>4</v>
      </c>
      <c r="E3298" s="945">
        <v>825</v>
      </c>
      <c r="F3298" s="945">
        <v>2</v>
      </c>
      <c r="G3298" s="946">
        <v>25.45</v>
      </c>
      <c r="H3298" s="946">
        <v>28.63</v>
      </c>
    </row>
    <row r="3299" spans="1:9" s="26" customFormat="1">
      <c r="A3299" s="947">
        <v>6</v>
      </c>
      <c r="B3299" s="948">
        <v>150.1</v>
      </c>
      <c r="C3299" s="948" t="s">
        <v>129</v>
      </c>
      <c r="D3299" s="947" t="s">
        <v>4</v>
      </c>
      <c r="E3299" s="950">
        <v>300</v>
      </c>
      <c r="F3299" s="950">
        <v>1</v>
      </c>
      <c r="G3299" s="951">
        <v>35</v>
      </c>
      <c r="H3299" s="951">
        <v>36.67</v>
      </c>
      <c r="I3299" s="18"/>
    </row>
    <row r="3300" spans="1:9">
      <c r="A3300" s="943">
        <v>6</v>
      </c>
      <c r="B3300" s="944">
        <v>151</v>
      </c>
      <c r="C3300" s="944" t="s">
        <v>5</v>
      </c>
      <c r="D3300" s="943" t="s">
        <v>4</v>
      </c>
      <c r="E3300" s="952">
        <v>60734</v>
      </c>
      <c r="F3300" s="945">
        <v>8</v>
      </c>
      <c r="G3300" s="946">
        <v>40</v>
      </c>
      <c r="H3300" s="946">
        <v>42.69</v>
      </c>
    </row>
    <row r="3301" spans="1:9" s="26" customFormat="1">
      <c r="A3301" s="947">
        <v>6</v>
      </c>
      <c r="B3301" s="948">
        <v>151.01</v>
      </c>
      <c r="C3301" s="948" t="s">
        <v>130</v>
      </c>
      <c r="D3301" s="947" t="s">
        <v>4</v>
      </c>
      <c r="E3301" s="950">
        <v>31</v>
      </c>
      <c r="F3301" s="950">
        <v>2</v>
      </c>
      <c r="G3301" s="951">
        <v>152.5</v>
      </c>
      <c r="H3301" s="951">
        <v>152.5</v>
      </c>
      <c r="I3301" s="18"/>
    </row>
    <row r="3302" spans="1:9">
      <c r="A3302" s="943">
        <v>6</v>
      </c>
      <c r="B3302" s="944">
        <v>151.19999999999999</v>
      </c>
      <c r="C3302" s="944" t="s">
        <v>52</v>
      </c>
      <c r="D3302" s="943" t="s">
        <v>4</v>
      </c>
      <c r="E3302" s="952">
        <v>18360</v>
      </c>
      <c r="F3302" s="945">
        <v>2</v>
      </c>
      <c r="G3302" s="946">
        <v>41.5</v>
      </c>
      <c r="H3302" s="946">
        <v>51.88</v>
      </c>
    </row>
    <row r="3303" spans="1:9" s="26" customFormat="1">
      <c r="A3303" s="947">
        <v>6</v>
      </c>
      <c r="B3303" s="948">
        <v>153</v>
      </c>
      <c r="C3303" s="948" t="s">
        <v>134</v>
      </c>
      <c r="D3303" s="947" t="s">
        <v>4</v>
      </c>
      <c r="E3303" s="949">
        <v>1075</v>
      </c>
      <c r="F3303" s="950">
        <v>3</v>
      </c>
      <c r="G3303" s="951">
        <v>350</v>
      </c>
      <c r="H3303" s="951">
        <v>342</v>
      </c>
      <c r="I3303" s="18"/>
    </row>
    <row r="3304" spans="1:9">
      <c r="A3304" s="943">
        <v>6</v>
      </c>
      <c r="B3304" s="944">
        <v>154</v>
      </c>
      <c r="C3304" s="944" t="s">
        <v>136</v>
      </c>
      <c r="D3304" s="943" t="s">
        <v>4</v>
      </c>
      <c r="E3304" s="945">
        <v>700</v>
      </c>
      <c r="F3304" s="945">
        <v>1</v>
      </c>
      <c r="G3304" s="946">
        <v>50</v>
      </c>
      <c r="H3304" s="946">
        <v>50</v>
      </c>
    </row>
    <row r="3305" spans="1:9" s="26" customFormat="1">
      <c r="A3305" s="947">
        <v>6</v>
      </c>
      <c r="B3305" s="948">
        <v>156</v>
      </c>
      <c r="C3305" s="948" t="s">
        <v>26</v>
      </c>
      <c r="D3305" s="947" t="s">
        <v>7</v>
      </c>
      <c r="E3305" s="949">
        <v>10390</v>
      </c>
      <c r="F3305" s="950">
        <v>6</v>
      </c>
      <c r="G3305" s="951">
        <v>47.5</v>
      </c>
      <c r="H3305" s="951">
        <v>44.05</v>
      </c>
      <c r="I3305" s="18"/>
    </row>
    <row r="3306" spans="1:9">
      <c r="A3306" s="943">
        <v>6</v>
      </c>
      <c r="B3306" s="944">
        <v>170</v>
      </c>
      <c r="C3306" s="944" t="s">
        <v>1287</v>
      </c>
      <c r="D3306" s="943" t="s">
        <v>1</v>
      </c>
      <c r="E3306" s="952">
        <v>361055</v>
      </c>
      <c r="F3306" s="945">
        <v>5</v>
      </c>
      <c r="G3306" s="946">
        <v>15</v>
      </c>
      <c r="H3306" s="946">
        <v>16.600000000000001</v>
      </c>
    </row>
    <row r="3307" spans="1:9" s="26" customFormat="1">
      <c r="A3307" s="947">
        <v>6</v>
      </c>
      <c r="B3307" s="948">
        <v>180.01</v>
      </c>
      <c r="C3307" s="948" t="s">
        <v>1288</v>
      </c>
      <c r="D3307" s="947" t="s">
        <v>22</v>
      </c>
      <c r="E3307" s="950">
        <v>8</v>
      </c>
      <c r="F3307" s="950">
        <v>3</v>
      </c>
      <c r="G3307" s="951">
        <v>15250</v>
      </c>
      <c r="H3307" s="951">
        <v>13743.75</v>
      </c>
      <c r="I3307" s="18"/>
    </row>
    <row r="3308" spans="1:9">
      <c r="A3308" s="943">
        <v>6</v>
      </c>
      <c r="B3308" s="944">
        <v>180.02</v>
      </c>
      <c r="C3308" s="944" t="s">
        <v>1289</v>
      </c>
      <c r="D3308" s="943" t="s">
        <v>24</v>
      </c>
      <c r="E3308" s="945">
        <v>230</v>
      </c>
      <c r="F3308" s="945">
        <v>3</v>
      </c>
      <c r="G3308" s="946">
        <v>15</v>
      </c>
      <c r="H3308" s="946">
        <v>15.08</v>
      </c>
    </row>
    <row r="3309" spans="1:9" s="26" customFormat="1">
      <c r="A3309" s="947">
        <v>6</v>
      </c>
      <c r="B3309" s="948">
        <v>180.03</v>
      </c>
      <c r="C3309" s="948" t="s">
        <v>1290</v>
      </c>
      <c r="D3309" s="947" t="s">
        <v>24</v>
      </c>
      <c r="E3309" s="950">
        <v>660</v>
      </c>
      <c r="F3309" s="950">
        <v>3</v>
      </c>
      <c r="G3309" s="951">
        <v>142.5</v>
      </c>
      <c r="H3309" s="951">
        <v>140.86000000000001</v>
      </c>
      <c r="I3309" s="18"/>
    </row>
    <row r="3310" spans="1:9">
      <c r="A3310" s="943">
        <v>6</v>
      </c>
      <c r="B3310" s="944">
        <v>181.11</v>
      </c>
      <c r="C3310" s="944" t="s">
        <v>58</v>
      </c>
      <c r="D3310" s="943" t="s">
        <v>7</v>
      </c>
      <c r="E3310" s="952">
        <v>1481</v>
      </c>
      <c r="F3310" s="945">
        <v>3</v>
      </c>
      <c r="G3310" s="946">
        <v>60.5</v>
      </c>
      <c r="H3310" s="946">
        <v>54.5</v>
      </c>
    </row>
    <row r="3311" spans="1:9" s="26" customFormat="1">
      <c r="A3311" s="947">
        <v>6</v>
      </c>
      <c r="B3311" s="948">
        <v>181.12</v>
      </c>
      <c r="C3311" s="948" t="s">
        <v>141</v>
      </c>
      <c r="D3311" s="947" t="s">
        <v>7</v>
      </c>
      <c r="E3311" s="950">
        <v>270</v>
      </c>
      <c r="F3311" s="950">
        <v>3</v>
      </c>
      <c r="G3311" s="951">
        <v>110</v>
      </c>
      <c r="H3311" s="951">
        <v>100.27</v>
      </c>
      <c r="I3311" s="18"/>
    </row>
    <row r="3312" spans="1:9">
      <c r="A3312" s="943">
        <v>6</v>
      </c>
      <c r="B3312" s="944">
        <v>181.13</v>
      </c>
      <c r="C3312" s="944" t="s">
        <v>142</v>
      </c>
      <c r="D3312" s="943" t="s">
        <v>7</v>
      </c>
      <c r="E3312" s="945">
        <v>100</v>
      </c>
      <c r="F3312" s="945">
        <v>3</v>
      </c>
      <c r="G3312" s="946">
        <v>210</v>
      </c>
      <c r="H3312" s="946">
        <v>206.9</v>
      </c>
    </row>
    <row r="3313" spans="1:9" s="26" customFormat="1">
      <c r="A3313" s="947">
        <v>6</v>
      </c>
      <c r="B3313" s="948">
        <v>181.14</v>
      </c>
      <c r="C3313" s="948" t="s">
        <v>59</v>
      </c>
      <c r="D3313" s="947" t="s">
        <v>7</v>
      </c>
      <c r="E3313" s="950">
        <v>100</v>
      </c>
      <c r="F3313" s="950">
        <v>3</v>
      </c>
      <c r="G3313" s="951">
        <v>538.5</v>
      </c>
      <c r="H3313" s="951">
        <v>548.70000000000005</v>
      </c>
      <c r="I3313" s="18"/>
    </row>
    <row r="3314" spans="1:9">
      <c r="A3314" s="943">
        <v>6</v>
      </c>
      <c r="B3314" s="944">
        <v>182.1</v>
      </c>
      <c r="C3314" s="944" t="s">
        <v>143</v>
      </c>
      <c r="D3314" s="943" t="s">
        <v>22</v>
      </c>
      <c r="E3314" s="945">
        <v>5</v>
      </c>
      <c r="F3314" s="945">
        <v>2</v>
      </c>
      <c r="G3314" s="946">
        <v>3500</v>
      </c>
      <c r="H3314" s="946">
        <v>3400</v>
      </c>
    </row>
    <row r="3315" spans="1:9" s="26" customFormat="1">
      <c r="A3315" s="947">
        <v>6</v>
      </c>
      <c r="B3315" s="948">
        <v>182.2</v>
      </c>
      <c r="C3315" s="948" t="s">
        <v>144</v>
      </c>
      <c r="D3315" s="947" t="s">
        <v>17</v>
      </c>
      <c r="E3315" s="950">
        <v>240</v>
      </c>
      <c r="F3315" s="950">
        <v>2</v>
      </c>
      <c r="G3315" s="951">
        <v>100</v>
      </c>
      <c r="H3315" s="951">
        <v>89.17</v>
      </c>
      <c r="I3315" s="18"/>
    </row>
    <row r="3316" spans="1:9">
      <c r="A3316" s="943">
        <v>6</v>
      </c>
      <c r="B3316" s="944">
        <v>183.1</v>
      </c>
      <c r="C3316" s="944" t="s">
        <v>146</v>
      </c>
      <c r="D3316" s="943" t="s">
        <v>20</v>
      </c>
      <c r="E3316" s="952">
        <v>1000</v>
      </c>
      <c r="F3316" s="945">
        <v>1</v>
      </c>
      <c r="G3316" s="946">
        <v>5</v>
      </c>
      <c r="H3316" s="946">
        <v>5</v>
      </c>
    </row>
    <row r="3317" spans="1:9" s="26" customFormat="1">
      <c r="A3317" s="947">
        <v>6</v>
      </c>
      <c r="B3317" s="948">
        <v>183.2</v>
      </c>
      <c r="C3317" s="948" t="s">
        <v>147</v>
      </c>
      <c r="D3317" s="947" t="s">
        <v>100</v>
      </c>
      <c r="E3317" s="949">
        <v>1000</v>
      </c>
      <c r="F3317" s="950">
        <v>1</v>
      </c>
      <c r="G3317" s="951">
        <v>6</v>
      </c>
      <c r="H3317" s="951">
        <v>5.5</v>
      </c>
      <c r="I3317" s="18"/>
    </row>
    <row r="3318" spans="1:9">
      <c r="A3318" s="943">
        <v>6</v>
      </c>
      <c r="B3318" s="944">
        <v>184.1</v>
      </c>
      <c r="C3318" s="944" t="s">
        <v>148</v>
      </c>
      <c r="D3318" s="943" t="s">
        <v>7</v>
      </c>
      <c r="E3318" s="945">
        <v>282</v>
      </c>
      <c r="F3318" s="945">
        <v>3</v>
      </c>
      <c r="G3318" s="946">
        <v>390.95</v>
      </c>
      <c r="H3318" s="946">
        <v>412.99</v>
      </c>
    </row>
    <row r="3319" spans="1:9" s="26" customFormat="1">
      <c r="A3319" s="947">
        <v>6</v>
      </c>
      <c r="B3319" s="948">
        <v>188.3</v>
      </c>
      <c r="C3319" s="948" t="s">
        <v>150</v>
      </c>
      <c r="D3319" s="947" t="s">
        <v>2</v>
      </c>
      <c r="E3319" s="949">
        <v>41180</v>
      </c>
      <c r="F3319" s="950">
        <v>2</v>
      </c>
      <c r="G3319" s="951">
        <v>8</v>
      </c>
      <c r="H3319" s="951">
        <v>8.25</v>
      </c>
      <c r="I3319" s="18"/>
    </row>
    <row r="3320" spans="1:9">
      <c r="A3320" s="943">
        <v>6</v>
      </c>
      <c r="B3320" s="944">
        <v>201</v>
      </c>
      <c r="C3320" s="944" t="s">
        <v>155</v>
      </c>
      <c r="D3320" s="943" t="s">
        <v>2</v>
      </c>
      <c r="E3320" s="945">
        <v>781</v>
      </c>
      <c r="F3320" s="945">
        <v>4</v>
      </c>
      <c r="G3320" s="946">
        <v>7789</v>
      </c>
      <c r="H3320" s="946">
        <v>7956.28</v>
      </c>
    </row>
    <row r="3321" spans="1:9" s="26" customFormat="1">
      <c r="A3321" s="947">
        <v>6</v>
      </c>
      <c r="B3321" s="948">
        <v>201.3</v>
      </c>
      <c r="C3321" s="948" t="s">
        <v>156</v>
      </c>
      <c r="D3321" s="947" t="s">
        <v>2</v>
      </c>
      <c r="E3321" s="950">
        <v>25</v>
      </c>
      <c r="F3321" s="950">
        <v>1</v>
      </c>
      <c r="G3321" s="951">
        <v>10500</v>
      </c>
      <c r="H3321" s="951">
        <v>10500</v>
      </c>
      <c r="I3321" s="18"/>
    </row>
    <row r="3322" spans="1:9">
      <c r="A3322" s="943">
        <v>6</v>
      </c>
      <c r="B3322" s="944">
        <v>201.5</v>
      </c>
      <c r="C3322" s="944" t="s">
        <v>2075</v>
      </c>
      <c r="D3322" s="943" t="s">
        <v>2</v>
      </c>
      <c r="E3322" s="945">
        <v>66</v>
      </c>
      <c r="F3322" s="945">
        <v>1</v>
      </c>
      <c r="G3322" s="946">
        <v>8178.85</v>
      </c>
      <c r="H3322" s="946">
        <v>7685.9</v>
      </c>
    </row>
    <row r="3323" spans="1:9" s="26" customFormat="1">
      <c r="A3323" s="947">
        <v>6</v>
      </c>
      <c r="B3323" s="948">
        <v>202</v>
      </c>
      <c r="C3323" s="948" t="s">
        <v>157</v>
      </c>
      <c r="D3323" s="947" t="s">
        <v>2</v>
      </c>
      <c r="E3323" s="950">
        <v>672</v>
      </c>
      <c r="F3323" s="950">
        <v>4</v>
      </c>
      <c r="G3323" s="951">
        <v>8500</v>
      </c>
      <c r="H3323" s="951">
        <v>8133.06</v>
      </c>
      <c r="I3323" s="18"/>
    </row>
    <row r="3324" spans="1:9">
      <c r="A3324" s="943">
        <v>6</v>
      </c>
      <c r="B3324" s="944">
        <v>202.01</v>
      </c>
      <c r="C3324" s="944" t="s">
        <v>2076</v>
      </c>
      <c r="D3324" s="943" t="s">
        <v>2</v>
      </c>
      <c r="E3324" s="945">
        <v>28</v>
      </c>
      <c r="F3324" s="945">
        <v>1</v>
      </c>
      <c r="G3324" s="946">
        <v>8487.5</v>
      </c>
      <c r="H3324" s="946">
        <v>8494.77</v>
      </c>
    </row>
    <row r="3325" spans="1:9" s="26" customFormat="1">
      <c r="A3325" s="947">
        <v>6</v>
      </c>
      <c r="B3325" s="948">
        <v>202.21</v>
      </c>
      <c r="C3325" s="948" t="s">
        <v>2077</v>
      </c>
      <c r="D3325" s="947" t="s">
        <v>2</v>
      </c>
      <c r="E3325" s="950">
        <v>12</v>
      </c>
      <c r="F3325" s="950">
        <v>1</v>
      </c>
      <c r="G3325" s="951">
        <v>14299.79</v>
      </c>
      <c r="H3325" s="951">
        <v>13399.19</v>
      </c>
      <c r="I3325" s="18"/>
    </row>
    <row r="3326" spans="1:9">
      <c r="A3326" s="943">
        <v>6</v>
      </c>
      <c r="B3326" s="944">
        <v>203</v>
      </c>
      <c r="C3326" s="944" t="s">
        <v>159</v>
      </c>
      <c r="D3326" s="943" t="s">
        <v>2</v>
      </c>
      <c r="E3326" s="945">
        <v>4</v>
      </c>
      <c r="F3326" s="945">
        <v>1</v>
      </c>
      <c r="G3326" s="946">
        <v>12950</v>
      </c>
      <c r="H3326" s="946">
        <v>11375</v>
      </c>
    </row>
    <row r="3327" spans="1:9" s="26" customFormat="1">
      <c r="A3327" s="947">
        <v>6</v>
      </c>
      <c r="B3327" s="948">
        <v>204</v>
      </c>
      <c r="C3327" s="948" t="s">
        <v>160</v>
      </c>
      <c r="D3327" s="947" t="s">
        <v>2</v>
      </c>
      <c r="E3327" s="950">
        <v>20</v>
      </c>
      <c r="F3327" s="950">
        <v>1</v>
      </c>
      <c r="G3327" s="951">
        <v>4150</v>
      </c>
      <c r="H3327" s="951">
        <v>3933</v>
      </c>
      <c r="I3327" s="18"/>
    </row>
    <row r="3328" spans="1:9">
      <c r="A3328" s="943">
        <v>6</v>
      </c>
      <c r="B3328" s="944">
        <v>204.11</v>
      </c>
      <c r="C3328" s="944" t="s">
        <v>1294</v>
      </c>
      <c r="D3328" s="943" t="s">
        <v>2</v>
      </c>
      <c r="E3328" s="945">
        <v>85</v>
      </c>
      <c r="F3328" s="945">
        <v>2</v>
      </c>
      <c r="G3328" s="946">
        <v>4700</v>
      </c>
      <c r="H3328" s="946">
        <v>4890</v>
      </c>
    </row>
    <row r="3329" spans="1:9" s="26" customFormat="1">
      <c r="A3329" s="947">
        <v>6</v>
      </c>
      <c r="B3329" s="948">
        <v>204.3</v>
      </c>
      <c r="C3329" s="948" t="s">
        <v>2081</v>
      </c>
      <c r="D3329" s="947" t="s">
        <v>2</v>
      </c>
      <c r="E3329" s="950">
        <v>4</v>
      </c>
      <c r="F3329" s="950">
        <v>1</v>
      </c>
      <c r="G3329" s="951">
        <v>4250</v>
      </c>
      <c r="H3329" s="951">
        <v>4205.2</v>
      </c>
      <c r="I3329" s="18"/>
    </row>
    <row r="3330" spans="1:9">
      <c r="A3330" s="943">
        <v>6</v>
      </c>
      <c r="B3330" s="944">
        <v>220</v>
      </c>
      <c r="C3330" s="944" t="s">
        <v>172</v>
      </c>
      <c r="D3330" s="943" t="s">
        <v>2</v>
      </c>
      <c r="E3330" s="952">
        <v>2581</v>
      </c>
      <c r="F3330" s="945">
        <v>5</v>
      </c>
      <c r="G3330" s="946">
        <v>500</v>
      </c>
      <c r="H3330" s="946">
        <v>557.96</v>
      </c>
    </row>
    <row r="3331" spans="1:9" s="26" customFormat="1">
      <c r="A3331" s="947">
        <v>6</v>
      </c>
      <c r="B3331" s="948">
        <v>220.2</v>
      </c>
      <c r="C3331" s="948" t="s">
        <v>173</v>
      </c>
      <c r="D3331" s="947" t="s">
        <v>17</v>
      </c>
      <c r="E3331" s="950">
        <v>611</v>
      </c>
      <c r="F3331" s="950">
        <v>4</v>
      </c>
      <c r="G3331" s="951">
        <v>500</v>
      </c>
      <c r="H3331" s="951">
        <v>482.19</v>
      </c>
      <c r="I3331" s="18"/>
    </row>
    <row r="3332" spans="1:9">
      <c r="A3332" s="943">
        <v>6</v>
      </c>
      <c r="B3332" s="944">
        <v>220.3</v>
      </c>
      <c r="C3332" s="944" t="s">
        <v>174</v>
      </c>
      <c r="D3332" s="943" t="s">
        <v>2</v>
      </c>
      <c r="E3332" s="945">
        <v>41</v>
      </c>
      <c r="F3332" s="945">
        <v>4</v>
      </c>
      <c r="G3332" s="946">
        <v>1416.53</v>
      </c>
      <c r="H3332" s="946">
        <v>1453.87</v>
      </c>
    </row>
    <row r="3333" spans="1:9" s="26" customFormat="1">
      <c r="A3333" s="947">
        <v>6</v>
      </c>
      <c r="B3333" s="948">
        <v>220.5</v>
      </c>
      <c r="C3333" s="948" t="s">
        <v>175</v>
      </c>
      <c r="D3333" s="947" t="s">
        <v>2</v>
      </c>
      <c r="E3333" s="950">
        <v>104</v>
      </c>
      <c r="F3333" s="950">
        <v>4</v>
      </c>
      <c r="G3333" s="951">
        <v>915</v>
      </c>
      <c r="H3333" s="951">
        <v>826.89</v>
      </c>
      <c r="I3333" s="18"/>
    </row>
    <row r="3334" spans="1:9">
      <c r="A3334" s="943">
        <v>6</v>
      </c>
      <c r="B3334" s="944">
        <v>220.6</v>
      </c>
      <c r="C3334" s="944" t="s">
        <v>176</v>
      </c>
      <c r="D3334" s="943" t="s">
        <v>17</v>
      </c>
      <c r="E3334" s="945">
        <v>210</v>
      </c>
      <c r="F3334" s="945">
        <v>2</v>
      </c>
      <c r="G3334" s="946">
        <v>500</v>
      </c>
      <c r="H3334" s="946">
        <v>635.71</v>
      </c>
    </row>
    <row r="3335" spans="1:9" s="26" customFormat="1">
      <c r="A3335" s="947">
        <v>6</v>
      </c>
      <c r="B3335" s="948">
        <v>220.7</v>
      </c>
      <c r="C3335" s="948" t="s">
        <v>177</v>
      </c>
      <c r="D3335" s="947" t="s">
        <v>2</v>
      </c>
      <c r="E3335" s="950">
        <v>797</v>
      </c>
      <c r="F3335" s="950">
        <v>6</v>
      </c>
      <c r="G3335" s="951">
        <v>500</v>
      </c>
      <c r="H3335" s="951">
        <v>511.15</v>
      </c>
      <c r="I3335" s="18"/>
    </row>
    <row r="3336" spans="1:9">
      <c r="A3336" s="943">
        <v>6</v>
      </c>
      <c r="B3336" s="944">
        <v>220.8</v>
      </c>
      <c r="C3336" s="944" t="s">
        <v>178</v>
      </c>
      <c r="D3336" s="943" t="s">
        <v>2</v>
      </c>
      <c r="E3336" s="945">
        <v>119</v>
      </c>
      <c r="F3336" s="945">
        <v>3</v>
      </c>
      <c r="G3336" s="946">
        <v>990</v>
      </c>
      <c r="H3336" s="946">
        <v>1000.45</v>
      </c>
    </row>
    <row r="3337" spans="1:9" s="26" customFormat="1">
      <c r="A3337" s="947">
        <v>6</v>
      </c>
      <c r="B3337" s="948">
        <v>221</v>
      </c>
      <c r="C3337" s="948" t="s">
        <v>180</v>
      </c>
      <c r="D3337" s="947" t="s">
        <v>2</v>
      </c>
      <c r="E3337" s="950">
        <v>217</v>
      </c>
      <c r="F3337" s="950">
        <v>3</v>
      </c>
      <c r="G3337" s="951">
        <v>1119</v>
      </c>
      <c r="H3337" s="951">
        <v>1138.6300000000001</v>
      </c>
      <c r="I3337" s="18"/>
    </row>
    <row r="3338" spans="1:9">
      <c r="A3338" s="943">
        <v>6</v>
      </c>
      <c r="B3338" s="944">
        <v>221.1</v>
      </c>
      <c r="C3338" s="944" t="s">
        <v>1300</v>
      </c>
      <c r="D3338" s="943" t="s">
        <v>2</v>
      </c>
      <c r="E3338" s="945">
        <v>146</v>
      </c>
      <c r="F3338" s="945">
        <v>2</v>
      </c>
      <c r="G3338" s="946">
        <v>790</v>
      </c>
      <c r="H3338" s="946">
        <v>855</v>
      </c>
    </row>
    <row r="3339" spans="1:9" s="26" customFormat="1">
      <c r="A3339" s="947">
        <v>6</v>
      </c>
      <c r="B3339" s="948">
        <v>222</v>
      </c>
      <c r="C3339" s="948" t="s">
        <v>181</v>
      </c>
      <c r="D3339" s="947" t="s">
        <v>2</v>
      </c>
      <c r="E3339" s="950">
        <v>87</v>
      </c>
      <c r="F3339" s="950">
        <v>2</v>
      </c>
      <c r="G3339" s="951">
        <v>790</v>
      </c>
      <c r="H3339" s="951">
        <v>870</v>
      </c>
      <c r="I3339" s="18"/>
    </row>
    <row r="3340" spans="1:9">
      <c r="A3340" s="943">
        <v>6</v>
      </c>
      <c r="B3340" s="944">
        <v>222.1</v>
      </c>
      <c r="C3340" s="944" t="s">
        <v>182</v>
      </c>
      <c r="D3340" s="943" t="s">
        <v>2</v>
      </c>
      <c r="E3340" s="945">
        <v>399</v>
      </c>
      <c r="F3340" s="945">
        <v>2</v>
      </c>
      <c r="G3340" s="946">
        <v>1425</v>
      </c>
      <c r="H3340" s="946">
        <v>1338.43</v>
      </c>
    </row>
    <row r="3341" spans="1:9" s="26" customFormat="1">
      <c r="A3341" s="947">
        <v>6</v>
      </c>
      <c r="B3341" s="948">
        <v>222.3</v>
      </c>
      <c r="C3341" s="948" t="s">
        <v>29</v>
      </c>
      <c r="D3341" s="947" t="s">
        <v>2</v>
      </c>
      <c r="E3341" s="949">
        <v>2049</v>
      </c>
      <c r="F3341" s="950">
        <v>3</v>
      </c>
      <c r="G3341" s="951">
        <v>1280</v>
      </c>
      <c r="H3341" s="951">
        <v>1148.3</v>
      </c>
      <c r="I3341" s="18"/>
    </row>
    <row r="3342" spans="1:9">
      <c r="A3342" s="943">
        <v>6</v>
      </c>
      <c r="B3342" s="944">
        <v>223.1</v>
      </c>
      <c r="C3342" s="944" t="s">
        <v>184</v>
      </c>
      <c r="D3342" s="943" t="s">
        <v>2</v>
      </c>
      <c r="E3342" s="945">
        <v>208</v>
      </c>
      <c r="F3342" s="945">
        <v>1</v>
      </c>
      <c r="G3342" s="946">
        <v>100</v>
      </c>
      <c r="H3342" s="946">
        <v>86.25</v>
      </c>
    </row>
    <row r="3343" spans="1:9" s="26" customFormat="1">
      <c r="A3343" s="947">
        <v>6</v>
      </c>
      <c r="B3343" s="948">
        <v>223.2</v>
      </c>
      <c r="C3343" s="948" t="s">
        <v>185</v>
      </c>
      <c r="D3343" s="947" t="s">
        <v>2</v>
      </c>
      <c r="E3343" s="950">
        <v>359</v>
      </c>
      <c r="F3343" s="950">
        <v>3</v>
      </c>
      <c r="G3343" s="951">
        <v>100</v>
      </c>
      <c r="H3343" s="951">
        <v>82</v>
      </c>
      <c r="I3343" s="18"/>
    </row>
    <row r="3344" spans="1:9">
      <c r="A3344" s="943">
        <v>6</v>
      </c>
      <c r="B3344" s="944">
        <v>224.1</v>
      </c>
      <c r="C3344" s="944" t="s">
        <v>186</v>
      </c>
      <c r="D3344" s="943" t="s">
        <v>2</v>
      </c>
      <c r="E3344" s="945">
        <v>3</v>
      </c>
      <c r="F3344" s="945">
        <v>1</v>
      </c>
      <c r="G3344" s="946">
        <v>475</v>
      </c>
      <c r="H3344" s="946">
        <v>400</v>
      </c>
    </row>
    <row r="3345" spans="1:9" s="26" customFormat="1">
      <c r="A3345" s="947">
        <v>6</v>
      </c>
      <c r="B3345" s="948">
        <v>224.12</v>
      </c>
      <c r="C3345" s="948" t="s">
        <v>187</v>
      </c>
      <c r="D3345" s="947" t="s">
        <v>2</v>
      </c>
      <c r="E3345" s="950">
        <v>312</v>
      </c>
      <c r="F3345" s="950">
        <v>1</v>
      </c>
      <c r="G3345" s="951">
        <v>500</v>
      </c>
      <c r="H3345" s="951">
        <v>475</v>
      </c>
      <c r="I3345" s="18"/>
    </row>
    <row r="3346" spans="1:9">
      <c r="A3346" s="943">
        <v>6</v>
      </c>
      <c r="B3346" s="944">
        <v>227.3</v>
      </c>
      <c r="C3346" s="944" t="s">
        <v>189</v>
      </c>
      <c r="D3346" s="943" t="s">
        <v>4</v>
      </c>
      <c r="E3346" s="952">
        <v>1690</v>
      </c>
      <c r="F3346" s="945">
        <v>5</v>
      </c>
      <c r="G3346" s="946">
        <v>300</v>
      </c>
      <c r="H3346" s="946">
        <v>296.64999999999998</v>
      </c>
    </row>
    <row r="3347" spans="1:9" s="26" customFormat="1">
      <c r="A3347" s="947">
        <v>6</v>
      </c>
      <c r="B3347" s="948">
        <v>227.31</v>
      </c>
      <c r="C3347" s="948" t="s">
        <v>190</v>
      </c>
      <c r="D3347" s="947" t="s">
        <v>17</v>
      </c>
      <c r="E3347" s="949">
        <v>12689</v>
      </c>
      <c r="F3347" s="950">
        <v>5</v>
      </c>
      <c r="G3347" s="951">
        <v>19</v>
      </c>
      <c r="H3347" s="951">
        <v>18.850000000000001</v>
      </c>
      <c r="I3347" s="18"/>
    </row>
    <row r="3348" spans="1:9">
      <c r="A3348" s="943">
        <v>6</v>
      </c>
      <c r="B3348" s="944">
        <v>227.4</v>
      </c>
      <c r="C3348" s="944" t="s">
        <v>191</v>
      </c>
      <c r="D3348" s="943" t="s">
        <v>3</v>
      </c>
      <c r="E3348" s="945">
        <v>426</v>
      </c>
      <c r="F3348" s="945">
        <v>3</v>
      </c>
      <c r="G3348" s="946">
        <v>169.62</v>
      </c>
      <c r="H3348" s="946">
        <v>160.36000000000001</v>
      </c>
    </row>
    <row r="3349" spans="1:9" s="26" customFormat="1">
      <c r="A3349" s="947">
        <v>6</v>
      </c>
      <c r="B3349" s="948">
        <v>234.12</v>
      </c>
      <c r="C3349" s="948" t="s">
        <v>195</v>
      </c>
      <c r="D3349" s="947" t="s">
        <v>17</v>
      </c>
      <c r="E3349" s="949">
        <v>21850</v>
      </c>
      <c r="F3349" s="950">
        <v>2</v>
      </c>
      <c r="G3349" s="951">
        <v>175</v>
      </c>
      <c r="H3349" s="951">
        <v>189.86</v>
      </c>
      <c r="I3349" s="18"/>
    </row>
    <row r="3350" spans="1:9">
      <c r="A3350" s="943">
        <v>6</v>
      </c>
      <c r="B3350" s="944">
        <v>234.15</v>
      </c>
      <c r="C3350" s="944" t="s">
        <v>196</v>
      </c>
      <c r="D3350" s="943" t="s">
        <v>17</v>
      </c>
      <c r="E3350" s="952">
        <v>3000</v>
      </c>
      <c r="F3350" s="945">
        <v>1</v>
      </c>
      <c r="G3350" s="946">
        <v>225</v>
      </c>
      <c r="H3350" s="946">
        <v>224</v>
      </c>
    </row>
    <row r="3351" spans="1:9" s="26" customFormat="1">
      <c r="A3351" s="947">
        <v>6</v>
      </c>
      <c r="B3351" s="948">
        <v>234.18</v>
      </c>
      <c r="C3351" s="948" t="s">
        <v>197</v>
      </c>
      <c r="D3351" s="947" t="s">
        <v>17</v>
      </c>
      <c r="E3351" s="949">
        <v>9124</v>
      </c>
      <c r="F3351" s="950">
        <v>2</v>
      </c>
      <c r="G3351" s="951">
        <v>230</v>
      </c>
      <c r="H3351" s="951">
        <v>214.14</v>
      </c>
      <c r="I3351" s="18"/>
    </row>
    <row r="3352" spans="1:9">
      <c r="A3352" s="943">
        <v>6</v>
      </c>
      <c r="B3352" s="944">
        <v>234.24</v>
      </c>
      <c r="C3352" s="944" t="s">
        <v>198</v>
      </c>
      <c r="D3352" s="943" t="s">
        <v>17</v>
      </c>
      <c r="E3352" s="952">
        <v>10024</v>
      </c>
      <c r="F3352" s="945">
        <v>2</v>
      </c>
      <c r="G3352" s="946">
        <v>250</v>
      </c>
      <c r="H3352" s="946">
        <v>241.57</v>
      </c>
    </row>
    <row r="3353" spans="1:9" s="26" customFormat="1">
      <c r="A3353" s="947">
        <v>6</v>
      </c>
      <c r="B3353" s="948">
        <v>238.1</v>
      </c>
      <c r="C3353" s="948" t="s">
        <v>207</v>
      </c>
      <c r="D3353" s="947" t="s">
        <v>17</v>
      </c>
      <c r="E3353" s="949">
        <v>4080</v>
      </c>
      <c r="F3353" s="950">
        <v>4</v>
      </c>
      <c r="G3353" s="951">
        <v>247.5</v>
      </c>
      <c r="H3353" s="951">
        <v>240.38</v>
      </c>
      <c r="I3353" s="18"/>
    </row>
    <row r="3354" spans="1:9">
      <c r="A3354" s="943">
        <v>6</v>
      </c>
      <c r="B3354" s="944">
        <v>238.12</v>
      </c>
      <c r="C3354" s="944" t="s">
        <v>208</v>
      </c>
      <c r="D3354" s="943" t="s">
        <v>17</v>
      </c>
      <c r="E3354" s="952">
        <v>8622</v>
      </c>
      <c r="F3354" s="945">
        <v>4</v>
      </c>
      <c r="G3354" s="946">
        <v>275</v>
      </c>
      <c r="H3354" s="946">
        <v>275.8</v>
      </c>
    </row>
    <row r="3355" spans="1:9" s="26" customFormat="1">
      <c r="A3355" s="947">
        <v>6</v>
      </c>
      <c r="B3355" s="948">
        <v>241.12</v>
      </c>
      <c r="C3355" s="948" t="s">
        <v>3996</v>
      </c>
      <c r="D3355" s="947" t="s">
        <v>17</v>
      </c>
      <c r="E3355" s="949">
        <v>11494</v>
      </c>
      <c r="F3355" s="950">
        <v>3</v>
      </c>
      <c r="G3355" s="951">
        <v>177</v>
      </c>
      <c r="H3355" s="951">
        <v>179.66</v>
      </c>
      <c r="I3355" s="18"/>
    </row>
    <row r="3356" spans="1:9">
      <c r="A3356" s="943">
        <v>6</v>
      </c>
      <c r="B3356" s="944">
        <v>241.15</v>
      </c>
      <c r="C3356" s="944" t="s">
        <v>3997</v>
      </c>
      <c r="D3356" s="943" t="s">
        <v>17</v>
      </c>
      <c r="E3356" s="952">
        <v>3536</v>
      </c>
      <c r="F3356" s="945">
        <v>2</v>
      </c>
      <c r="G3356" s="946">
        <v>188</v>
      </c>
      <c r="H3356" s="946">
        <v>194.57</v>
      </c>
    </row>
    <row r="3357" spans="1:9" s="26" customFormat="1">
      <c r="A3357" s="947">
        <v>6</v>
      </c>
      <c r="B3357" s="948">
        <v>241.18</v>
      </c>
      <c r="C3357" s="948" t="s">
        <v>3998</v>
      </c>
      <c r="D3357" s="947" t="s">
        <v>17</v>
      </c>
      <c r="E3357" s="949">
        <v>4308</v>
      </c>
      <c r="F3357" s="950">
        <v>2</v>
      </c>
      <c r="G3357" s="951">
        <v>199</v>
      </c>
      <c r="H3357" s="951">
        <v>206.96</v>
      </c>
      <c r="I3357" s="18"/>
    </row>
    <row r="3358" spans="1:9">
      <c r="A3358" s="943">
        <v>6</v>
      </c>
      <c r="B3358" s="944">
        <v>242.12</v>
      </c>
      <c r="C3358" s="944" t="s">
        <v>219</v>
      </c>
      <c r="D3358" s="943" t="s">
        <v>2</v>
      </c>
      <c r="E3358" s="945">
        <v>1</v>
      </c>
      <c r="F3358" s="945">
        <v>1</v>
      </c>
      <c r="G3358" s="946">
        <v>16250</v>
      </c>
      <c r="H3358" s="946">
        <v>16250</v>
      </c>
    </row>
    <row r="3359" spans="1:9" s="26" customFormat="1">
      <c r="A3359" s="947">
        <v>6</v>
      </c>
      <c r="B3359" s="948">
        <v>242.18</v>
      </c>
      <c r="C3359" s="948" t="s">
        <v>221</v>
      </c>
      <c r="D3359" s="947" t="s">
        <v>2</v>
      </c>
      <c r="E3359" s="950">
        <v>1</v>
      </c>
      <c r="F3359" s="950">
        <v>1</v>
      </c>
      <c r="G3359" s="951">
        <v>18885</v>
      </c>
      <c r="H3359" s="951">
        <v>18885</v>
      </c>
      <c r="I3359" s="18"/>
    </row>
    <row r="3360" spans="1:9">
      <c r="A3360" s="943">
        <v>6</v>
      </c>
      <c r="B3360" s="944">
        <v>258</v>
      </c>
      <c r="C3360" s="944" t="s">
        <v>238</v>
      </c>
      <c r="D3360" s="943" t="s">
        <v>1</v>
      </c>
      <c r="E3360" s="945">
        <v>60</v>
      </c>
      <c r="F3360" s="945">
        <v>1</v>
      </c>
      <c r="G3360" s="946">
        <v>99</v>
      </c>
      <c r="H3360" s="946">
        <v>99</v>
      </c>
    </row>
    <row r="3361" spans="1:9" s="26" customFormat="1">
      <c r="A3361" s="947">
        <v>6</v>
      </c>
      <c r="B3361" s="948">
        <v>280.10000000000002</v>
      </c>
      <c r="C3361" s="948" t="s">
        <v>244</v>
      </c>
      <c r="D3361" s="947" t="s">
        <v>7</v>
      </c>
      <c r="E3361" s="950">
        <v>678</v>
      </c>
      <c r="F3361" s="950">
        <v>1</v>
      </c>
      <c r="G3361" s="951">
        <v>271</v>
      </c>
      <c r="H3361" s="951">
        <v>271</v>
      </c>
      <c r="I3361" s="18"/>
    </row>
    <row r="3362" spans="1:9">
      <c r="A3362" s="943">
        <v>6</v>
      </c>
      <c r="B3362" s="944">
        <v>302.06</v>
      </c>
      <c r="C3362" s="944" t="s">
        <v>247</v>
      </c>
      <c r="D3362" s="943" t="s">
        <v>17</v>
      </c>
      <c r="E3362" s="945">
        <v>160</v>
      </c>
      <c r="F3362" s="945">
        <v>2</v>
      </c>
      <c r="G3362" s="946">
        <v>274.5</v>
      </c>
      <c r="H3362" s="946">
        <v>268.57</v>
      </c>
    </row>
    <row r="3363" spans="1:9" s="26" customFormat="1">
      <c r="A3363" s="947">
        <v>6</v>
      </c>
      <c r="B3363" s="948">
        <v>303.06</v>
      </c>
      <c r="C3363" s="948" t="s">
        <v>251</v>
      </c>
      <c r="D3363" s="947" t="s">
        <v>17</v>
      </c>
      <c r="E3363" s="950">
        <v>725</v>
      </c>
      <c r="F3363" s="950">
        <v>2</v>
      </c>
      <c r="G3363" s="951">
        <v>288.5</v>
      </c>
      <c r="H3363" s="951">
        <v>273.7</v>
      </c>
      <c r="I3363" s="18"/>
    </row>
    <row r="3364" spans="1:9">
      <c r="A3364" s="943">
        <v>6</v>
      </c>
      <c r="B3364" s="944">
        <v>303.08</v>
      </c>
      <c r="C3364" s="944" t="s">
        <v>252</v>
      </c>
      <c r="D3364" s="943" t="s">
        <v>17</v>
      </c>
      <c r="E3364" s="945">
        <v>155</v>
      </c>
      <c r="F3364" s="945">
        <v>2</v>
      </c>
      <c r="G3364" s="946">
        <v>407.5</v>
      </c>
      <c r="H3364" s="946">
        <v>413.67</v>
      </c>
    </row>
    <row r="3365" spans="1:9" s="26" customFormat="1">
      <c r="A3365" s="947">
        <v>6</v>
      </c>
      <c r="B3365" s="948">
        <v>303.10000000000002</v>
      </c>
      <c r="C3365" s="948" t="s">
        <v>253</v>
      </c>
      <c r="D3365" s="947" t="s">
        <v>17</v>
      </c>
      <c r="E3365" s="950">
        <v>80</v>
      </c>
      <c r="F3365" s="950">
        <v>1</v>
      </c>
      <c r="G3365" s="951">
        <v>450</v>
      </c>
      <c r="H3365" s="951">
        <v>450</v>
      </c>
      <c r="I3365" s="18"/>
    </row>
    <row r="3366" spans="1:9">
      <c r="A3366" s="943">
        <v>6</v>
      </c>
      <c r="B3366" s="944">
        <v>303.12</v>
      </c>
      <c r="C3366" s="944" t="s">
        <v>254</v>
      </c>
      <c r="D3366" s="943" t="s">
        <v>17</v>
      </c>
      <c r="E3366" s="945">
        <v>225</v>
      </c>
      <c r="F3366" s="945">
        <v>1</v>
      </c>
      <c r="G3366" s="946">
        <v>350</v>
      </c>
      <c r="H3366" s="946">
        <v>291.67</v>
      </c>
    </row>
    <row r="3367" spans="1:9" s="26" customFormat="1">
      <c r="A3367" s="947">
        <v>6</v>
      </c>
      <c r="B3367" s="948">
        <v>309</v>
      </c>
      <c r="C3367" s="948" t="s">
        <v>256</v>
      </c>
      <c r="D3367" s="947" t="s">
        <v>100</v>
      </c>
      <c r="E3367" s="949">
        <v>14980</v>
      </c>
      <c r="F3367" s="950">
        <v>4</v>
      </c>
      <c r="G3367" s="951">
        <v>10</v>
      </c>
      <c r="H3367" s="951">
        <v>10.53</v>
      </c>
      <c r="I3367" s="18"/>
    </row>
    <row r="3368" spans="1:9">
      <c r="A3368" s="943">
        <v>6</v>
      </c>
      <c r="B3368" s="944">
        <v>347.1</v>
      </c>
      <c r="C3368" s="944" t="s">
        <v>260</v>
      </c>
      <c r="D3368" s="943" t="s">
        <v>17</v>
      </c>
      <c r="E3368" s="945">
        <v>620</v>
      </c>
      <c r="F3368" s="945">
        <v>2</v>
      </c>
      <c r="G3368" s="946">
        <v>250</v>
      </c>
      <c r="H3368" s="946">
        <v>246.29</v>
      </c>
    </row>
    <row r="3369" spans="1:9" s="26" customFormat="1">
      <c r="A3369" s="947">
        <v>6</v>
      </c>
      <c r="B3369" s="948">
        <v>347.2</v>
      </c>
      <c r="C3369" s="948" t="s">
        <v>261</v>
      </c>
      <c r="D3369" s="947" t="s">
        <v>17</v>
      </c>
      <c r="E3369" s="950">
        <v>500</v>
      </c>
      <c r="F3369" s="950">
        <v>1</v>
      </c>
      <c r="G3369" s="951">
        <v>153.5</v>
      </c>
      <c r="H3369" s="951">
        <v>167.4</v>
      </c>
      <c r="I3369" s="18"/>
    </row>
    <row r="3370" spans="1:9">
      <c r="A3370" s="943">
        <v>6</v>
      </c>
      <c r="B3370" s="944">
        <v>350.06</v>
      </c>
      <c r="C3370" s="944" t="s">
        <v>264</v>
      </c>
      <c r="D3370" s="943" t="s">
        <v>2</v>
      </c>
      <c r="E3370" s="945">
        <v>20</v>
      </c>
      <c r="F3370" s="945">
        <v>1</v>
      </c>
      <c r="G3370" s="946">
        <v>3500</v>
      </c>
      <c r="H3370" s="946">
        <v>3625</v>
      </c>
    </row>
    <row r="3371" spans="1:9" s="26" customFormat="1">
      <c r="A3371" s="947">
        <v>6</v>
      </c>
      <c r="B3371" s="948">
        <v>350.12</v>
      </c>
      <c r="C3371" s="948" t="s">
        <v>267</v>
      </c>
      <c r="D3371" s="947" t="s">
        <v>2</v>
      </c>
      <c r="E3371" s="950">
        <v>10</v>
      </c>
      <c r="F3371" s="950">
        <v>1</v>
      </c>
      <c r="G3371" s="951">
        <v>8500</v>
      </c>
      <c r="H3371" s="951">
        <v>8600</v>
      </c>
      <c r="I3371" s="18"/>
    </row>
    <row r="3372" spans="1:9">
      <c r="A3372" s="943">
        <v>6</v>
      </c>
      <c r="B3372" s="944">
        <v>355.06</v>
      </c>
      <c r="C3372" s="944" t="s">
        <v>1334</v>
      </c>
      <c r="D3372" s="943" t="s">
        <v>2</v>
      </c>
      <c r="E3372" s="945">
        <v>15</v>
      </c>
      <c r="F3372" s="945">
        <v>1</v>
      </c>
      <c r="G3372" s="946">
        <v>1000</v>
      </c>
      <c r="H3372" s="946">
        <v>1066.67</v>
      </c>
    </row>
    <row r="3373" spans="1:9" s="26" customFormat="1">
      <c r="A3373" s="947">
        <v>6</v>
      </c>
      <c r="B3373" s="948">
        <v>357.06</v>
      </c>
      <c r="C3373" s="948" t="s">
        <v>268</v>
      </c>
      <c r="D3373" s="947" t="s">
        <v>2</v>
      </c>
      <c r="E3373" s="950">
        <v>20</v>
      </c>
      <c r="F3373" s="950">
        <v>1</v>
      </c>
      <c r="G3373" s="951">
        <v>775</v>
      </c>
      <c r="H3373" s="951">
        <v>648.75</v>
      </c>
      <c r="I3373" s="18"/>
    </row>
    <row r="3374" spans="1:9">
      <c r="A3374" s="943">
        <v>6</v>
      </c>
      <c r="B3374" s="944">
        <v>357.08</v>
      </c>
      <c r="C3374" s="944" t="s">
        <v>269</v>
      </c>
      <c r="D3374" s="943" t="s">
        <v>2</v>
      </c>
      <c r="E3374" s="945">
        <v>12</v>
      </c>
      <c r="F3374" s="945">
        <v>1</v>
      </c>
      <c r="G3374" s="946">
        <v>750</v>
      </c>
      <c r="H3374" s="946">
        <v>605.75</v>
      </c>
    </row>
    <row r="3375" spans="1:9" s="26" customFormat="1">
      <c r="A3375" s="947">
        <v>6</v>
      </c>
      <c r="B3375" s="948">
        <v>357.12</v>
      </c>
      <c r="C3375" s="948" t="s">
        <v>271</v>
      </c>
      <c r="D3375" s="947" t="s">
        <v>2</v>
      </c>
      <c r="E3375" s="950">
        <v>24</v>
      </c>
      <c r="F3375" s="950">
        <v>1</v>
      </c>
      <c r="G3375" s="951">
        <v>800</v>
      </c>
      <c r="H3375" s="951">
        <v>698.33</v>
      </c>
      <c r="I3375" s="18"/>
    </row>
    <row r="3376" spans="1:9">
      <c r="A3376" s="943">
        <v>6</v>
      </c>
      <c r="B3376" s="944">
        <v>358</v>
      </c>
      <c r="C3376" s="944" t="s">
        <v>274</v>
      </c>
      <c r="D3376" s="943" t="s">
        <v>2</v>
      </c>
      <c r="E3376" s="952">
        <v>2284</v>
      </c>
      <c r="F3376" s="945">
        <v>6</v>
      </c>
      <c r="G3376" s="946">
        <v>336</v>
      </c>
      <c r="H3376" s="946">
        <v>327.19</v>
      </c>
    </row>
    <row r="3377" spans="1:9" s="26" customFormat="1">
      <c r="A3377" s="947">
        <v>6</v>
      </c>
      <c r="B3377" s="948">
        <v>363.1</v>
      </c>
      <c r="C3377" s="948" t="s">
        <v>276</v>
      </c>
      <c r="D3377" s="947" t="s">
        <v>2</v>
      </c>
      <c r="E3377" s="950">
        <v>124</v>
      </c>
      <c r="F3377" s="950">
        <v>2</v>
      </c>
      <c r="G3377" s="951">
        <v>825</v>
      </c>
      <c r="H3377" s="951">
        <v>1218.75</v>
      </c>
      <c r="I3377" s="18"/>
    </row>
    <row r="3378" spans="1:9">
      <c r="A3378" s="943">
        <v>6</v>
      </c>
      <c r="B3378" s="944">
        <v>369.06</v>
      </c>
      <c r="C3378" s="944" t="s">
        <v>2322</v>
      </c>
      <c r="D3378" s="943" t="s">
        <v>2</v>
      </c>
      <c r="E3378" s="945">
        <v>3</v>
      </c>
      <c r="F3378" s="945">
        <v>1</v>
      </c>
      <c r="G3378" s="946">
        <v>9750</v>
      </c>
      <c r="H3378" s="946">
        <v>8916.67</v>
      </c>
    </row>
    <row r="3379" spans="1:9" s="26" customFormat="1">
      <c r="A3379" s="947">
        <v>6</v>
      </c>
      <c r="B3379" s="948">
        <v>370.1</v>
      </c>
      <c r="C3379" s="948" t="s">
        <v>282</v>
      </c>
      <c r="D3379" s="947" t="s">
        <v>2</v>
      </c>
      <c r="E3379" s="950">
        <v>3</v>
      </c>
      <c r="F3379" s="950">
        <v>1</v>
      </c>
      <c r="G3379" s="951">
        <v>10100</v>
      </c>
      <c r="H3379" s="951">
        <v>10200</v>
      </c>
      <c r="I3379" s="18"/>
    </row>
    <row r="3380" spans="1:9">
      <c r="A3380" s="943">
        <v>6</v>
      </c>
      <c r="B3380" s="944">
        <v>370.2</v>
      </c>
      <c r="C3380" s="944" t="s">
        <v>1343</v>
      </c>
      <c r="D3380" s="943" t="s">
        <v>2</v>
      </c>
      <c r="E3380" s="945">
        <v>2</v>
      </c>
      <c r="F3380" s="945">
        <v>1</v>
      </c>
      <c r="G3380" s="946">
        <v>11700</v>
      </c>
      <c r="H3380" s="946">
        <v>8850</v>
      </c>
    </row>
    <row r="3381" spans="1:9" s="26" customFormat="1">
      <c r="A3381" s="947">
        <v>6</v>
      </c>
      <c r="B3381" s="948">
        <v>370.4</v>
      </c>
      <c r="C3381" s="948" t="s">
        <v>283</v>
      </c>
      <c r="D3381" s="947" t="s">
        <v>2</v>
      </c>
      <c r="E3381" s="950">
        <v>1</v>
      </c>
      <c r="F3381" s="950">
        <v>1</v>
      </c>
      <c r="G3381" s="951">
        <v>6500</v>
      </c>
      <c r="H3381" s="951">
        <v>6500</v>
      </c>
      <c r="I3381" s="18"/>
    </row>
    <row r="3382" spans="1:9">
      <c r="A3382" s="943">
        <v>6</v>
      </c>
      <c r="B3382" s="944">
        <v>371.06</v>
      </c>
      <c r="C3382" s="944" t="s">
        <v>285</v>
      </c>
      <c r="D3382" s="943" t="s">
        <v>2</v>
      </c>
      <c r="E3382" s="945">
        <v>25</v>
      </c>
      <c r="F3382" s="945">
        <v>2</v>
      </c>
      <c r="G3382" s="946">
        <v>700</v>
      </c>
      <c r="H3382" s="946">
        <v>1075</v>
      </c>
    </row>
    <row r="3383" spans="1:9" s="26" customFormat="1">
      <c r="A3383" s="947">
        <v>6</v>
      </c>
      <c r="B3383" s="948">
        <v>371.08</v>
      </c>
      <c r="C3383" s="948" t="s">
        <v>286</v>
      </c>
      <c r="D3383" s="947" t="s">
        <v>2</v>
      </c>
      <c r="E3383" s="950">
        <v>4</v>
      </c>
      <c r="F3383" s="950">
        <v>1</v>
      </c>
      <c r="G3383" s="951">
        <v>787.5</v>
      </c>
      <c r="H3383" s="951">
        <v>787.5</v>
      </c>
      <c r="I3383" s="18"/>
    </row>
    <row r="3384" spans="1:9">
      <c r="A3384" s="943">
        <v>6</v>
      </c>
      <c r="B3384" s="944">
        <v>371.1</v>
      </c>
      <c r="C3384" s="944" t="s">
        <v>2335</v>
      </c>
      <c r="D3384" s="943" t="s">
        <v>2</v>
      </c>
      <c r="E3384" s="945">
        <v>2</v>
      </c>
      <c r="F3384" s="945">
        <v>1</v>
      </c>
      <c r="G3384" s="946">
        <v>725</v>
      </c>
      <c r="H3384" s="946">
        <v>725</v>
      </c>
    </row>
    <row r="3385" spans="1:9" s="26" customFormat="1">
      <c r="A3385" s="947">
        <v>6</v>
      </c>
      <c r="B3385" s="948">
        <v>371.12</v>
      </c>
      <c r="C3385" s="948" t="s">
        <v>287</v>
      </c>
      <c r="D3385" s="947" t="s">
        <v>2</v>
      </c>
      <c r="E3385" s="950">
        <v>24</v>
      </c>
      <c r="F3385" s="950">
        <v>1</v>
      </c>
      <c r="G3385" s="951">
        <v>1025</v>
      </c>
      <c r="H3385" s="951">
        <v>1262.5</v>
      </c>
      <c r="I3385" s="18"/>
    </row>
    <row r="3386" spans="1:9">
      <c r="A3386" s="943">
        <v>6</v>
      </c>
      <c r="B3386" s="944">
        <v>376</v>
      </c>
      <c r="C3386" s="944" t="s">
        <v>290</v>
      </c>
      <c r="D3386" s="943" t="s">
        <v>2</v>
      </c>
      <c r="E3386" s="945">
        <v>110</v>
      </c>
      <c r="F3386" s="945">
        <v>2</v>
      </c>
      <c r="G3386" s="946">
        <v>9648</v>
      </c>
      <c r="H3386" s="946">
        <v>9479.7999999999993</v>
      </c>
    </row>
    <row r="3387" spans="1:9" s="26" customFormat="1">
      <c r="A3387" s="947">
        <v>6</v>
      </c>
      <c r="B3387" s="948">
        <v>376.2</v>
      </c>
      <c r="C3387" s="948" t="s">
        <v>292</v>
      </c>
      <c r="D3387" s="947" t="s">
        <v>2</v>
      </c>
      <c r="E3387" s="950">
        <v>20</v>
      </c>
      <c r="F3387" s="950">
        <v>2</v>
      </c>
      <c r="G3387" s="951">
        <v>5325</v>
      </c>
      <c r="H3387" s="951">
        <v>4932.0200000000004</v>
      </c>
      <c r="I3387" s="18"/>
    </row>
    <row r="3388" spans="1:9">
      <c r="A3388" s="943">
        <v>6</v>
      </c>
      <c r="B3388" s="944">
        <v>376.3</v>
      </c>
      <c r="C3388" s="944" t="s">
        <v>293</v>
      </c>
      <c r="D3388" s="943" t="s">
        <v>2</v>
      </c>
      <c r="E3388" s="945">
        <v>75</v>
      </c>
      <c r="F3388" s="945">
        <v>2</v>
      </c>
      <c r="G3388" s="946">
        <v>1000</v>
      </c>
      <c r="H3388" s="946">
        <v>870</v>
      </c>
    </row>
    <row r="3389" spans="1:9" s="26" customFormat="1">
      <c r="A3389" s="947">
        <v>6</v>
      </c>
      <c r="B3389" s="948">
        <v>376.5</v>
      </c>
      <c r="C3389" s="948" t="s">
        <v>294</v>
      </c>
      <c r="D3389" s="947" t="s">
        <v>2</v>
      </c>
      <c r="E3389" s="950">
        <v>15</v>
      </c>
      <c r="F3389" s="950">
        <v>1</v>
      </c>
      <c r="G3389" s="951">
        <v>3500</v>
      </c>
      <c r="H3389" s="951">
        <v>3044</v>
      </c>
      <c r="I3389" s="18"/>
    </row>
    <row r="3390" spans="1:9">
      <c r="A3390" s="943">
        <v>6</v>
      </c>
      <c r="B3390" s="944">
        <v>381</v>
      </c>
      <c r="C3390" s="944" t="s">
        <v>295</v>
      </c>
      <c r="D3390" s="943" t="s">
        <v>2</v>
      </c>
      <c r="E3390" s="945">
        <v>105</v>
      </c>
      <c r="F3390" s="945">
        <v>2</v>
      </c>
      <c r="G3390" s="946">
        <v>350</v>
      </c>
      <c r="H3390" s="946">
        <v>389.5</v>
      </c>
    </row>
    <row r="3391" spans="1:9" s="26" customFormat="1">
      <c r="A3391" s="947">
        <v>6</v>
      </c>
      <c r="B3391" s="948">
        <v>381.01</v>
      </c>
      <c r="C3391" s="948" t="s">
        <v>296</v>
      </c>
      <c r="D3391" s="947" t="s">
        <v>2</v>
      </c>
      <c r="E3391" s="950">
        <v>120</v>
      </c>
      <c r="F3391" s="950">
        <v>1</v>
      </c>
      <c r="G3391" s="951">
        <v>500</v>
      </c>
      <c r="H3391" s="951">
        <v>479.83</v>
      </c>
      <c r="I3391" s="18"/>
    </row>
    <row r="3392" spans="1:9">
      <c r="A3392" s="943">
        <v>6</v>
      </c>
      <c r="B3392" s="944">
        <v>381.1</v>
      </c>
      <c r="C3392" s="944" t="s">
        <v>39</v>
      </c>
      <c r="D3392" s="943" t="s">
        <v>2</v>
      </c>
      <c r="E3392" s="945">
        <v>8</v>
      </c>
      <c r="F3392" s="945">
        <v>1</v>
      </c>
      <c r="G3392" s="946">
        <v>375</v>
      </c>
      <c r="H3392" s="946">
        <v>362.5</v>
      </c>
    </row>
    <row r="3393" spans="1:9" s="26" customFormat="1">
      <c r="A3393" s="947">
        <v>6</v>
      </c>
      <c r="B3393" s="948">
        <v>381.3</v>
      </c>
      <c r="C3393" s="948" t="s">
        <v>298</v>
      </c>
      <c r="D3393" s="947" t="s">
        <v>2</v>
      </c>
      <c r="E3393" s="949">
        <v>1150</v>
      </c>
      <c r="F3393" s="950">
        <v>4</v>
      </c>
      <c r="G3393" s="951">
        <v>227</v>
      </c>
      <c r="H3393" s="951">
        <v>240.69</v>
      </c>
      <c r="I3393" s="18"/>
    </row>
    <row r="3394" spans="1:9">
      <c r="A3394" s="943">
        <v>6</v>
      </c>
      <c r="B3394" s="944">
        <v>384</v>
      </c>
      <c r="C3394" s="944" t="s">
        <v>299</v>
      </c>
      <c r="D3394" s="943" t="s">
        <v>2</v>
      </c>
      <c r="E3394" s="945">
        <v>166</v>
      </c>
      <c r="F3394" s="945">
        <v>2</v>
      </c>
      <c r="G3394" s="946">
        <v>950</v>
      </c>
      <c r="H3394" s="946">
        <v>855.11</v>
      </c>
    </row>
    <row r="3395" spans="1:9" s="26" customFormat="1">
      <c r="A3395" s="947">
        <v>6</v>
      </c>
      <c r="B3395" s="948">
        <v>384.1</v>
      </c>
      <c r="C3395" s="948" t="s">
        <v>1356</v>
      </c>
      <c r="D3395" s="947" t="s">
        <v>2</v>
      </c>
      <c r="E3395" s="950">
        <v>6</v>
      </c>
      <c r="F3395" s="950">
        <v>1</v>
      </c>
      <c r="G3395" s="951">
        <v>375</v>
      </c>
      <c r="H3395" s="951">
        <v>358.33</v>
      </c>
      <c r="I3395" s="18"/>
    </row>
    <row r="3396" spans="1:9">
      <c r="A3396" s="943">
        <v>6</v>
      </c>
      <c r="B3396" s="944">
        <v>402</v>
      </c>
      <c r="C3396" s="944" t="s">
        <v>301</v>
      </c>
      <c r="D3396" s="943" t="s">
        <v>4</v>
      </c>
      <c r="E3396" s="952">
        <v>20670</v>
      </c>
      <c r="F3396" s="945">
        <v>4</v>
      </c>
      <c r="G3396" s="946">
        <v>100.93</v>
      </c>
      <c r="H3396" s="946">
        <v>103.71</v>
      </c>
    </row>
    <row r="3397" spans="1:9" s="26" customFormat="1">
      <c r="A3397" s="947">
        <v>6</v>
      </c>
      <c r="B3397" s="948">
        <v>402.1</v>
      </c>
      <c r="C3397" s="948" t="s">
        <v>301</v>
      </c>
      <c r="D3397" s="947" t="s">
        <v>7</v>
      </c>
      <c r="E3397" s="949">
        <v>2610</v>
      </c>
      <c r="F3397" s="950">
        <v>1</v>
      </c>
      <c r="G3397" s="951">
        <v>80</v>
      </c>
      <c r="H3397" s="951">
        <v>80.33</v>
      </c>
      <c r="I3397" s="18"/>
    </row>
    <row r="3398" spans="1:9">
      <c r="A3398" s="943">
        <v>6</v>
      </c>
      <c r="B3398" s="944">
        <v>402.11</v>
      </c>
      <c r="C3398" s="944" t="s">
        <v>302</v>
      </c>
      <c r="D3398" s="943" t="s">
        <v>7</v>
      </c>
      <c r="E3398" s="952">
        <v>1010</v>
      </c>
      <c r="F3398" s="945">
        <v>1</v>
      </c>
      <c r="G3398" s="946">
        <v>90.5</v>
      </c>
      <c r="H3398" s="946">
        <v>90.5</v>
      </c>
    </row>
    <row r="3399" spans="1:9" s="26" customFormat="1">
      <c r="A3399" s="947">
        <v>6</v>
      </c>
      <c r="B3399" s="948">
        <v>415.1</v>
      </c>
      <c r="C3399" s="948" t="s">
        <v>1360</v>
      </c>
      <c r="D3399" s="947" t="s">
        <v>1</v>
      </c>
      <c r="E3399" s="949">
        <v>289200</v>
      </c>
      <c r="F3399" s="950">
        <v>2</v>
      </c>
      <c r="G3399" s="951">
        <v>16.5</v>
      </c>
      <c r="H3399" s="951">
        <v>27.67</v>
      </c>
      <c r="I3399" s="18"/>
    </row>
    <row r="3400" spans="1:9">
      <c r="A3400" s="943">
        <v>6</v>
      </c>
      <c r="B3400" s="944">
        <v>415.2</v>
      </c>
      <c r="C3400" s="944" t="s">
        <v>1361</v>
      </c>
      <c r="D3400" s="943" t="s">
        <v>1</v>
      </c>
      <c r="E3400" s="952">
        <v>164100</v>
      </c>
      <c r="F3400" s="945">
        <v>3</v>
      </c>
      <c r="G3400" s="946">
        <v>27.72</v>
      </c>
      <c r="H3400" s="946">
        <v>24.94</v>
      </c>
    </row>
    <row r="3401" spans="1:9" s="26" customFormat="1">
      <c r="A3401" s="947">
        <v>6</v>
      </c>
      <c r="B3401" s="948">
        <v>415.3</v>
      </c>
      <c r="C3401" s="948" t="s">
        <v>1230</v>
      </c>
      <c r="D3401" s="947" t="s">
        <v>1</v>
      </c>
      <c r="E3401" s="949">
        <v>193710</v>
      </c>
      <c r="F3401" s="950">
        <v>2</v>
      </c>
      <c r="G3401" s="951">
        <v>7.25</v>
      </c>
      <c r="H3401" s="951">
        <v>8.69</v>
      </c>
      <c r="I3401" s="18"/>
    </row>
    <row r="3402" spans="1:9">
      <c r="A3402" s="943">
        <v>6</v>
      </c>
      <c r="B3402" s="944">
        <v>415.4</v>
      </c>
      <c r="C3402" s="944" t="s">
        <v>1362</v>
      </c>
      <c r="D3402" s="943" t="s">
        <v>1</v>
      </c>
      <c r="E3402" s="952">
        <v>70200</v>
      </c>
      <c r="F3402" s="945">
        <v>2</v>
      </c>
      <c r="G3402" s="946">
        <v>1</v>
      </c>
      <c r="H3402" s="946">
        <v>5.75</v>
      </c>
    </row>
    <row r="3403" spans="1:9" s="26" customFormat="1">
      <c r="A3403" s="947">
        <v>6</v>
      </c>
      <c r="B3403" s="948">
        <v>431</v>
      </c>
      <c r="C3403" s="948" t="s">
        <v>27</v>
      </c>
      <c r="D3403" s="947" t="s">
        <v>1</v>
      </c>
      <c r="E3403" s="949">
        <v>6955</v>
      </c>
      <c r="F3403" s="950">
        <v>3</v>
      </c>
      <c r="G3403" s="951">
        <v>91</v>
      </c>
      <c r="H3403" s="951">
        <v>83.56</v>
      </c>
      <c r="I3403" s="18"/>
    </row>
    <row r="3404" spans="1:9">
      <c r="A3404" s="943">
        <v>6</v>
      </c>
      <c r="B3404" s="944">
        <v>440</v>
      </c>
      <c r="C3404" s="944" t="s">
        <v>305</v>
      </c>
      <c r="D3404" s="943" t="s">
        <v>100</v>
      </c>
      <c r="E3404" s="952">
        <v>343000</v>
      </c>
      <c r="F3404" s="945">
        <v>4</v>
      </c>
      <c r="G3404" s="946">
        <v>0.38</v>
      </c>
      <c r="H3404" s="946">
        <v>0.42</v>
      </c>
    </row>
    <row r="3405" spans="1:9" s="26" customFormat="1">
      <c r="A3405" s="947">
        <v>6</v>
      </c>
      <c r="B3405" s="948">
        <v>443</v>
      </c>
      <c r="C3405" s="948" t="s">
        <v>306</v>
      </c>
      <c r="D3405" s="947" t="s">
        <v>307</v>
      </c>
      <c r="E3405" s="950">
        <v>582</v>
      </c>
      <c r="F3405" s="950">
        <v>3</v>
      </c>
      <c r="G3405" s="951">
        <v>105</v>
      </c>
      <c r="H3405" s="951">
        <v>255.86</v>
      </c>
      <c r="I3405" s="18"/>
    </row>
    <row r="3406" spans="1:9">
      <c r="A3406" s="943">
        <v>6</v>
      </c>
      <c r="B3406" s="944">
        <v>450.1</v>
      </c>
      <c r="C3406" s="944" t="s">
        <v>4069</v>
      </c>
      <c r="D3406" s="943" t="s">
        <v>7</v>
      </c>
      <c r="E3406" s="952">
        <v>1200</v>
      </c>
      <c r="F3406" s="945">
        <v>1</v>
      </c>
      <c r="G3406" s="946">
        <v>185</v>
      </c>
      <c r="H3406" s="946">
        <v>185</v>
      </c>
    </row>
    <row r="3407" spans="1:9" s="26" customFormat="1">
      <c r="A3407" s="947">
        <v>6</v>
      </c>
      <c r="B3407" s="948">
        <v>450.221</v>
      </c>
      <c r="C3407" s="948" t="s">
        <v>4034</v>
      </c>
      <c r="D3407" s="947" t="s">
        <v>7</v>
      </c>
      <c r="E3407" s="949">
        <v>5000</v>
      </c>
      <c r="F3407" s="950">
        <v>1</v>
      </c>
      <c r="G3407" s="951">
        <v>185</v>
      </c>
      <c r="H3407" s="951">
        <v>185</v>
      </c>
      <c r="I3407" s="18"/>
    </row>
    <row r="3408" spans="1:9">
      <c r="A3408" s="943">
        <v>6</v>
      </c>
      <c r="B3408" s="944">
        <v>450.23</v>
      </c>
      <c r="C3408" s="944" t="s">
        <v>308</v>
      </c>
      <c r="D3408" s="943" t="s">
        <v>7</v>
      </c>
      <c r="E3408" s="952">
        <v>31950</v>
      </c>
      <c r="F3408" s="945">
        <v>2</v>
      </c>
      <c r="G3408" s="946">
        <v>148</v>
      </c>
      <c r="H3408" s="946">
        <v>152.55000000000001</v>
      </c>
    </row>
    <row r="3409" spans="1:9" s="26" customFormat="1">
      <c r="A3409" s="947">
        <v>6</v>
      </c>
      <c r="B3409" s="948">
        <v>450.23099999999999</v>
      </c>
      <c r="C3409" s="948" t="s">
        <v>1367</v>
      </c>
      <c r="D3409" s="947" t="s">
        <v>7</v>
      </c>
      <c r="E3409" s="949">
        <v>50900</v>
      </c>
      <c r="F3409" s="950">
        <v>4</v>
      </c>
      <c r="G3409" s="951">
        <v>185</v>
      </c>
      <c r="H3409" s="951">
        <v>232.58</v>
      </c>
      <c r="I3409" s="18"/>
    </row>
    <row r="3410" spans="1:9">
      <c r="A3410" s="943">
        <v>6</v>
      </c>
      <c r="B3410" s="944">
        <v>450.31</v>
      </c>
      <c r="C3410" s="944" t="s">
        <v>53</v>
      </c>
      <c r="D3410" s="943" t="s">
        <v>7</v>
      </c>
      <c r="E3410" s="952">
        <v>1130</v>
      </c>
      <c r="F3410" s="945">
        <v>2</v>
      </c>
      <c r="G3410" s="946">
        <v>229</v>
      </c>
      <c r="H3410" s="946">
        <v>221.23</v>
      </c>
    </row>
    <row r="3411" spans="1:9" s="26" customFormat="1">
      <c r="A3411" s="947">
        <v>6</v>
      </c>
      <c r="B3411" s="948">
        <v>450.32</v>
      </c>
      <c r="C3411" s="948" t="s">
        <v>309</v>
      </c>
      <c r="D3411" s="947" t="s">
        <v>7</v>
      </c>
      <c r="E3411" s="949">
        <v>61560</v>
      </c>
      <c r="F3411" s="950">
        <v>5</v>
      </c>
      <c r="G3411" s="951">
        <v>159.5</v>
      </c>
      <c r="H3411" s="951">
        <v>159.79</v>
      </c>
      <c r="I3411" s="18"/>
    </row>
    <row r="3412" spans="1:9">
      <c r="A3412" s="943">
        <v>6</v>
      </c>
      <c r="B3412" s="944">
        <v>450.42</v>
      </c>
      <c r="C3412" s="944" t="s">
        <v>37</v>
      </c>
      <c r="D3412" s="943" t="s">
        <v>7</v>
      </c>
      <c r="E3412" s="952">
        <v>111350</v>
      </c>
      <c r="F3412" s="945">
        <v>4</v>
      </c>
      <c r="G3412" s="946">
        <v>149</v>
      </c>
      <c r="H3412" s="946">
        <v>150.11000000000001</v>
      </c>
    </row>
    <row r="3413" spans="1:9" s="26" customFormat="1">
      <c r="A3413" s="947">
        <v>6</v>
      </c>
      <c r="B3413" s="948">
        <v>450.52</v>
      </c>
      <c r="C3413" s="948" t="s">
        <v>310</v>
      </c>
      <c r="D3413" s="947" t="s">
        <v>7</v>
      </c>
      <c r="E3413" s="949">
        <v>10680</v>
      </c>
      <c r="F3413" s="950">
        <v>1</v>
      </c>
      <c r="G3413" s="951">
        <v>140.5</v>
      </c>
      <c r="H3413" s="951">
        <v>142.83000000000001</v>
      </c>
      <c r="I3413" s="18"/>
    </row>
    <row r="3414" spans="1:9">
      <c r="A3414" s="943">
        <v>6</v>
      </c>
      <c r="B3414" s="944">
        <v>450.601</v>
      </c>
      <c r="C3414" s="944" t="s">
        <v>1373</v>
      </c>
      <c r="D3414" s="943" t="s">
        <v>7</v>
      </c>
      <c r="E3414" s="952">
        <v>1480</v>
      </c>
      <c r="F3414" s="945">
        <v>2</v>
      </c>
      <c r="G3414" s="946">
        <v>285</v>
      </c>
      <c r="H3414" s="946">
        <v>306.25</v>
      </c>
    </row>
    <row r="3415" spans="1:9" s="26" customFormat="1">
      <c r="A3415" s="947">
        <v>6</v>
      </c>
      <c r="B3415" s="948">
        <v>450.70100000000002</v>
      </c>
      <c r="C3415" s="948" t="s">
        <v>1375</v>
      </c>
      <c r="D3415" s="947" t="s">
        <v>7</v>
      </c>
      <c r="E3415" s="950">
        <v>780</v>
      </c>
      <c r="F3415" s="950">
        <v>1</v>
      </c>
      <c r="G3415" s="951">
        <v>282.5</v>
      </c>
      <c r="H3415" s="951">
        <v>313.33</v>
      </c>
      <c r="I3415" s="18"/>
    </row>
    <row r="3416" spans="1:9">
      <c r="A3416" s="943">
        <v>6</v>
      </c>
      <c r="B3416" s="944">
        <v>451</v>
      </c>
      <c r="C3416" s="944" t="s">
        <v>36</v>
      </c>
      <c r="D3416" s="943" t="s">
        <v>7</v>
      </c>
      <c r="E3416" s="952">
        <v>7167</v>
      </c>
      <c r="F3416" s="945">
        <v>9</v>
      </c>
      <c r="G3416" s="946">
        <v>293</v>
      </c>
      <c r="H3416" s="946">
        <v>305.20999999999998</v>
      </c>
    </row>
    <row r="3417" spans="1:9" s="26" customFormat="1">
      <c r="A3417" s="947">
        <v>6</v>
      </c>
      <c r="B3417" s="948">
        <v>452</v>
      </c>
      <c r="C3417" s="948" t="s">
        <v>31</v>
      </c>
      <c r="D3417" s="947" t="s">
        <v>20</v>
      </c>
      <c r="E3417" s="949">
        <v>96790</v>
      </c>
      <c r="F3417" s="950">
        <v>6</v>
      </c>
      <c r="G3417" s="951">
        <v>10</v>
      </c>
      <c r="H3417" s="951">
        <v>9.74</v>
      </c>
      <c r="I3417" s="18"/>
    </row>
    <row r="3418" spans="1:9">
      <c r="A3418" s="943">
        <v>6</v>
      </c>
      <c r="B3418" s="944">
        <v>453</v>
      </c>
      <c r="C3418" s="944" t="s">
        <v>3962</v>
      </c>
      <c r="D3418" s="943" t="s">
        <v>17</v>
      </c>
      <c r="E3418" s="952">
        <v>239130</v>
      </c>
      <c r="F3418" s="945">
        <v>6</v>
      </c>
      <c r="G3418" s="946">
        <v>1.05</v>
      </c>
      <c r="H3418" s="946">
        <v>1.49</v>
      </c>
    </row>
    <row r="3419" spans="1:9" s="26" customFormat="1">
      <c r="A3419" s="947">
        <v>6</v>
      </c>
      <c r="B3419" s="948">
        <v>457.1</v>
      </c>
      <c r="C3419" s="948" t="s">
        <v>1378</v>
      </c>
      <c r="D3419" s="947" t="s">
        <v>7</v>
      </c>
      <c r="E3419" s="950">
        <v>500</v>
      </c>
      <c r="F3419" s="950">
        <v>1</v>
      </c>
      <c r="G3419" s="951">
        <v>500</v>
      </c>
      <c r="H3419" s="951">
        <v>500</v>
      </c>
      <c r="I3419" s="18"/>
    </row>
    <row r="3420" spans="1:9">
      <c r="A3420" s="943">
        <v>6</v>
      </c>
      <c r="B3420" s="944">
        <v>457.2</v>
      </c>
      <c r="C3420" s="944" t="s">
        <v>1379</v>
      </c>
      <c r="D3420" s="943" t="s">
        <v>7</v>
      </c>
      <c r="E3420" s="952">
        <v>1000</v>
      </c>
      <c r="F3420" s="945">
        <v>1</v>
      </c>
      <c r="G3420" s="946">
        <v>500</v>
      </c>
      <c r="H3420" s="946">
        <v>500</v>
      </c>
    </row>
    <row r="3421" spans="1:9" s="26" customFormat="1">
      <c r="A3421" s="947">
        <v>6</v>
      </c>
      <c r="B3421" s="948">
        <v>470</v>
      </c>
      <c r="C3421" s="948" t="s">
        <v>1382</v>
      </c>
      <c r="D3421" s="947" t="s">
        <v>7</v>
      </c>
      <c r="E3421" s="950">
        <v>22</v>
      </c>
      <c r="F3421" s="950">
        <v>2</v>
      </c>
      <c r="G3421" s="951">
        <v>700</v>
      </c>
      <c r="H3421" s="951">
        <v>677</v>
      </c>
      <c r="I3421" s="18"/>
    </row>
    <row r="3422" spans="1:9">
      <c r="A3422" s="943">
        <v>6</v>
      </c>
      <c r="B3422" s="944">
        <v>472</v>
      </c>
      <c r="C3422" s="944" t="s">
        <v>1383</v>
      </c>
      <c r="D3422" s="943" t="s">
        <v>7</v>
      </c>
      <c r="E3422" s="952">
        <v>12437</v>
      </c>
      <c r="F3422" s="945">
        <v>9</v>
      </c>
      <c r="G3422" s="946">
        <v>283.5</v>
      </c>
      <c r="H3422" s="946">
        <v>265.89999999999998</v>
      </c>
    </row>
    <row r="3423" spans="1:9" s="26" customFormat="1">
      <c r="A3423" s="947">
        <v>6</v>
      </c>
      <c r="B3423" s="948">
        <v>476</v>
      </c>
      <c r="C3423" s="948" t="s">
        <v>316</v>
      </c>
      <c r="D3423" s="947" t="s">
        <v>1</v>
      </c>
      <c r="E3423" s="949">
        <v>1500</v>
      </c>
      <c r="F3423" s="950">
        <v>1</v>
      </c>
      <c r="G3423" s="951">
        <v>166.5</v>
      </c>
      <c r="H3423" s="951">
        <v>165.5</v>
      </c>
      <c r="I3423" s="18"/>
    </row>
    <row r="3424" spans="1:9">
      <c r="A3424" s="943">
        <v>6</v>
      </c>
      <c r="B3424" s="944">
        <v>477</v>
      </c>
      <c r="C3424" s="944" t="s">
        <v>1384</v>
      </c>
      <c r="D3424" s="943" t="s">
        <v>17</v>
      </c>
      <c r="E3424" s="952">
        <v>9000</v>
      </c>
      <c r="F3424" s="945">
        <v>1</v>
      </c>
      <c r="G3424" s="946">
        <v>2.4</v>
      </c>
      <c r="H3424" s="946">
        <v>2.4</v>
      </c>
    </row>
    <row r="3425" spans="1:9" s="26" customFormat="1">
      <c r="A3425" s="947">
        <v>6</v>
      </c>
      <c r="B3425" s="948">
        <v>480.2</v>
      </c>
      <c r="C3425" s="948" t="s">
        <v>4002</v>
      </c>
      <c r="D3425" s="947" t="s">
        <v>20</v>
      </c>
      <c r="E3425" s="949">
        <v>2340</v>
      </c>
      <c r="F3425" s="950">
        <v>1</v>
      </c>
      <c r="G3425" s="951">
        <v>17.5</v>
      </c>
      <c r="H3425" s="951">
        <v>17.5</v>
      </c>
      <c r="I3425" s="18"/>
    </row>
    <row r="3426" spans="1:9">
      <c r="A3426" s="943">
        <v>6</v>
      </c>
      <c r="B3426" s="944">
        <v>482.31</v>
      </c>
      <c r="C3426" s="944" t="s">
        <v>4038</v>
      </c>
      <c r="D3426" s="943" t="s">
        <v>17</v>
      </c>
      <c r="E3426" s="945">
        <v>840</v>
      </c>
      <c r="F3426" s="945">
        <v>1</v>
      </c>
      <c r="G3426" s="946">
        <v>36.5</v>
      </c>
      <c r="H3426" s="946">
        <v>30.67</v>
      </c>
    </row>
    <row r="3427" spans="1:9" s="26" customFormat="1">
      <c r="A3427" s="947">
        <v>6</v>
      </c>
      <c r="B3427" s="948">
        <v>482.4</v>
      </c>
      <c r="C3427" s="948" t="s">
        <v>321</v>
      </c>
      <c r="D3427" s="947" t="s">
        <v>17</v>
      </c>
      <c r="E3427" s="949">
        <v>2000</v>
      </c>
      <c r="F3427" s="950">
        <v>2</v>
      </c>
      <c r="G3427" s="951">
        <v>11</v>
      </c>
      <c r="H3427" s="951">
        <v>11.33</v>
      </c>
      <c r="I3427" s="18"/>
    </row>
    <row r="3428" spans="1:9">
      <c r="A3428" s="943">
        <v>6</v>
      </c>
      <c r="B3428" s="944">
        <v>482.5</v>
      </c>
      <c r="C3428" s="944" t="s">
        <v>43</v>
      </c>
      <c r="D3428" s="943" t="s">
        <v>17</v>
      </c>
      <c r="E3428" s="952">
        <v>35500</v>
      </c>
      <c r="F3428" s="945">
        <v>3</v>
      </c>
      <c r="G3428" s="946">
        <v>5</v>
      </c>
      <c r="H3428" s="946">
        <v>5.5</v>
      </c>
    </row>
    <row r="3429" spans="1:9" s="26" customFormat="1">
      <c r="A3429" s="947">
        <v>6</v>
      </c>
      <c r="B3429" s="948">
        <v>501</v>
      </c>
      <c r="C3429" s="948" t="s">
        <v>1391</v>
      </c>
      <c r="D3429" s="947" t="s">
        <v>17</v>
      </c>
      <c r="E3429" s="950">
        <v>100</v>
      </c>
      <c r="F3429" s="950">
        <v>1</v>
      </c>
      <c r="G3429" s="951">
        <v>190</v>
      </c>
      <c r="H3429" s="951">
        <v>190</v>
      </c>
      <c r="I3429" s="18"/>
    </row>
    <row r="3430" spans="1:9">
      <c r="A3430" s="943">
        <v>6</v>
      </c>
      <c r="B3430" s="944">
        <v>501.1</v>
      </c>
      <c r="C3430" s="944" t="s">
        <v>2387</v>
      </c>
      <c r="D3430" s="943" t="s">
        <v>17</v>
      </c>
      <c r="E3430" s="945">
        <v>50</v>
      </c>
      <c r="F3430" s="945">
        <v>1</v>
      </c>
      <c r="G3430" s="946">
        <v>210</v>
      </c>
      <c r="H3430" s="946">
        <v>210</v>
      </c>
    </row>
    <row r="3431" spans="1:9" s="26" customFormat="1">
      <c r="A3431" s="947">
        <v>6</v>
      </c>
      <c r="B3431" s="948">
        <v>503</v>
      </c>
      <c r="C3431" s="948" t="s">
        <v>323</v>
      </c>
      <c r="D3431" s="947" t="s">
        <v>17</v>
      </c>
      <c r="E3431" s="949">
        <v>15600</v>
      </c>
      <c r="F3431" s="950">
        <v>1</v>
      </c>
      <c r="G3431" s="951">
        <v>88</v>
      </c>
      <c r="H3431" s="951">
        <v>86</v>
      </c>
      <c r="I3431" s="18"/>
    </row>
    <row r="3432" spans="1:9">
      <c r="A3432" s="943">
        <v>6</v>
      </c>
      <c r="B3432" s="944">
        <v>503.1</v>
      </c>
      <c r="C3432" s="944" t="s">
        <v>324</v>
      </c>
      <c r="D3432" s="943" t="s">
        <v>17</v>
      </c>
      <c r="E3432" s="952">
        <v>1260</v>
      </c>
      <c r="F3432" s="945">
        <v>1</v>
      </c>
      <c r="G3432" s="946">
        <v>95.5</v>
      </c>
      <c r="H3432" s="946">
        <v>96.67</v>
      </c>
    </row>
    <row r="3433" spans="1:9" s="26" customFormat="1">
      <c r="A3433" s="947">
        <v>6</v>
      </c>
      <c r="B3433" s="948">
        <v>504</v>
      </c>
      <c r="C3433" s="948" t="s">
        <v>325</v>
      </c>
      <c r="D3433" s="947" t="s">
        <v>17</v>
      </c>
      <c r="E3433" s="949">
        <v>53710</v>
      </c>
      <c r="F3433" s="950">
        <v>4</v>
      </c>
      <c r="G3433" s="951">
        <v>75</v>
      </c>
      <c r="H3433" s="951">
        <v>81.900000000000006</v>
      </c>
      <c r="I3433" s="18"/>
    </row>
    <row r="3434" spans="1:9">
      <c r="A3434" s="943">
        <v>6</v>
      </c>
      <c r="B3434" s="944">
        <v>504.1</v>
      </c>
      <c r="C3434" s="944" t="s">
        <v>326</v>
      </c>
      <c r="D3434" s="943" t="s">
        <v>17</v>
      </c>
      <c r="E3434" s="952">
        <v>22920</v>
      </c>
      <c r="F3434" s="945">
        <v>3</v>
      </c>
      <c r="G3434" s="946">
        <v>88.5</v>
      </c>
      <c r="H3434" s="946">
        <v>92.5</v>
      </c>
    </row>
    <row r="3435" spans="1:9" s="26" customFormat="1">
      <c r="A3435" s="947">
        <v>6</v>
      </c>
      <c r="B3435" s="948">
        <v>505</v>
      </c>
      <c r="C3435" s="948" t="s">
        <v>328</v>
      </c>
      <c r="D3435" s="947" t="s">
        <v>17</v>
      </c>
      <c r="E3435" s="950">
        <v>450</v>
      </c>
      <c r="F3435" s="950">
        <v>1</v>
      </c>
      <c r="G3435" s="951">
        <v>100</v>
      </c>
      <c r="H3435" s="951">
        <v>105.6</v>
      </c>
      <c r="I3435" s="18"/>
    </row>
    <row r="3436" spans="1:9">
      <c r="A3436" s="943">
        <v>6</v>
      </c>
      <c r="B3436" s="944">
        <v>506</v>
      </c>
      <c r="C3436" s="944" t="s">
        <v>40</v>
      </c>
      <c r="D3436" s="943" t="s">
        <v>17</v>
      </c>
      <c r="E3436" s="952">
        <v>16000</v>
      </c>
      <c r="F3436" s="945">
        <v>1</v>
      </c>
      <c r="G3436" s="946">
        <v>71.5</v>
      </c>
      <c r="H3436" s="946">
        <v>72.23</v>
      </c>
    </row>
    <row r="3437" spans="1:9" s="26" customFormat="1">
      <c r="A3437" s="947">
        <v>6</v>
      </c>
      <c r="B3437" s="948">
        <v>506.1</v>
      </c>
      <c r="C3437" s="948" t="s">
        <v>41</v>
      </c>
      <c r="D3437" s="947" t="s">
        <v>17</v>
      </c>
      <c r="E3437" s="949">
        <v>4000</v>
      </c>
      <c r="F3437" s="950">
        <v>1</v>
      </c>
      <c r="G3437" s="951">
        <v>83.05</v>
      </c>
      <c r="H3437" s="951">
        <v>84.52</v>
      </c>
      <c r="I3437" s="18"/>
    </row>
    <row r="3438" spans="1:9">
      <c r="A3438" s="943">
        <v>6</v>
      </c>
      <c r="B3438" s="944">
        <v>509</v>
      </c>
      <c r="C3438" s="944" t="s">
        <v>1394</v>
      </c>
      <c r="D3438" s="943" t="s">
        <v>17</v>
      </c>
      <c r="E3438" s="952">
        <v>14430</v>
      </c>
      <c r="F3438" s="945">
        <v>4</v>
      </c>
      <c r="G3438" s="946">
        <v>85</v>
      </c>
      <c r="H3438" s="946">
        <v>82.83</v>
      </c>
    </row>
    <row r="3439" spans="1:9" s="26" customFormat="1">
      <c r="A3439" s="947">
        <v>6</v>
      </c>
      <c r="B3439" s="948">
        <v>509.1</v>
      </c>
      <c r="C3439" s="948" t="s">
        <v>1395</v>
      </c>
      <c r="D3439" s="947" t="s">
        <v>17</v>
      </c>
      <c r="E3439" s="949">
        <v>16000</v>
      </c>
      <c r="F3439" s="950">
        <v>4</v>
      </c>
      <c r="G3439" s="951">
        <v>100</v>
      </c>
      <c r="H3439" s="951">
        <v>99.32</v>
      </c>
      <c r="I3439" s="18"/>
    </row>
    <row r="3440" spans="1:9">
      <c r="A3440" s="943">
        <v>6</v>
      </c>
      <c r="B3440" s="944">
        <v>514</v>
      </c>
      <c r="C3440" s="944" t="s">
        <v>38</v>
      </c>
      <c r="D3440" s="943" t="s">
        <v>2</v>
      </c>
      <c r="E3440" s="945">
        <v>322</v>
      </c>
      <c r="F3440" s="945">
        <v>5</v>
      </c>
      <c r="G3440" s="946">
        <v>795</v>
      </c>
      <c r="H3440" s="946">
        <v>778.65</v>
      </c>
    </row>
    <row r="3441" spans="1:9" s="26" customFormat="1">
      <c r="A3441" s="947">
        <v>6</v>
      </c>
      <c r="B3441" s="948">
        <v>515</v>
      </c>
      <c r="C3441" s="948" t="s">
        <v>45</v>
      </c>
      <c r="D3441" s="947" t="s">
        <v>2</v>
      </c>
      <c r="E3441" s="950">
        <v>45</v>
      </c>
      <c r="F3441" s="950">
        <v>2</v>
      </c>
      <c r="G3441" s="951">
        <v>950</v>
      </c>
      <c r="H3441" s="951">
        <v>895.56</v>
      </c>
      <c r="I3441" s="18"/>
    </row>
    <row r="3442" spans="1:9">
      <c r="A3442" s="943">
        <v>6</v>
      </c>
      <c r="B3442" s="944">
        <v>516</v>
      </c>
      <c r="C3442" s="944" t="s">
        <v>47</v>
      </c>
      <c r="D3442" s="943" t="s">
        <v>2</v>
      </c>
      <c r="E3442" s="952">
        <v>1019</v>
      </c>
      <c r="F3442" s="945">
        <v>3</v>
      </c>
      <c r="G3442" s="946">
        <v>571.5</v>
      </c>
      <c r="H3442" s="946">
        <v>520.79999999999995</v>
      </c>
    </row>
    <row r="3443" spans="1:9" s="26" customFormat="1">
      <c r="A3443" s="947">
        <v>6</v>
      </c>
      <c r="B3443" s="948">
        <v>520.11</v>
      </c>
      <c r="C3443" s="948" t="s">
        <v>2396</v>
      </c>
      <c r="D3443" s="947" t="s">
        <v>17</v>
      </c>
      <c r="E3443" s="950">
        <v>300</v>
      </c>
      <c r="F3443" s="950">
        <v>1</v>
      </c>
      <c r="G3443" s="951">
        <v>125</v>
      </c>
      <c r="H3443" s="951">
        <v>125</v>
      </c>
      <c r="I3443" s="18"/>
    </row>
    <row r="3444" spans="1:9">
      <c r="A3444" s="943">
        <v>6</v>
      </c>
      <c r="B3444" s="944">
        <v>570.29999999999995</v>
      </c>
      <c r="C3444" s="944" t="s">
        <v>339</v>
      </c>
      <c r="D3444" s="943" t="s">
        <v>17</v>
      </c>
      <c r="E3444" s="945">
        <v>500</v>
      </c>
      <c r="F3444" s="945">
        <v>1</v>
      </c>
      <c r="G3444" s="946">
        <v>19</v>
      </c>
      <c r="H3444" s="946">
        <v>17.399999999999999</v>
      </c>
    </row>
    <row r="3445" spans="1:9" s="26" customFormat="1">
      <c r="A3445" s="947">
        <v>6</v>
      </c>
      <c r="B3445" s="948">
        <v>580</v>
      </c>
      <c r="C3445" s="948" t="s">
        <v>56</v>
      </c>
      <c r="D3445" s="947" t="s">
        <v>17</v>
      </c>
      <c r="E3445" s="949">
        <v>110855</v>
      </c>
      <c r="F3445" s="950">
        <v>7</v>
      </c>
      <c r="G3445" s="951">
        <v>45</v>
      </c>
      <c r="H3445" s="951">
        <v>47.12</v>
      </c>
      <c r="I3445" s="18"/>
    </row>
    <row r="3446" spans="1:9">
      <c r="A3446" s="943">
        <v>6</v>
      </c>
      <c r="B3446" s="944">
        <v>581</v>
      </c>
      <c r="C3446" s="944" t="s">
        <v>340</v>
      </c>
      <c r="D3446" s="943" t="s">
        <v>2</v>
      </c>
      <c r="E3446" s="945">
        <v>27</v>
      </c>
      <c r="F3446" s="945">
        <v>2</v>
      </c>
      <c r="G3446" s="946">
        <v>300</v>
      </c>
      <c r="H3446" s="946">
        <v>244.4</v>
      </c>
    </row>
    <row r="3447" spans="1:9" s="26" customFormat="1">
      <c r="A3447" s="947">
        <v>6</v>
      </c>
      <c r="B3447" s="948">
        <v>582</v>
      </c>
      <c r="C3447" s="948" t="s">
        <v>341</v>
      </c>
      <c r="D3447" s="947" t="s">
        <v>2</v>
      </c>
      <c r="E3447" s="950">
        <v>282</v>
      </c>
      <c r="F3447" s="950">
        <v>2</v>
      </c>
      <c r="G3447" s="951">
        <v>117</v>
      </c>
      <c r="H3447" s="951">
        <v>124.5</v>
      </c>
      <c r="I3447" s="18"/>
    </row>
    <row r="3448" spans="1:9">
      <c r="A3448" s="943">
        <v>6</v>
      </c>
      <c r="B3448" s="944">
        <v>583</v>
      </c>
      <c r="C3448" s="944" t="s">
        <v>342</v>
      </c>
      <c r="D3448" s="943" t="s">
        <v>17</v>
      </c>
      <c r="E3448" s="945">
        <v>55</v>
      </c>
      <c r="F3448" s="945">
        <v>2</v>
      </c>
      <c r="G3448" s="946">
        <v>40</v>
      </c>
      <c r="H3448" s="946">
        <v>35</v>
      </c>
    </row>
    <row r="3449" spans="1:9" s="26" customFormat="1">
      <c r="A3449" s="947">
        <v>6</v>
      </c>
      <c r="B3449" s="948">
        <v>591</v>
      </c>
      <c r="C3449" s="948" t="s">
        <v>344</v>
      </c>
      <c r="D3449" s="947" t="s">
        <v>2</v>
      </c>
      <c r="E3449" s="950">
        <v>6</v>
      </c>
      <c r="F3449" s="950">
        <v>1</v>
      </c>
      <c r="G3449" s="951">
        <v>62.5</v>
      </c>
      <c r="H3449" s="951">
        <v>56.67</v>
      </c>
      <c r="I3449" s="18"/>
    </row>
    <row r="3450" spans="1:9">
      <c r="A3450" s="943">
        <v>6</v>
      </c>
      <c r="B3450" s="944">
        <v>592</v>
      </c>
      <c r="C3450" s="944" t="s">
        <v>345</v>
      </c>
      <c r="D3450" s="943" t="s">
        <v>2</v>
      </c>
      <c r="E3450" s="945">
        <v>30</v>
      </c>
      <c r="F3450" s="945">
        <v>1</v>
      </c>
      <c r="G3450" s="946">
        <v>350</v>
      </c>
      <c r="H3450" s="946">
        <v>400</v>
      </c>
    </row>
    <row r="3451" spans="1:9" s="26" customFormat="1">
      <c r="A3451" s="947">
        <v>6</v>
      </c>
      <c r="B3451" s="948">
        <v>594</v>
      </c>
      <c r="C3451" s="948" t="s">
        <v>346</v>
      </c>
      <c r="D3451" s="947" t="s">
        <v>17</v>
      </c>
      <c r="E3451" s="949">
        <v>25300</v>
      </c>
      <c r="F3451" s="950">
        <v>4</v>
      </c>
      <c r="G3451" s="951">
        <v>8</v>
      </c>
      <c r="H3451" s="951">
        <v>7.23</v>
      </c>
      <c r="I3451" s="18"/>
    </row>
    <row r="3452" spans="1:9">
      <c r="A3452" s="943">
        <v>6</v>
      </c>
      <c r="B3452" s="944">
        <v>596</v>
      </c>
      <c r="C3452" s="944" t="s">
        <v>348</v>
      </c>
      <c r="D3452" s="943" t="s">
        <v>2</v>
      </c>
      <c r="E3452" s="945">
        <v>100</v>
      </c>
      <c r="F3452" s="945">
        <v>1</v>
      </c>
      <c r="G3452" s="946">
        <v>20</v>
      </c>
      <c r="H3452" s="946">
        <v>21.25</v>
      </c>
    </row>
    <row r="3453" spans="1:9" s="26" customFormat="1">
      <c r="A3453" s="947">
        <v>6</v>
      </c>
      <c r="B3453" s="948">
        <v>628.23</v>
      </c>
      <c r="C3453" s="948" t="s">
        <v>1412</v>
      </c>
      <c r="D3453" s="947" t="s">
        <v>2</v>
      </c>
      <c r="E3453" s="950">
        <v>2</v>
      </c>
      <c r="F3453" s="950">
        <v>1</v>
      </c>
      <c r="G3453" s="951">
        <v>25000</v>
      </c>
      <c r="H3453" s="951">
        <v>27250</v>
      </c>
      <c r="I3453" s="18"/>
    </row>
    <row r="3454" spans="1:9">
      <c r="A3454" s="943">
        <v>6</v>
      </c>
      <c r="B3454" s="944">
        <v>628.30499999999995</v>
      </c>
      <c r="C3454" s="944" t="s">
        <v>2413</v>
      </c>
      <c r="D3454" s="943" t="s">
        <v>2</v>
      </c>
      <c r="E3454" s="945">
        <v>20</v>
      </c>
      <c r="F3454" s="945">
        <v>1</v>
      </c>
      <c r="G3454" s="946">
        <v>12000</v>
      </c>
      <c r="H3454" s="946">
        <v>12640</v>
      </c>
    </row>
    <row r="3455" spans="1:9" s="26" customFormat="1">
      <c r="A3455" s="947">
        <v>6</v>
      </c>
      <c r="B3455" s="948">
        <v>628.31200000000001</v>
      </c>
      <c r="C3455" s="948" t="s">
        <v>2414</v>
      </c>
      <c r="D3455" s="947" t="s">
        <v>2</v>
      </c>
      <c r="E3455" s="950">
        <v>8</v>
      </c>
      <c r="F3455" s="950">
        <v>1</v>
      </c>
      <c r="G3455" s="951">
        <v>34000</v>
      </c>
      <c r="H3455" s="951">
        <v>32625</v>
      </c>
      <c r="I3455" s="18"/>
    </row>
    <row r="3456" spans="1:9">
      <c r="A3456" s="943">
        <v>6</v>
      </c>
      <c r="B3456" s="944">
        <v>628.31399999999996</v>
      </c>
      <c r="C3456" s="944" t="s">
        <v>2416</v>
      </c>
      <c r="D3456" s="943" t="s">
        <v>2</v>
      </c>
      <c r="E3456" s="945">
        <v>12</v>
      </c>
      <c r="F3456" s="945">
        <v>1</v>
      </c>
      <c r="G3456" s="946">
        <v>7750</v>
      </c>
      <c r="H3456" s="946">
        <v>7750</v>
      </c>
    </row>
    <row r="3457" spans="1:9" s="26" customFormat="1">
      <c r="A3457" s="947">
        <v>6</v>
      </c>
      <c r="B3457" s="948">
        <v>628.31500000000005</v>
      </c>
      <c r="C3457" s="948" t="s">
        <v>2417</v>
      </c>
      <c r="D3457" s="947" t="s">
        <v>2</v>
      </c>
      <c r="E3457" s="950">
        <v>3</v>
      </c>
      <c r="F3457" s="950">
        <v>1</v>
      </c>
      <c r="G3457" s="951">
        <v>19050</v>
      </c>
      <c r="H3457" s="951">
        <v>16275</v>
      </c>
      <c r="I3457" s="18"/>
    </row>
    <row r="3458" spans="1:9">
      <c r="A3458" s="943">
        <v>6</v>
      </c>
      <c r="B3458" s="944">
        <v>628.32000000000005</v>
      </c>
      <c r="C3458" s="944" t="s">
        <v>4003</v>
      </c>
      <c r="D3458" s="943" t="s">
        <v>2</v>
      </c>
      <c r="E3458" s="945">
        <v>3</v>
      </c>
      <c r="F3458" s="945">
        <v>1</v>
      </c>
      <c r="G3458" s="946">
        <v>9800</v>
      </c>
      <c r="H3458" s="946">
        <v>9073.9</v>
      </c>
    </row>
    <row r="3459" spans="1:9" s="26" customFormat="1">
      <c r="A3459" s="947">
        <v>6</v>
      </c>
      <c r="B3459" s="948">
        <v>628.4</v>
      </c>
      <c r="C3459" s="948" t="s">
        <v>3901</v>
      </c>
      <c r="D3459" s="947" t="s">
        <v>2</v>
      </c>
      <c r="E3459" s="950">
        <v>12</v>
      </c>
      <c r="F3459" s="950">
        <v>2</v>
      </c>
      <c r="G3459" s="951">
        <v>2990</v>
      </c>
      <c r="H3459" s="951">
        <v>2805.1</v>
      </c>
      <c r="I3459" s="18"/>
    </row>
    <row r="3460" spans="1:9">
      <c r="A3460" s="943">
        <v>6</v>
      </c>
      <c r="B3460" s="944">
        <v>629.1</v>
      </c>
      <c r="C3460" s="944" t="s">
        <v>353</v>
      </c>
      <c r="D3460" s="943" t="s">
        <v>17</v>
      </c>
      <c r="E3460" s="945">
        <v>900</v>
      </c>
      <c r="F3460" s="945">
        <v>1</v>
      </c>
      <c r="G3460" s="946">
        <v>285</v>
      </c>
      <c r="H3460" s="946">
        <v>331.5</v>
      </c>
    </row>
    <row r="3461" spans="1:9" s="26" customFormat="1">
      <c r="A3461" s="947">
        <v>6</v>
      </c>
      <c r="B3461" s="948">
        <v>629.20000000000005</v>
      </c>
      <c r="C3461" s="948" t="s">
        <v>354</v>
      </c>
      <c r="D3461" s="947" t="s">
        <v>17</v>
      </c>
      <c r="E3461" s="950">
        <v>500</v>
      </c>
      <c r="F3461" s="950">
        <v>1</v>
      </c>
      <c r="G3461" s="951">
        <v>342</v>
      </c>
      <c r="H3461" s="951">
        <v>342</v>
      </c>
      <c r="I3461" s="18"/>
    </row>
    <row r="3462" spans="1:9">
      <c r="A3462" s="943">
        <v>6</v>
      </c>
      <c r="B3462" s="944">
        <v>629.4</v>
      </c>
      <c r="C3462" s="944" t="s">
        <v>355</v>
      </c>
      <c r="D3462" s="943" t="s">
        <v>17</v>
      </c>
      <c r="E3462" s="952">
        <v>1720</v>
      </c>
      <c r="F3462" s="945">
        <v>1</v>
      </c>
      <c r="G3462" s="946">
        <v>825</v>
      </c>
      <c r="H3462" s="946">
        <v>825</v>
      </c>
    </row>
    <row r="3463" spans="1:9" s="26" customFormat="1">
      <c r="A3463" s="947">
        <v>6</v>
      </c>
      <c r="B3463" s="948">
        <v>630</v>
      </c>
      <c r="C3463" s="948" t="s">
        <v>356</v>
      </c>
      <c r="D3463" s="947" t="s">
        <v>17</v>
      </c>
      <c r="E3463" s="950">
        <v>120</v>
      </c>
      <c r="F3463" s="950">
        <v>1</v>
      </c>
      <c r="G3463" s="951">
        <v>165</v>
      </c>
      <c r="H3463" s="951">
        <v>165</v>
      </c>
      <c r="I3463" s="18"/>
    </row>
    <row r="3464" spans="1:9">
      <c r="A3464" s="943">
        <v>6</v>
      </c>
      <c r="B3464" s="944">
        <v>630.20000000000005</v>
      </c>
      <c r="C3464" s="944" t="s">
        <v>358</v>
      </c>
      <c r="D3464" s="943" t="s">
        <v>17</v>
      </c>
      <c r="E3464" s="952">
        <v>1335</v>
      </c>
      <c r="F3464" s="945">
        <v>2</v>
      </c>
      <c r="G3464" s="946">
        <v>29</v>
      </c>
      <c r="H3464" s="946">
        <v>27.33</v>
      </c>
    </row>
    <row r="3465" spans="1:9" s="26" customFormat="1">
      <c r="A3465" s="947">
        <v>6</v>
      </c>
      <c r="B3465" s="948">
        <v>645.072</v>
      </c>
      <c r="C3465" s="948" t="s">
        <v>374</v>
      </c>
      <c r="D3465" s="947" t="s">
        <v>17</v>
      </c>
      <c r="E3465" s="950">
        <v>750</v>
      </c>
      <c r="F3465" s="950">
        <v>1</v>
      </c>
      <c r="G3465" s="951">
        <v>122</v>
      </c>
      <c r="H3465" s="951">
        <v>111.6</v>
      </c>
      <c r="I3465" s="18"/>
    </row>
    <row r="3466" spans="1:9">
      <c r="A3466" s="943">
        <v>6</v>
      </c>
      <c r="B3466" s="944">
        <v>645.14800000000002</v>
      </c>
      <c r="C3466" s="944" t="s">
        <v>375</v>
      </c>
      <c r="D3466" s="943" t="s">
        <v>17</v>
      </c>
      <c r="E3466" s="952">
        <v>2400</v>
      </c>
      <c r="F3466" s="945">
        <v>1</v>
      </c>
      <c r="G3466" s="946">
        <v>70.569999999999993</v>
      </c>
      <c r="H3466" s="946">
        <v>69.790000000000006</v>
      </c>
    </row>
    <row r="3467" spans="1:9" s="26" customFormat="1">
      <c r="A3467" s="947">
        <v>6</v>
      </c>
      <c r="B3467" s="948">
        <v>657</v>
      </c>
      <c r="C3467" s="948" t="s">
        <v>387</v>
      </c>
      <c r="D3467" s="947" t="s">
        <v>17</v>
      </c>
      <c r="E3467" s="949">
        <v>31500</v>
      </c>
      <c r="F3467" s="950">
        <v>1</v>
      </c>
      <c r="G3467" s="951">
        <v>135</v>
      </c>
      <c r="H3467" s="951">
        <v>150</v>
      </c>
      <c r="I3467" s="18"/>
    </row>
    <row r="3468" spans="1:9">
      <c r="A3468" s="943">
        <v>6</v>
      </c>
      <c r="B3468" s="944">
        <v>665</v>
      </c>
      <c r="C3468" s="944" t="s">
        <v>390</v>
      </c>
      <c r="D3468" s="943" t="s">
        <v>17</v>
      </c>
      <c r="E3468" s="945">
        <v>100</v>
      </c>
      <c r="F3468" s="945">
        <v>1</v>
      </c>
      <c r="G3468" s="946">
        <v>35</v>
      </c>
      <c r="H3468" s="946">
        <v>33.5</v>
      </c>
    </row>
    <row r="3469" spans="1:9" s="26" customFormat="1">
      <c r="A3469" s="947">
        <v>6</v>
      </c>
      <c r="B3469" s="948">
        <v>666</v>
      </c>
      <c r="C3469" s="948" t="s">
        <v>391</v>
      </c>
      <c r="D3469" s="947" t="s">
        <v>17</v>
      </c>
      <c r="E3469" s="949">
        <v>1050</v>
      </c>
      <c r="F3469" s="950">
        <v>2</v>
      </c>
      <c r="G3469" s="951">
        <v>80</v>
      </c>
      <c r="H3469" s="951">
        <v>92.36</v>
      </c>
      <c r="I3469" s="18"/>
    </row>
    <row r="3470" spans="1:9">
      <c r="A3470" s="943">
        <v>6</v>
      </c>
      <c r="B3470" s="944">
        <v>670</v>
      </c>
      <c r="C3470" s="944" t="s">
        <v>394</v>
      </c>
      <c r="D3470" s="943" t="s">
        <v>17</v>
      </c>
      <c r="E3470" s="945">
        <v>800</v>
      </c>
      <c r="F3470" s="945">
        <v>1</v>
      </c>
      <c r="G3470" s="946">
        <v>65</v>
      </c>
      <c r="H3470" s="946">
        <v>68.75</v>
      </c>
    </row>
    <row r="3471" spans="1:9" s="26" customFormat="1">
      <c r="A3471" s="947">
        <v>6</v>
      </c>
      <c r="B3471" s="948">
        <v>675</v>
      </c>
      <c r="C3471" s="948" t="s">
        <v>2497</v>
      </c>
      <c r="D3471" s="947" t="s">
        <v>17</v>
      </c>
      <c r="E3471" s="949">
        <v>5100</v>
      </c>
      <c r="F3471" s="950">
        <v>1</v>
      </c>
      <c r="G3471" s="951">
        <v>114</v>
      </c>
      <c r="H3471" s="951">
        <v>104.5</v>
      </c>
      <c r="I3471" s="18"/>
    </row>
    <row r="3472" spans="1:9">
      <c r="A3472" s="943">
        <v>6</v>
      </c>
      <c r="B3472" s="944">
        <v>685</v>
      </c>
      <c r="C3472" s="944" t="s">
        <v>396</v>
      </c>
      <c r="D3472" s="943" t="s">
        <v>4</v>
      </c>
      <c r="E3472" s="945">
        <v>225</v>
      </c>
      <c r="F3472" s="945">
        <v>1</v>
      </c>
      <c r="G3472" s="946">
        <v>1379</v>
      </c>
      <c r="H3472" s="946">
        <v>1425.4</v>
      </c>
    </row>
    <row r="3473" spans="1:9" s="26" customFormat="1">
      <c r="A3473" s="947">
        <v>6</v>
      </c>
      <c r="B3473" s="948">
        <v>697.1</v>
      </c>
      <c r="C3473" s="948" t="s">
        <v>401</v>
      </c>
      <c r="D3473" s="947" t="s">
        <v>2</v>
      </c>
      <c r="E3473" s="949">
        <v>1733</v>
      </c>
      <c r="F3473" s="950">
        <v>6</v>
      </c>
      <c r="G3473" s="951">
        <v>221.25</v>
      </c>
      <c r="H3473" s="951">
        <v>214.35</v>
      </c>
      <c r="I3473" s="18"/>
    </row>
    <row r="3474" spans="1:9">
      <c r="A3474" s="943">
        <v>6</v>
      </c>
      <c r="B3474" s="944">
        <v>698.1</v>
      </c>
      <c r="C3474" s="944" t="s">
        <v>403</v>
      </c>
      <c r="D3474" s="943" t="s">
        <v>1</v>
      </c>
      <c r="E3474" s="945">
        <v>705</v>
      </c>
      <c r="F3474" s="945">
        <v>2</v>
      </c>
      <c r="G3474" s="946">
        <v>12</v>
      </c>
      <c r="H3474" s="946">
        <v>12.29</v>
      </c>
    </row>
    <row r="3475" spans="1:9" s="26" customFormat="1">
      <c r="A3475" s="947">
        <v>6</v>
      </c>
      <c r="B3475" s="948">
        <v>698.3</v>
      </c>
      <c r="C3475" s="948" t="s">
        <v>404</v>
      </c>
      <c r="D3475" s="947" t="s">
        <v>1</v>
      </c>
      <c r="E3475" s="950">
        <v>120</v>
      </c>
      <c r="F3475" s="950">
        <v>1</v>
      </c>
      <c r="G3475" s="951">
        <v>18.5</v>
      </c>
      <c r="H3475" s="951">
        <v>18.5</v>
      </c>
      <c r="I3475" s="18"/>
    </row>
    <row r="3476" spans="1:9">
      <c r="A3476" s="943">
        <v>6</v>
      </c>
      <c r="B3476" s="944">
        <v>698.4</v>
      </c>
      <c r="C3476" s="944" t="s">
        <v>405</v>
      </c>
      <c r="D3476" s="943" t="s">
        <v>1</v>
      </c>
      <c r="E3476" s="952">
        <v>1400</v>
      </c>
      <c r="F3476" s="945">
        <v>1</v>
      </c>
      <c r="G3476" s="946">
        <v>7</v>
      </c>
      <c r="H3476" s="946">
        <v>7</v>
      </c>
    </row>
    <row r="3477" spans="1:9" s="26" customFormat="1">
      <c r="A3477" s="947">
        <v>6</v>
      </c>
      <c r="B3477" s="948">
        <v>701</v>
      </c>
      <c r="C3477" s="948" t="s">
        <v>406</v>
      </c>
      <c r="D3477" s="947" t="s">
        <v>1</v>
      </c>
      <c r="E3477" s="949">
        <v>144920</v>
      </c>
      <c r="F3477" s="950">
        <v>6</v>
      </c>
      <c r="G3477" s="951">
        <v>100</v>
      </c>
      <c r="H3477" s="951">
        <v>100.27</v>
      </c>
      <c r="I3477" s="18"/>
    </row>
    <row r="3478" spans="1:9">
      <c r="A3478" s="943">
        <v>6</v>
      </c>
      <c r="B3478" s="944">
        <v>701.1</v>
      </c>
      <c r="C3478" s="944" t="s">
        <v>407</v>
      </c>
      <c r="D3478" s="943" t="s">
        <v>1</v>
      </c>
      <c r="E3478" s="952">
        <v>38300</v>
      </c>
      <c r="F3478" s="945">
        <v>4</v>
      </c>
      <c r="G3478" s="946">
        <v>119</v>
      </c>
      <c r="H3478" s="946">
        <v>120.09</v>
      </c>
    </row>
    <row r="3479" spans="1:9" s="26" customFormat="1">
      <c r="A3479" s="947">
        <v>6</v>
      </c>
      <c r="B3479" s="948">
        <v>701.2</v>
      </c>
      <c r="C3479" s="948" t="s">
        <v>1422</v>
      </c>
      <c r="D3479" s="947" t="s">
        <v>1</v>
      </c>
      <c r="E3479" s="949">
        <v>26580</v>
      </c>
      <c r="F3479" s="950">
        <v>5</v>
      </c>
      <c r="G3479" s="951">
        <v>120</v>
      </c>
      <c r="H3479" s="951">
        <v>129.18</v>
      </c>
      <c r="I3479" s="18"/>
    </row>
    <row r="3480" spans="1:9">
      <c r="A3480" s="943">
        <v>6</v>
      </c>
      <c r="B3480" s="944">
        <v>702</v>
      </c>
      <c r="C3480" s="944" t="s">
        <v>1423</v>
      </c>
      <c r="D3480" s="943" t="s">
        <v>7</v>
      </c>
      <c r="E3480" s="952">
        <v>5139</v>
      </c>
      <c r="F3480" s="945">
        <v>6</v>
      </c>
      <c r="G3480" s="946">
        <v>325</v>
      </c>
      <c r="H3480" s="946">
        <v>323.77999999999997</v>
      </c>
    </row>
    <row r="3481" spans="1:9" s="26" customFormat="1">
      <c r="A3481" s="947">
        <v>6</v>
      </c>
      <c r="B3481" s="948">
        <v>705.1</v>
      </c>
      <c r="C3481" s="948" t="s">
        <v>409</v>
      </c>
      <c r="D3481" s="947" t="s">
        <v>1</v>
      </c>
      <c r="E3481" s="950">
        <v>180</v>
      </c>
      <c r="F3481" s="950">
        <v>2</v>
      </c>
      <c r="G3481" s="951">
        <v>485</v>
      </c>
      <c r="H3481" s="951">
        <v>470.2</v>
      </c>
      <c r="I3481" s="18"/>
    </row>
    <row r="3482" spans="1:9">
      <c r="A3482" s="943">
        <v>6</v>
      </c>
      <c r="B3482" s="944">
        <v>706</v>
      </c>
      <c r="C3482" s="944" t="s">
        <v>410</v>
      </c>
      <c r="D3482" s="943" t="s">
        <v>1</v>
      </c>
      <c r="E3482" s="945">
        <v>100</v>
      </c>
      <c r="F3482" s="945">
        <v>1</v>
      </c>
      <c r="G3482" s="946">
        <v>575</v>
      </c>
      <c r="H3482" s="946">
        <v>521</v>
      </c>
    </row>
    <row r="3483" spans="1:9" s="26" customFormat="1">
      <c r="A3483" s="947">
        <v>6</v>
      </c>
      <c r="B3483" s="948">
        <v>706.1</v>
      </c>
      <c r="C3483" s="948" t="s">
        <v>411</v>
      </c>
      <c r="D3483" s="947" t="s">
        <v>1</v>
      </c>
      <c r="E3483" s="950">
        <v>410</v>
      </c>
      <c r="F3483" s="950">
        <v>3</v>
      </c>
      <c r="G3483" s="951">
        <v>476</v>
      </c>
      <c r="H3483" s="951">
        <v>426.69</v>
      </c>
      <c r="I3483" s="18"/>
    </row>
    <row r="3484" spans="1:9">
      <c r="A3484" s="943">
        <v>6</v>
      </c>
      <c r="B3484" s="944">
        <v>707.1</v>
      </c>
      <c r="C3484" s="944" t="s">
        <v>60</v>
      </c>
      <c r="D3484" s="943" t="s">
        <v>2</v>
      </c>
      <c r="E3484" s="945">
        <v>9</v>
      </c>
      <c r="F3484" s="945">
        <v>1</v>
      </c>
      <c r="G3484" s="946">
        <v>4384.08</v>
      </c>
      <c r="H3484" s="946">
        <v>4089.38</v>
      </c>
    </row>
    <row r="3485" spans="1:9" s="26" customFormat="1">
      <c r="A3485" s="947">
        <v>6</v>
      </c>
      <c r="B3485" s="948">
        <v>707.15</v>
      </c>
      <c r="C3485" s="948" t="s">
        <v>414</v>
      </c>
      <c r="D3485" s="947" t="s">
        <v>2</v>
      </c>
      <c r="E3485" s="950">
        <v>9</v>
      </c>
      <c r="F3485" s="950">
        <v>1</v>
      </c>
      <c r="G3485" s="951">
        <v>1100</v>
      </c>
      <c r="H3485" s="951">
        <v>850</v>
      </c>
      <c r="I3485" s="18"/>
    </row>
    <row r="3486" spans="1:9">
      <c r="A3486" s="943">
        <v>6</v>
      </c>
      <c r="B3486" s="944">
        <v>707.8</v>
      </c>
      <c r="C3486" s="944" t="s">
        <v>416</v>
      </c>
      <c r="D3486" s="943" t="s">
        <v>2</v>
      </c>
      <c r="E3486" s="945">
        <v>18</v>
      </c>
      <c r="F3486" s="945">
        <v>1</v>
      </c>
      <c r="G3486" s="946">
        <v>2000</v>
      </c>
      <c r="H3486" s="946">
        <v>2023.33</v>
      </c>
    </row>
    <row r="3487" spans="1:9" s="26" customFormat="1">
      <c r="A3487" s="947">
        <v>6</v>
      </c>
      <c r="B3487" s="948">
        <v>707.9</v>
      </c>
      <c r="C3487" s="948" t="s">
        <v>61</v>
      </c>
      <c r="D3487" s="947" t="s">
        <v>2</v>
      </c>
      <c r="E3487" s="950">
        <v>10</v>
      </c>
      <c r="F3487" s="950">
        <v>1</v>
      </c>
      <c r="G3487" s="951">
        <v>2272.7199999999998</v>
      </c>
      <c r="H3487" s="951">
        <v>2272.7199999999998</v>
      </c>
      <c r="I3487" s="18"/>
    </row>
    <row r="3488" spans="1:9">
      <c r="A3488" s="943">
        <v>6</v>
      </c>
      <c r="B3488" s="944">
        <v>711</v>
      </c>
      <c r="C3488" s="944" t="s">
        <v>418</v>
      </c>
      <c r="D3488" s="943" t="s">
        <v>2</v>
      </c>
      <c r="E3488" s="945">
        <v>10</v>
      </c>
      <c r="F3488" s="945">
        <v>1</v>
      </c>
      <c r="G3488" s="946">
        <v>700</v>
      </c>
      <c r="H3488" s="946">
        <v>690</v>
      </c>
    </row>
    <row r="3489" spans="1:9" s="26" customFormat="1">
      <c r="A3489" s="947">
        <v>6</v>
      </c>
      <c r="B3489" s="948">
        <v>714</v>
      </c>
      <c r="C3489" s="948" t="s">
        <v>420</v>
      </c>
      <c r="D3489" s="947" t="s">
        <v>2</v>
      </c>
      <c r="E3489" s="950">
        <v>4</v>
      </c>
      <c r="F3489" s="950">
        <v>1</v>
      </c>
      <c r="G3489" s="951">
        <v>10350</v>
      </c>
      <c r="H3489" s="951">
        <v>8475</v>
      </c>
      <c r="I3489" s="18"/>
    </row>
    <row r="3490" spans="1:9">
      <c r="A3490" s="943">
        <v>6</v>
      </c>
      <c r="B3490" s="944">
        <v>715.1</v>
      </c>
      <c r="C3490" s="944" t="s">
        <v>423</v>
      </c>
      <c r="D3490" s="943" t="s">
        <v>2</v>
      </c>
      <c r="E3490" s="945">
        <v>3</v>
      </c>
      <c r="F3490" s="945">
        <v>1</v>
      </c>
      <c r="G3490" s="946">
        <v>500</v>
      </c>
      <c r="H3490" s="946">
        <v>483.33</v>
      </c>
    </row>
    <row r="3491" spans="1:9" s="26" customFormat="1">
      <c r="A3491" s="947">
        <v>6</v>
      </c>
      <c r="B3491" s="948">
        <v>718.1</v>
      </c>
      <c r="C3491" s="948" t="s">
        <v>425</v>
      </c>
      <c r="D3491" s="947" t="s">
        <v>22</v>
      </c>
      <c r="E3491" s="950">
        <v>4</v>
      </c>
      <c r="F3491" s="950">
        <v>1</v>
      </c>
      <c r="G3491" s="951">
        <v>8495</v>
      </c>
      <c r="H3491" s="951">
        <v>7997.5</v>
      </c>
      <c r="I3491" s="18"/>
    </row>
    <row r="3492" spans="1:9">
      <c r="A3492" s="943">
        <v>6</v>
      </c>
      <c r="B3492" s="944">
        <v>740</v>
      </c>
      <c r="C3492" s="944" t="s">
        <v>4023</v>
      </c>
      <c r="D3492" s="943" t="s">
        <v>428</v>
      </c>
      <c r="E3492" s="952">
        <v>1220</v>
      </c>
      <c r="F3492" s="945">
        <v>9</v>
      </c>
      <c r="G3492" s="946">
        <v>4950</v>
      </c>
      <c r="H3492" s="946">
        <v>4916.54</v>
      </c>
    </row>
    <row r="3493" spans="1:9" s="26" customFormat="1">
      <c r="A3493" s="947">
        <v>6</v>
      </c>
      <c r="B3493" s="948">
        <v>741</v>
      </c>
      <c r="C3493" s="948" t="s">
        <v>2524</v>
      </c>
      <c r="D3493" s="947" t="s">
        <v>428</v>
      </c>
      <c r="E3493" s="950">
        <v>48</v>
      </c>
      <c r="F3493" s="950">
        <v>1</v>
      </c>
      <c r="G3493" s="951">
        <v>2100</v>
      </c>
      <c r="H3493" s="951">
        <v>1950</v>
      </c>
      <c r="I3493" s="18"/>
    </row>
    <row r="3494" spans="1:9">
      <c r="A3494" s="943">
        <v>6</v>
      </c>
      <c r="B3494" s="944">
        <v>747</v>
      </c>
      <c r="C3494" s="944" t="s">
        <v>429</v>
      </c>
      <c r="D3494" s="943" t="s">
        <v>22</v>
      </c>
      <c r="E3494" s="945">
        <v>4</v>
      </c>
      <c r="F3494" s="945">
        <v>1</v>
      </c>
      <c r="G3494" s="946">
        <v>8175</v>
      </c>
      <c r="H3494" s="946">
        <v>7537.5</v>
      </c>
    </row>
    <row r="3495" spans="1:9" s="26" customFormat="1">
      <c r="A3495" s="947">
        <v>6</v>
      </c>
      <c r="B3495" s="948">
        <v>748</v>
      </c>
      <c r="C3495" s="948" t="s">
        <v>430</v>
      </c>
      <c r="D3495" s="947" t="s">
        <v>22</v>
      </c>
      <c r="E3495" s="950">
        <v>20</v>
      </c>
      <c r="F3495" s="950">
        <v>6</v>
      </c>
      <c r="G3495" s="951">
        <v>315000</v>
      </c>
      <c r="H3495" s="951">
        <v>284545.05</v>
      </c>
      <c r="I3495" s="18"/>
    </row>
    <row r="3496" spans="1:9">
      <c r="A3496" s="943">
        <v>6</v>
      </c>
      <c r="B3496" s="944">
        <v>748.1</v>
      </c>
      <c r="C3496" s="944" t="s">
        <v>431</v>
      </c>
      <c r="D3496" s="943" t="s">
        <v>2</v>
      </c>
      <c r="E3496" s="945">
        <v>125</v>
      </c>
      <c r="F3496" s="945">
        <v>8</v>
      </c>
      <c r="G3496" s="946">
        <v>700</v>
      </c>
      <c r="H3496" s="946">
        <v>1137.54</v>
      </c>
    </row>
    <row r="3497" spans="1:9" s="26" customFormat="1">
      <c r="A3497" s="947">
        <v>6</v>
      </c>
      <c r="B3497" s="948">
        <v>751</v>
      </c>
      <c r="C3497" s="948" t="s">
        <v>3902</v>
      </c>
      <c r="D3497" s="947" t="s">
        <v>4</v>
      </c>
      <c r="E3497" s="949">
        <v>8374</v>
      </c>
      <c r="F3497" s="950">
        <v>6</v>
      </c>
      <c r="G3497" s="951">
        <v>85</v>
      </c>
      <c r="H3497" s="951">
        <v>85</v>
      </c>
      <c r="I3497" s="18"/>
    </row>
    <row r="3498" spans="1:9">
      <c r="A3498" s="943">
        <v>6</v>
      </c>
      <c r="B3498" s="944">
        <v>751.1</v>
      </c>
      <c r="C3498" s="944" t="s">
        <v>4004</v>
      </c>
      <c r="D3498" s="943" t="s">
        <v>4</v>
      </c>
      <c r="E3498" s="952">
        <v>13480</v>
      </c>
      <c r="F3498" s="945">
        <v>2</v>
      </c>
      <c r="G3498" s="946">
        <v>85</v>
      </c>
      <c r="H3498" s="946">
        <v>83.36</v>
      </c>
    </row>
    <row r="3499" spans="1:9" s="26" customFormat="1">
      <c r="A3499" s="947">
        <v>6</v>
      </c>
      <c r="B3499" s="948">
        <v>751.7</v>
      </c>
      <c r="C3499" s="948" t="s">
        <v>4005</v>
      </c>
      <c r="D3499" s="947" t="s">
        <v>4</v>
      </c>
      <c r="E3499" s="950">
        <v>320</v>
      </c>
      <c r="F3499" s="950">
        <v>1</v>
      </c>
      <c r="G3499" s="951">
        <v>110</v>
      </c>
      <c r="H3499" s="951">
        <v>108.75</v>
      </c>
      <c r="I3499" s="18"/>
    </row>
    <row r="3500" spans="1:9">
      <c r="A3500" s="943">
        <v>6</v>
      </c>
      <c r="B3500" s="944">
        <v>756</v>
      </c>
      <c r="C3500" s="944" t="s">
        <v>432</v>
      </c>
      <c r="D3500" s="943" t="s">
        <v>22</v>
      </c>
      <c r="E3500" s="945">
        <v>11</v>
      </c>
      <c r="F3500" s="945">
        <v>3</v>
      </c>
      <c r="G3500" s="946">
        <v>10000</v>
      </c>
      <c r="H3500" s="946">
        <v>9500</v>
      </c>
    </row>
    <row r="3501" spans="1:9" s="26" customFormat="1">
      <c r="A3501" s="947">
        <v>6</v>
      </c>
      <c r="B3501" s="948">
        <v>765</v>
      </c>
      <c r="C3501" s="948" t="s">
        <v>34</v>
      </c>
      <c r="D3501" s="947" t="s">
        <v>1</v>
      </c>
      <c r="E3501" s="949">
        <v>64610</v>
      </c>
      <c r="F3501" s="950">
        <v>4</v>
      </c>
      <c r="G3501" s="951">
        <v>3.22</v>
      </c>
      <c r="H3501" s="951">
        <v>3.05</v>
      </c>
      <c r="I3501" s="18"/>
    </row>
    <row r="3502" spans="1:9">
      <c r="A3502" s="943">
        <v>6</v>
      </c>
      <c r="B3502" s="944">
        <v>765.2</v>
      </c>
      <c r="C3502" s="944" t="s">
        <v>2531</v>
      </c>
      <c r="D3502" s="943" t="s">
        <v>1</v>
      </c>
      <c r="E3502" s="952">
        <v>8000</v>
      </c>
      <c r="F3502" s="945">
        <v>1</v>
      </c>
      <c r="G3502" s="946">
        <v>1.63</v>
      </c>
      <c r="H3502" s="946">
        <v>1.63</v>
      </c>
    </row>
    <row r="3503" spans="1:9" s="26" customFormat="1">
      <c r="A3503" s="947">
        <v>6</v>
      </c>
      <c r="B3503" s="948">
        <v>767.12099999999998</v>
      </c>
      <c r="C3503" s="948" t="s">
        <v>1436</v>
      </c>
      <c r="D3503" s="947" t="s">
        <v>17</v>
      </c>
      <c r="E3503" s="949">
        <v>20250</v>
      </c>
      <c r="F3503" s="950">
        <v>5</v>
      </c>
      <c r="G3503" s="951">
        <v>9.74</v>
      </c>
      <c r="H3503" s="951">
        <v>9</v>
      </c>
      <c r="I3503" s="18"/>
    </row>
    <row r="3504" spans="1:9">
      <c r="A3504" s="943">
        <v>6</v>
      </c>
      <c r="B3504" s="944">
        <v>767.6</v>
      </c>
      <c r="C3504" s="944" t="s">
        <v>441</v>
      </c>
      <c r="D3504" s="943" t="s">
        <v>4</v>
      </c>
      <c r="E3504" s="952">
        <v>1945</v>
      </c>
      <c r="F3504" s="945">
        <v>3</v>
      </c>
      <c r="G3504" s="946">
        <v>96.5</v>
      </c>
      <c r="H3504" s="946">
        <v>98.34</v>
      </c>
    </row>
    <row r="3505" spans="1:9" s="26" customFormat="1">
      <c r="A3505" s="947">
        <v>6</v>
      </c>
      <c r="B3505" s="948">
        <v>775.43100000000004</v>
      </c>
      <c r="C3505" s="948" t="s">
        <v>4041</v>
      </c>
      <c r="D3505" s="947" t="s">
        <v>2</v>
      </c>
      <c r="E3505" s="950">
        <v>16</v>
      </c>
      <c r="F3505" s="950">
        <v>1</v>
      </c>
      <c r="G3505" s="951">
        <v>850</v>
      </c>
      <c r="H3505" s="951">
        <v>818.75</v>
      </c>
      <c r="I3505" s="18"/>
    </row>
    <row r="3506" spans="1:9">
      <c r="A3506" s="943">
        <v>6</v>
      </c>
      <c r="B3506" s="944">
        <v>776.52300000000002</v>
      </c>
      <c r="C3506" s="944" t="s">
        <v>4012</v>
      </c>
      <c r="D3506" s="943" t="s">
        <v>2</v>
      </c>
      <c r="E3506" s="945">
        <v>36</v>
      </c>
      <c r="F3506" s="945">
        <v>1</v>
      </c>
      <c r="G3506" s="946">
        <v>825</v>
      </c>
      <c r="H3506" s="946">
        <v>789.5</v>
      </c>
    </row>
    <row r="3507" spans="1:9" s="26" customFormat="1">
      <c r="A3507" s="947">
        <v>6</v>
      </c>
      <c r="B3507" s="948">
        <v>777.67200000000003</v>
      </c>
      <c r="C3507" s="948" t="s">
        <v>4047</v>
      </c>
      <c r="D3507" s="947" t="s">
        <v>2</v>
      </c>
      <c r="E3507" s="950">
        <v>25</v>
      </c>
      <c r="F3507" s="950">
        <v>1</v>
      </c>
      <c r="G3507" s="951">
        <v>700</v>
      </c>
      <c r="H3507" s="951">
        <v>744.5</v>
      </c>
      <c r="I3507" s="18"/>
    </row>
    <row r="3508" spans="1:9">
      <c r="A3508" s="943">
        <v>6</v>
      </c>
      <c r="B3508" s="944">
        <v>781.57799999999997</v>
      </c>
      <c r="C3508" s="944" t="s">
        <v>4050</v>
      </c>
      <c r="D3508" s="943" t="s">
        <v>2</v>
      </c>
      <c r="E3508" s="945">
        <v>30</v>
      </c>
      <c r="F3508" s="945">
        <v>1</v>
      </c>
      <c r="G3508" s="946">
        <v>750</v>
      </c>
      <c r="H3508" s="946">
        <v>795.6</v>
      </c>
    </row>
    <row r="3509" spans="1:9" s="26" customFormat="1">
      <c r="A3509" s="947">
        <v>6</v>
      </c>
      <c r="B3509" s="948">
        <v>782.53499999999997</v>
      </c>
      <c r="C3509" s="948" t="s">
        <v>4052</v>
      </c>
      <c r="D3509" s="947" t="s">
        <v>2</v>
      </c>
      <c r="E3509" s="950">
        <v>112</v>
      </c>
      <c r="F3509" s="950">
        <v>1</v>
      </c>
      <c r="G3509" s="951">
        <v>759.5</v>
      </c>
      <c r="H3509" s="951">
        <v>751.24</v>
      </c>
      <c r="I3509" s="18"/>
    </row>
    <row r="3510" spans="1:9">
      <c r="A3510" s="943">
        <v>6</v>
      </c>
      <c r="B3510" s="944">
        <v>782.53599999999994</v>
      </c>
      <c r="C3510" s="944" t="s">
        <v>4053</v>
      </c>
      <c r="D3510" s="943" t="s">
        <v>2</v>
      </c>
      <c r="E3510" s="945">
        <v>36</v>
      </c>
      <c r="F3510" s="945">
        <v>1</v>
      </c>
      <c r="G3510" s="946">
        <v>900</v>
      </c>
      <c r="H3510" s="946">
        <v>883.75</v>
      </c>
    </row>
    <row r="3511" spans="1:9" s="26" customFormat="1">
      <c r="A3511" s="947">
        <v>6</v>
      </c>
      <c r="B3511" s="948">
        <v>794.33100000000002</v>
      </c>
      <c r="C3511" s="948" t="s">
        <v>4061</v>
      </c>
      <c r="D3511" s="947" t="s">
        <v>2</v>
      </c>
      <c r="E3511" s="950">
        <v>796</v>
      </c>
      <c r="F3511" s="950">
        <v>1</v>
      </c>
      <c r="G3511" s="951">
        <v>105</v>
      </c>
      <c r="H3511" s="951">
        <v>102.5</v>
      </c>
      <c r="I3511" s="18"/>
    </row>
    <row r="3512" spans="1:9">
      <c r="A3512" s="943">
        <v>6</v>
      </c>
      <c r="B3512" s="944">
        <v>804.1</v>
      </c>
      <c r="C3512" s="944" t="s">
        <v>486</v>
      </c>
      <c r="D3512" s="943" t="s">
        <v>17</v>
      </c>
      <c r="E3512" s="945">
        <v>260</v>
      </c>
      <c r="F3512" s="945">
        <v>2</v>
      </c>
      <c r="G3512" s="946">
        <v>55</v>
      </c>
      <c r="H3512" s="946">
        <v>55</v>
      </c>
    </row>
    <row r="3513" spans="1:9" s="26" customFormat="1">
      <c r="A3513" s="947">
        <v>6</v>
      </c>
      <c r="B3513" s="948">
        <v>804.2</v>
      </c>
      <c r="C3513" s="948" t="s">
        <v>487</v>
      </c>
      <c r="D3513" s="947" t="s">
        <v>17</v>
      </c>
      <c r="E3513" s="949">
        <v>60585</v>
      </c>
      <c r="F3513" s="950">
        <v>3</v>
      </c>
      <c r="G3513" s="951">
        <v>60</v>
      </c>
      <c r="H3513" s="951">
        <v>63.48</v>
      </c>
      <c r="I3513" s="18"/>
    </row>
    <row r="3514" spans="1:9">
      <c r="A3514" s="943">
        <v>6</v>
      </c>
      <c r="B3514" s="944">
        <v>804.3</v>
      </c>
      <c r="C3514" s="944" t="s">
        <v>488</v>
      </c>
      <c r="D3514" s="943" t="s">
        <v>17</v>
      </c>
      <c r="E3514" s="952">
        <v>50415</v>
      </c>
      <c r="F3514" s="945">
        <v>4</v>
      </c>
      <c r="G3514" s="946">
        <v>85</v>
      </c>
      <c r="H3514" s="946">
        <v>87.33</v>
      </c>
    </row>
    <row r="3515" spans="1:9" s="26" customFormat="1">
      <c r="A3515" s="947">
        <v>6</v>
      </c>
      <c r="B3515" s="948">
        <v>804.4</v>
      </c>
      <c r="C3515" s="948" t="s">
        <v>489</v>
      </c>
      <c r="D3515" s="947" t="s">
        <v>17</v>
      </c>
      <c r="E3515" s="949">
        <v>1230</v>
      </c>
      <c r="F3515" s="950">
        <v>3</v>
      </c>
      <c r="G3515" s="951">
        <v>75</v>
      </c>
      <c r="H3515" s="951">
        <v>90.38</v>
      </c>
      <c r="I3515" s="18"/>
    </row>
    <row r="3516" spans="1:9">
      <c r="A3516" s="943">
        <v>6</v>
      </c>
      <c r="B3516" s="944">
        <v>806.1</v>
      </c>
      <c r="C3516" s="944" t="s">
        <v>1441</v>
      </c>
      <c r="D3516" s="943" t="s">
        <v>17</v>
      </c>
      <c r="E3516" s="952">
        <v>3410</v>
      </c>
      <c r="F3516" s="945">
        <v>2</v>
      </c>
      <c r="G3516" s="946">
        <v>47.74</v>
      </c>
      <c r="H3516" s="946">
        <v>46.62</v>
      </c>
    </row>
    <row r="3517" spans="1:9" s="26" customFormat="1">
      <c r="A3517" s="947">
        <v>6</v>
      </c>
      <c r="B3517" s="948">
        <v>806.2</v>
      </c>
      <c r="C3517" s="948" t="s">
        <v>490</v>
      </c>
      <c r="D3517" s="947" t="s">
        <v>17</v>
      </c>
      <c r="E3517" s="949">
        <v>2306</v>
      </c>
      <c r="F3517" s="950">
        <v>2</v>
      </c>
      <c r="G3517" s="951">
        <v>62.5</v>
      </c>
      <c r="H3517" s="951">
        <v>65.5</v>
      </c>
      <c r="I3517" s="18"/>
    </row>
    <row r="3518" spans="1:9">
      <c r="A3518" s="943">
        <v>6</v>
      </c>
      <c r="B3518" s="944">
        <v>806.3</v>
      </c>
      <c r="C3518" s="944" t="s">
        <v>491</v>
      </c>
      <c r="D3518" s="943" t="s">
        <v>17</v>
      </c>
      <c r="E3518" s="952">
        <v>4958</v>
      </c>
      <c r="F3518" s="945">
        <v>2</v>
      </c>
      <c r="G3518" s="946">
        <v>129.5</v>
      </c>
      <c r="H3518" s="946">
        <v>129.75</v>
      </c>
    </row>
    <row r="3519" spans="1:9" s="26" customFormat="1">
      <c r="A3519" s="947">
        <v>6</v>
      </c>
      <c r="B3519" s="948">
        <v>806.4</v>
      </c>
      <c r="C3519" s="948" t="s">
        <v>492</v>
      </c>
      <c r="D3519" s="947" t="s">
        <v>17</v>
      </c>
      <c r="E3519" s="949">
        <v>1156</v>
      </c>
      <c r="F3519" s="950">
        <v>2</v>
      </c>
      <c r="G3519" s="951">
        <v>180</v>
      </c>
      <c r="H3519" s="951">
        <v>172.25</v>
      </c>
      <c r="I3519" s="18"/>
    </row>
    <row r="3520" spans="1:9">
      <c r="A3520" s="943">
        <v>6</v>
      </c>
      <c r="B3520" s="944">
        <v>809.07500000000005</v>
      </c>
      <c r="C3520" s="944" t="s">
        <v>3067</v>
      </c>
      <c r="D3520" s="943" t="s">
        <v>17</v>
      </c>
      <c r="E3520" s="952">
        <v>65814</v>
      </c>
      <c r="F3520" s="945">
        <v>1</v>
      </c>
      <c r="G3520" s="946">
        <v>29</v>
      </c>
      <c r="H3520" s="946">
        <v>29</v>
      </c>
    </row>
    <row r="3521" spans="1:9" s="26" customFormat="1">
      <c r="A3521" s="947">
        <v>6</v>
      </c>
      <c r="B3521" s="948">
        <v>811.22</v>
      </c>
      <c r="C3521" s="948" t="s">
        <v>496</v>
      </c>
      <c r="D3521" s="947" t="s">
        <v>2</v>
      </c>
      <c r="E3521" s="950">
        <v>176</v>
      </c>
      <c r="F3521" s="950">
        <v>2</v>
      </c>
      <c r="G3521" s="951">
        <v>1250</v>
      </c>
      <c r="H3521" s="951">
        <v>1076.43</v>
      </c>
      <c r="I3521" s="18"/>
    </row>
    <row r="3522" spans="1:9">
      <c r="A3522" s="943">
        <v>6</v>
      </c>
      <c r="B3522" s="944">
        <v>811.23</v>
      </c>
      <c r="C3522" s="944" t="s">
        <v>497</v>
      </c>
      <c r="D3522" s="943" t="s">
        <v>2</v>
      </c>
      <c r="E3522" s="945">
        <v>30</v>
      </c>
      <c r="F3522" s="945">
        <v>1</v>
      </c>
      <c r="G3522" s="946">
        <v>2574</v>
      </c>
      <c r="H3522" s="946">
        <v>2671.33</v>
      </c>
    </row>
    <row r="3523" spans="1:9" s="26" customFormat="1">
      <c r="A3523" s="947">
        <v>6</v>
      </c>
      <c r="B3523" s="948">
        <v>811.3</v>
      </c>
      <c r="C3523" s="948" t="s">
        <v>500</v>
      </c>
      <c r="D3523" s="947" t="s">
        <v>2</v>
      </c>
      <c r="E3523" s="950">
        <v>9</v>
      </c>
      <c r="F3523" s="950">
        <v>1</v>
      </c>
      <c r="G3523" s="951">
        <v>1150</v>
      </c>
      <c r="H3523" s="951">
        <v>1150</v>
      </c>
      <c r="I3523" s="18"/>
    </row>
    <row r="3524" spans="1:9">
      <c r="A3524" s="943">
        <v>6</v>
      </c>
      <c r="B3524" s="944">
        <v>811.31</v>
      </c>
      <c r="C3524" s="944" t="s">
        <v>501</v>
      </c>
      <c r="D3524" s="943" t="s">
        <v>2</v>
      </c>
      <c r="E3524" s="945">
        <v>369</v>
      </c>
      <c r="F3524" s="945">
        <v>4</v>
      </c>
      <c r="G3524" s="946">
        <v>1175</v>
      </c>
      <c r="H3524" s="946">
        <v>1192.4100000000001</v>
      </c>
    </row>
    <row r="3525" spans="1:9" s="26" customFormat="1">
      <c r="A3525" s="947">
        <v>6</v>
      </c>
      <c r="B3525" s="948">
        <v>811.35</v>
      </c>
      <c r="C3525" s="948" t="s">
        <v>502</v>
      </c>
      <c r="D3525" s="947" t="s">
        <v>2</v>
      </c>
      <c r="E3525" s="950">
        <v>10</v>
      </c>
      <c r="F3525" s="950">
        <v>1</v>
      </c>
      <c r="G3525" s="951">
        <v>700</v>
      </c>
      <c r="H3525" s="951">
        <v>700</v>
      </c>
      <c r="I3525" s="18"/>
    </row>
    <row r="3526" spans="1:9">
      <c r="A3526" s="943">
        <v>6</v>
      </c>
      <c r="B3526" s="944">
        <v>811.37</v>
      </c>
      <c r="C3526" s="944" t="s">
        <v>504</v>
      </c>
      <c r="D3526" s="943" t="s">
        <v>2</v>
      </c>
      <c r="E3526" s="945">
        <v>503</v>
      </c>
      <c r="F3526" s="945">
        <v>2</v>
      </c>
      <c r="G3526" s="946">
        <v>462.5</v>
      </c>
      <c r="H3526" s="946">
        <v>446.43</v>
      </c>
    </row>
    <row r="3527" spans="1:9" s="26" customFormat="1">
      <c r="A3527" s="947">
        <v>6</v>
      </c>
      <c r="B3527" s="948">
        <v>811.4</v>
      </c>
      <c r="C3527" s="948" t="s">
        <v>4080</v>
      </c>
      <c r="D3527" s="947" t="s">
        <v>2</v>
      </c>
      <c r="E3527" s="950">
        <v>30</v>
      </c>
      <c r="F3527" s="950">
        <v>1</v>
      </c>
      <c r="G3527" s="951">
        <v>667.5</v>
      </c>
      <c r="H3527" s="951">
        <v>595</v>
      </c>
      <c r="I3527" s="18"/>
    </row>
    <row r="3528" spans="1:9">
      <c r="A3528" s="943">
        <v>6</v>
      </c>
      <c r="B3528" s="944">
        <v>811.61</v>
      </c>
      <c r="C3528" s="944" t="s">
        <v>4081</v>
      </c>
      <c r="D3528" s="943" t="s">
        <v>2</v>
      </c>
      <c r="E3528" s="945">
        <v>8</v>
      </c>
      <c r="F3528" s="945">
        <v>1</v>
      </c>
      <c r="G3528" s="946">
        <v>2175</v>
      </c>
      <c r="H3528" s="946">
        <v>2175</v>
      </c>
    </row>
    <row r="3529" spans="1:9" s="26" customFormat="1">
      <c r="A3529" s="947">
        <v>6</v>
      </c>
      <c r="B3529" s="948">
        <v>812.09</v>
      </c>
      <c r="C3529" s="948" t="s">
        <v>506</v>
      </c>
      <c r="D3529" s="947" t="s">
        <v>2</v>
      </c>
      <c r="E3529" s="950">
        <v>2</v>
      </c>
      <c r="F3529" s="950">
        <v>1</v>
      </c>
      <c r="G3529" s="951">
        <v>6350</v>
      </c>
      <c r="H3529" s="951">
        <v>6350</v>
      </c>
      <c r="I3529" s="18"/>
    </row>
    <row r="3530" spans="1:9">
      <c r="A3530" s="943">
        <v>6</v>
      </c>
      <c r="B3530" s="944">
        <v>812.1</v>
      </c>
      <c r="C3530" s="944" t="s">
        <v>507</v>
      </c>
      <c r="D3530" s="943" t="s">
        <v>2</v>
      </c>
      <c r="E3530" s="945">
        <v>15</v>
      </c>
      <c r="F3530" s="945">
        <v>1</v>
      </c>
      <c r="G3530" s="946">
        <v>2778</v>
      </c>
      <c r="H3530" s="946">
        <v>2998.6</v>
      </c>
    </row>
    <row r="3531" spans="1:9" s="26" customFormat="1">
      <c r="A3531" s="947">
        <v>6</v>
      </c>
      <c r="B3531" s="948">
        <v>812.14</v>
      </c>
      <c r="C3531" s="948" t="s">
        <v>1443</v>
      </c>
      <c r="D3531" s="947" t="s">
        <v>2</v>
      </c>
      <c r="E3531" s="950">
        <v>88</v>
      </c>
      <c r="F3531" s="950">
        <v>1</v>
      </c>
      <c r="G3531" s="951">
        <v>3800</v>
      </c>
      <c r="H3531" s="951">
        <v>3950</v>
      </c>
      <c r="I3531" s="18"/>
    </row>
    <row r="3532" spans="1:9">
      <c r="A3532" s="943">
        <v>6</v>
      </c>
      <c r="B3532" s="944">
        <v>812.2</v>
      </c>
      <c r="C3532" s="944" t="s">
        <v>509</v>
      </c>
      <c r="D3532" s="943" t="s">
        <v>2</v>
      </c>
      <c r="E3532" s="945">
        <v>16</v>
      </c>
      <c r="F3532" s="945">
        <v>1</v>
      </c>
      <c r="G3532" s="946">
        <v>5925</v>
      </c>
      <c r="H3532" s="946">
        <v>4837.5</v>
      </c>
    </row>
    <row r="3533" spans="1:9" s="26" customFormat="1">
      <c r="A3533" s="947">
        <v>6</v>
      </c>
      <c r="B3533" s="948">
        <v>812.3</v>
      </c>
      <c r="C3533" s="948" t="s">
        <v>3113</v>
      </c>
      <c r="D3533" s="947" t="s">
        <v>2</v>
      </c>
      <c r="E3533" s="950">
        <v>60</v>
      </c>
      <c r="F3533" s="950">
        <v>1</v>
      </c>
      <c r="G3533" s="951">
        <v>640</v>
      </c>
      <c r="H3533" s="951">
        <v>632.5</v>
      </c>
      <c r="I3533" s="18"/>
    </row>
    <row r="3534" spans="1:9">
      <c r="A3534" s="943">
        <v>6</v>
      </c>
      <c r="B3534" s="944">
        <v>813.3</v>
      </c>
      <c r="C3534" s="944" t="s">
        <v>511</v>
      </c>
      <c r="D3534" s="943" t="s">
        <v>17</v>
      </c>
      <c r="E3534" s="952">
        <v>7500</v>
      </c>
      <c r="F3534" s="945">
        <v>1</v>
      </c>
      <c r="G3534" s="946">
        <v>3.65</v>
      </c>
      <c r="H3534" s="946">
        <v>3.43</v>
      </c>
    </row>
    <row r="3535" spans="1:9" s="26" customFormat="1">
      <c r="A3535" s="947">
        <v>6</v>
      </c>
      <c r="B3535" s="948">
        <v>813.32</v>
      </c>
      <c r="C3535" s="948" t="s">
        <v>513</v>
      </c>
      <c r="D3535" s="947" t="s">
        <v>17</v>
      </c>
      <c r="E3535" s="949">
        <v>8100</v>
      </c>
      <c r="F3535" s="950">
        <v>1</v>
      </c>
      <c r="G3535" s="951">
        <v>5.25</v>
      </c>
      <c r="H3535" s="951">
        <v>4.83</v>
      </c>
      <c r="I3535" s="18"/>
    </row>
    <row r="3536" spans="1:9">
      <c r="A3536" s="943">
        <v>6</v>
      </c>
      <c r="B3536" s="944">
        <v>813.4</v>
      </c>
      <c r="C3536" s="944" t="s">
        <v>64</v>
      </c>
      <c r="D3536" s="943" t="s">
        <v>17</v>
      </c>
      <c r="E3536" s="952">
        <v>671270</v>
      </c>
      <c r="F3536" s="945">
        <v>2</v>
      </c>
      <c r="G3536" s="946">
        <v>2.13</v>
      </c>
      <c r="H3536" s="946">
        <v>2.04</v>
      </c>
    </row>
    <row r="3537" spans="1:9" s="26" customFormat="1">
      <c r="A3537" s="947">
        <v>6</v>
      </c>
      <c r="B3537" s="948">
        <v>813.41</v>
      </c>
      <c r="C3537" s="948" t="s">
        <v>518</v>
      </c>
      <c r="D3537" s="947" t="s">
        <v>17</v>
      </c>
      <c r="E3537" s="949">
        <v>171400</v>
      </c>
      <c r="F3537" s="950">
        <v>1</v>
      </c>
      <c r="G3537" s="951">
        <v>2.2400000000000002</v>
      </c>
      <c r="H3537" s="951">
        <v>2.2400000000000002</v>
      </c>
      <c r="I3537" s="18"/>
    </row>
    <row r="3538" spans="1:9">
      <c r="A3538" s="943">
        <v>6</v>
      </c>
      <c r="B3538" s="944">
        <v>813.42</v>
      </c>
      <c r="C3538" s="944" t="s">
        <v>519</v>
      </c>
      <c r="D3538" s="943" t="s">
        <v>17</v>
      </c>
      <c r="E3538" s="952">
        <v>422750</v>
      </c>
      <c r="F3538" s="945">
        <v>2</v>
      </c>
      <c r="G3538" s="946">
        <v>5</v>
      </c>
      <c r="H3538" s="946">
        <v>5.3</v>
      </c>
    </row>
    <row r="3539" spans="1:9" s="26" customFormat="1">
      <c r="A3539" s="947">
        <v>6</v>
      </c>
      <c r="B3539" s="948">
        <v>813.43</v>
      </c>
      <c r="C3539" s="948" t="s">
        <v>65</v>
      </c>
      <c r="D3539" s="947" t="s">
        <v>17</v>
      </c>
      <c r="E3539" s="949">
        <v>1688700</v>
      </c>
      <c r="F3539" s="950">
        <v>2</v>
      </c>
      <c r="G3539" s="951">
        <v>3.18</v>
      </c>
      <c r="H3539" s="951">
        <v>3.24</v>
      </c>
      <c r="I3539" s="18"/>
    </row>
    <row r="3540" spans="1:9">
      <c r="A3540" s="943">
        <v>6</v>
      </c>
      <c r="B3540" s="944">
        <v>813.44</v>
      </c>
      <c r="C3540" s="944" t="s">
        <v>520</v>
      </c>
      <c r="D3540" s="943" t="s">
        <v>17</v>
      </c>
      <c r="E3540" s="952">
        <v>1121500</v>
      </c>
      <c r="F3540" s="945">
        <v>2</v>
      </c>
      <c r="G3540" s="946">
        <v>4.17</v>
      </c>
      <c r="H3540" s="946">
        <v>4.1900000000000004</v>
      </c>
    </row>
    <row r="3541" spans="1:9" s="26" customFormat="1">
      <c r="A3541" s="947">
        <v>6</v>
      </c>
      <c r="B3541" s="948">
        <v>813.45</v>
      </c>
      <c r="C3541" s="948" t="s">
        <v>3126</v>
      </c>
      <c r="D3541" s="947" t="s">
        <v>17</v>
      </c>
      <c r="E3541" s="950">
        <v>250</v>
      </c>
      <c r="F3541" s="950">
        <v>1</v>
      </c>
      <c r="G3541" s="951">
        <v>7.86</v>
      </c>
      <c r="H3541" s="951">
        <v>7.86</v>
      </c>
      <c r="I3541" s="18"/>
    </row>
    <row r="3542" spans="1:9">
      <c r="A3542" s="943">
        <v>6</v>
      </c>
      <c r="B3542" s="944">
        <v>813.49</v>
      </c>
      <c r="C3542" s="944" t="s">
        <v>3129</v>
      </c>
      <c r="D3542" s="943" t="s">
        <v>17</v>
      </c>
      <c r="E3542" s="945">
        <v>700</v>
      </c>
      <c r="F3542" s="945">
        <v>1</v>
      </c>
      <c r="G3542" s="946">
        <v>15.88</v>
      </c>
      <c r="H3542" s="946">
        <v>15.88</v>
      </c>
    </row>
    <row r="3543" spans="1:9" s="26" customFormat="1">
      <c r="A3543" s="947">
        <v>6</v>
      </c>
      <c r="B3543" s="948">
        <v>813.52</v>
      </c>
      <c r="C3543" s="948" t="s">
        <v>521</v>
      </c>
      <c r="D3543" s="947" t="s">
        <v>17</v>
      </c>
      <c r="E3543" s="949">
        <v>8040</v>
      </c>
      <c r="F3543" s="950">
        <v>1</v>
      </c>
      <c r="G3543" s="951">
        <v>4.75</v>
      </c>
      <c r="H3543" s="951">
        <v>4.63</v>
      </c>
      <c r="I3543" s="18"/>
    </row>
    <row r="3544" spans="1:9">
      <c r="A3544" s="943">
        <v>6</v>
      </c>
      <c r="B3544" s="944">
        <v>813.53</v>
      </c>
      <c r="C3544" s="944" t="s">
        <v>3132</v>
      </c>
      <c r="D3544" s="943" t="s">
        <v>17</v>
      </c>
      <c r="E3544" s="952">
        <v>5440</v>
      </c>
      <c r="F3544" s="945">
        <v>1</v>
      </c>
      <c r="G3544" s="946">
        <v>4</v>
      </c>
      <c r="H3544" s="946">
        <v>3.63</v>
      </c>
    </row>
    <row r="3545" spans="1:9" s="26" customFormat="1">
      <c r="A3545" s="947">
        <v>6</v>
      </c>
      <c r="B3545" s="948">
        <v>813.71</v>
      </c>
      <c r="C3545" s="948" t="s">
        <v>3136</v>
      </c>
      <c r="D3545" s="947" t="s">
        <v>2</v>
      </c>
      <c r="E3545" s="950">
        <v>600</v>
      </c>
      <c r="F3545" s="950">
        <v>1</v>
      </c>
      <c r="G3545" s="951">
        <v>206</v>
      </c>
      <c r="H3545" s="951">
        <v>220.33</v>
      </c>
      <c r="I3545" s="18"/>
    </row>
    <row r="3546" spans="1:9">
      <c r="A3546" s="943">
        <v>6</v>
      </c>
      <c r="B3546" s="944">
        <v>813.8</v>
      </c>
      <c r="C3546" s="944" t="s">
        <v>1445</v>
      </c>
      <c r="D3546" s="943" t="s">
        <v>22</v>
      </c>
      <c r="E3546" s="945">
        <v>2</v>
      </c>
      <c r="F3546" s="945">
        <v>1</v>
      </c>
      <c r="G3546" s="946">
        <v>20000</v>
      </c>
      <c r="H3546" s="946">
        <v>20000</v>
      </c>
    </row>
    <row r="3547" spans="1:9" s="26" customFormat="1">
      <c r="A3547" s="947">
        <v>6</v>
      </c>
      <c r="B3547" s="948">
        <v>815.1</v>
      </c>
      <c r="C3547" s="948" t="s">
        <v>526</v>
      </c>
      <c r="D3547" s="947" t="s">
        <v>22</v>
      </c>
      <c r="E3547" s="950">
        <v>6</v>
      </c>
      <c r="F3547" s="950">
        <v>1</v>
      </c>
      <c r="G3547" s="951">
        <v>389250</v>
      </c>
      <c r="H3547" s="951">
        <v>397680</v>
      </c>
      <c r="I3547" s="18"/>
    </row>
    <row r="3548" spans="1:9">
      <c r="A3548" s="943">
        <v>6</v>
      </c>
      <c r="B3548" s="944">
        <v>816.01</v>
      </c>
      <c r="C3548" s="944" t="s">
        <v>531</v>
      </c>
      <c r="D3548" s="943" t="s">
        <v>22</v>
      </c>
      <c r="E3548" s="945">
        <v>9</v>
      </c>
      <c r="F3548" s="945">
        <v>2</v>
      </c>
      <c r="G3548" s="946">
        <v>387500</v>
      </c>
      <c r="H3548" s="946">
        <v>380025.33</v>
      </c>
    </row>
    <row r="3549" spans="1:9" s="26" customFormat="1">
      <c r="A3549" s="947">
        <v>6</v>
      </c>
      <c r="B3549" s="948">
        <v>816.02</v>
      </c>
      <c r="C3549" s="948" t="s">
        <v>532</v>
      </c>
      <c r="D3549" s="947" t="s">
        <v>22</v>
      </c>
      <c r="E3549" s="950">
        <v>15</v>
      </c>
      <c r="F3549" s="950">
        <v>3</v>
      </c>
      <c r="G3549" s="951">
        <v>344700</v>
      </c>
      <c r="H3549" s="951">
        <v>326336.27</v>
      </c>
      <c r="I3549" s="18"/>
    </row>
    <row r="3550" spans="1:9">
      <c r="A3550" s="943">
        <v>6</v>
      </c>
      <c r="B3550" s="944">
        <v>816.03</v>
      </c>
      <c r="C3550" s="944" t="s">
        <v>533</v>
      </c>
      <c r="D3550" s="943" t="s">
        <v>22</v>
      </c>
      <c r="E3550" s="945">
        <v>10</v>
      </c>
      <c r="F3550" s="945">
        <v>2</v>
      </c>
      <c r="G3550" s="946">
        <v>366140</v>
      </c>
      <c r="H3550" s="946">
        <v>380204</v>
      </c>
    </row>
    <row r="3551" spans="1:9" s="26" customFormat="1">
      <c r="A3551" s="947">
        <v>6</v>
      </c>
      <c r="B3551" s="948">
        <v>816.8</v>
      </c>
      <c r="C3551" s="948" t="s">
        <v>534</v>
      </c>
      <c r="D3551" s="947" t="s">
        <v>22</v>
      </c>
      <c r="E3551" s="950">
        <v>2</v>
      </c>
      <c r="F3551" s="950">
        <v>1</v>
      </c>
      <c r="G3551" s="951">
        <v>15000</v>
      </c>
      <c r="H3551" s="951">
        <v>15000</v>
      </c>
      <c r="I3551" s="18"/>
    </row>
    <row r="3552" spans="1:9">
      <c r="A3552" s="943">
        <v>6</v>
      </c>
      <c r="B3552" s="944">
        <v>817.1</v>
      </c>
      <c r="C3552" s="944" t="s">
        <v>537</v>
      </c>
      <c r="D3552" s="943" t="s">
        <v>2</v>
      </c>
      <c r="E3552" s="945">
        <v>80</v>
      </c>
      <c r="F3552" s="945">
        <v>1</v>
      </c>
      <c r="G3552" s="946">
        <v>550</v>
      </c>
      <c r="H3552" s="946">
        <v>600</v>
      </c>
    </row>
    <row r="3553" spans="1:9" s="26" customFormat="1">
      <c r="A3553" s="947">
        <v>6</v>
      </c>
      <c r="B3553" s="948">
        <v>817.11</v>
      </c>
      <c r="C3553" s="948" t="s">
        <v>538</v>
      </c>
      <c r="D3553" s="947" t="s">
        <v>2</v>
      </c>
      <c r="E3553" s="950">
        <v>140</v>
      </c>
      <c r="F3553" s="950">
        <v>1</v>
      </c>
      <c r="G3553" s="951">
        <v>600</v>
      </c>
      <c r="H3553" s="951">
        <v>650</v>
      </c>
      <c r="I3553" s="18"/>
    </row>
    <row r="3554" spans="1:9">
      <c r="A3554" s="943">
        <v>6</v>
      </c>
      <c r="B3554" s="944">
        <v>817.2</v>
      </c>
      <c r="C3554" s="944" t="s">
        <v>3139</v>
      </c>
      <c r="D3554" s="943" t="s">
        <v>2</v>
      </c>
      <c r="E3554" s="945">
        <v>30</v>
      </c>
      <c r="F3554" s="945">
        <v>1</v>
      </c>
      <c r="G3554" s="946">
        <v>475</v>
      </c>
      <c r="H3554" s="946">
        <v>533.33000000000004</v>
      </c>
    </row>
    <row r="3555" spans="1:9" s="26" customFormat="1">
      <c r="A3555" s="947">
        <v>6</v>
      </c>
      <c r="B3555" s="948">
        <v>817.21</v>
      </c>
      <c r="C3555" s="948" t="s">
        <v>3140</v>
      </c>
      <c r="D3555" s="947" t="s">
        <v>2</v>
      </c>
      <c r="E3555" s="950">
        <v>24</v>
      </c>
      <c r="F3555" s="950">
        <v>1</v>
      </c>
      <c r="G3555" s="951">
        <v>490</v>
      </c>
      <c r="H3555" s="951">
        <v>560</v>
      </c>
      <c r="I3555" s="18"/>
    </row>
    <row r="3556" spans="1:9">
      <c r="A3556" s="943">
        <v>6</v>
      </c>
      <c r="B3556" s="944">
        <v>817.4</v>
      </c>
      <c r="C3556" s="944" t="s">
        <v>3141</v>
      </c>
      <c r="D3556" s="943" t="s">
        <v>2</v>
      </c>
      <c r="E3556" s="945">
        <v>48</v>
      </c>
      <c r="F3556" s="945">
        <v>1</v>
      </c>
      <c r="G3556" s="946">
        <v>350</v>
      </c>
      <c r="H3556" s="946">
        <v>350</v>
      </c>
    </row>
    <row r="3557" spans="1:9" s="26" customFormat="1">
      <c r="A3557" s="947">
        <v>6</v>
      </c>
      <c r="B3557" s="948">
        <v>817.41</v>
      </c>
      <c r="C3557" s="948" t="s">
        <v>3142</v>
      </c>
      <c r="D3557" s="947" t="s">
        <v>2</v>
      </c>
      <c r="E3557" s="950">
        <v>40</v>
      </c>
      <c r="F3557" s="950">
        <v>1</v>
      </c>
      <c r="G3557" s="951">
        <v>350</v>
      </c>
      <c r="H3557" s="951">
        <v>337.5</v>
      </c>
      <c r="I3557" s="18"/>
    </row>
    <row r="3558" spans="1:9">
      <c r="A3558" s="943">
        <v>6</v>
      </c>
      <c r="B3558" s="944">
        <v>818.42</v>
      </c>
      <c r="C3558" s="944" t="s">
        <v>3172</v>
      </c>
      <c r="D3558" s="943" t="s">
        <v>2</v>
      </c>
      <c r="E3558" s="945">
        <v>208</v>
      </c>
      <c r="F3558" s="945">
        <v>1</v>
      </c>
      <c r="G3558" s="946">
        <v>637.5</v>
      </c>
      <c r="H3558" s="946">
        <v>663.75</v>
      </c>
    </row>
    <row r="3559" spans="1:9" s="26" customFormat="1">
      <c r="A3559" s="947">
        <v>6</v>
      </c>
      <c r="B3559" s="948">
        <v>819.83</v>
      </c>
      <c r="C3559" s="948" t="s">
        <v>3213</v>
      </c>
      <c r="D3559" s="947" t="s">
        <v>2</v>
      </c>
      <c r="E3559" s="950">
        <v>60</v>
      </c>
      <c r="F3559" s="950">
        <v>1</v>
      </c>
      <c r="G3559" s="951">
        <v>37.5</v>
      </c>
      <c r="H3559" s="951">
        <v>37.5</v>
      </c>
      <c r="I3559" s="18"/>
    </row>
    <row r="3560" spans="1:9">
      <c r="A3560" s="943">
        <v>6</v>
      </c>
      <c r="B3560" s="944">
        <v>819.83100000000002</v>
      </c>
      <c r="C3560" s="944" t="s">
        <v>540</v>
      </c>
      <c r="D3560" s="943" t="s">
        <v>17</v>
      </c>
      <c r="E3560" s="952">
        <v>4260</v>
      </c>
      <c r="F3560" s="945">
        <v>2</v>
      </c>
      <c r="G3560" s="946">
        <v>12</v>
      </c>
      <c r="H3560" s="946">
        <v>11</v>
      </c>
    </row>
    <row r="3561" spans="1:9" s="26" customFormat="1">
      <c r="A3561" s="947">
        <v>6</v>
      </c>
      <c r="B3561" s="948">
        <v>819.85</v>
      </c>
      <c r="C3561" s="948" t="s">
        <v>3215</v>
      </c>
      <c r="D3561" s="947" t="s">
        <v>2</v>
      </c>
      <c r="E3561" s="950">
        <v>160</v>
      </c>
      <c r="F3561" s="950">
        <v>1</v>
      </c>
      <c r="G3561" s="951">
        <v>100</v>
      </c>
      <c r="H3561" s="951">
        <v>110</v>
      </c>
      <c r="I3561" s="18"/>
    </row>
    <row r="3562" spans="1:9">
      <c r="A3562" s="943">
        <v>6</v>
      </c>
      <c r="B3562" s="944">
        <v>823.7</v>
      </c>
      <c r="C3562" s="944" t="s">
        <v>547</v>
      </c>
      <c r="D3562" s="943" t="s">
        <v>2</v>
      </c>
      <c r="E3562" s="945">
        <v>110</v>
      </c>
      <c r="F3562" s="945">
        <v>1</v>
      </c>
      <c r="G3562" s="946">
        <v>2000</v>
      </c>
      <c r="H3562" s="946">
        <v>1970</v>
      </c>
    </row>
    <row r="3563" spans="1:9" s="26" customFormat="1">
      <c r="A3563" s="947">
        <v>6</v>
      </c>
      <c r="B3563" s="948">
        <v>823.71</v>
      </c>
      <c r="C3563" s="948" t="s">
        <v>548</v>
      </c>
      <c r="D3563" s="947" t="s">
        <v>2</v>
      </c>
      <c r="E3563" s="950">
        <v>115</v>
      </c>
      <c r="F3563" s="950">
        <v>1</v>
      </c>
      <c r="G3563" s="951">
        <v>500</v>
      </c>
      <c r="H3563" s="951">
        <v>503.2</v>
      </c>
      <c r="I3563" s="18"/>
    </row>
    <row r="3564" spans="1:9">
      <c r="A3564" s="943">
        <v>6</v>
      </c>
      <c r="B3564" s="944">
        <v>824.51</v>
      </c>
      <c r="C3564" s="944" t="s">
        <v>550</v>
      </c>
      <c r="D3564" s="943" t="s">
        <v>22</v>
      </c>
      <c r="E3564" s="945">
        <v>4</v>
      </c>
      <c r="F3564" s="945">
        <v>1</v>
      </c>
      <c r="G3564" s="946">
        <v>4500</v>
      </c>
      <c r="H3564" s="946">
        <v>4000</v>
      </c>
    </row>
    <row r="3565" spans="1:9" s="26" customFormat="1">
      <c r="A3565" s="947">
        <v>6</v>
      </c>
      <c r="B3565" s="948">
        <v>826.51</v>
      </c>
      <c r="C3565" s="948" t="s">
        <v>3301</v>
      </c>
      <c r="D3565" s="947" t="s">
        <v>2</v>
      </c>
      <c r="E3565" s="950">
        <v>21</v>
      </c>
      <c r="F3565" s="950">
        <v>1</v>
      </c>
      <c r="G3565" s="951">
        <v>5000</v>
      </c>
      <c r="H3565" s="951">
        <v>4266.67</v>
      </c>
      <c r="I3565" s="18"/>
    </row>
    <row r="3566" spans="1:9">
      <c r="A3566" s="943">
        <v>6</v>
      </c>
      <c r="B3566" s="944">
        <v>828.1</v>
      </c>
      <c r="C3566" s="944" t="s">
        <v>553</v>
      </c>
      <c r="D3566" s="943" t="s">
        <v>3</v>
      </c>
      <c r="E3566" s="952">
        <v>5000</v>
      </c>
      <c r="F3566" s="945">
        <v>1</v>
      </c>
      <c r="G3566" s="946">
        <v>27</v>
      </c>
      <c r="H3566" s="946">
        <v>27</v>
      </c>
    </row>
    <row r="3567" spans="1:9" s="26" customFormat="1">
      <c r="A3567" s="947">
        <v>6</v>
      </c>
      <c r="B3567" s="948">
        <v>829</v>
      </c>
      <c r="C3567" s="948" t="s">
        <v>554</v>
      </c>
      <c r="D3567" s="947" t="s">
        <v>3</v>
      </c>
      <c r="E3567" s="949">
        <v>1600</v>
      </c>
      <c r="F3567" s="950">
        <v>1</v>
      </c>
      <c r="G3567" s="951">
        <v>27</v>
      </c>
      <c r="H3567" s="951">
        <v>27</v>
      </c>
      <c r="I3567" s="18"/>
    </row>
    <row r="3568" spans="1:9">
      <c r="A3568" s="943">
        <v>6</v>
      </c>
      <c r="B3568" s="944">
        <v>831</v>
      </c>
      <c r="C3568" s="944" t="s">
        <v>555</v>
      </c>
      <c r="D3568" s="943" t="s">
        <v>3</v>
      </c>
      <c r="E3568" s="952">
        <v>1000</v>
      </c>
      <c r="F3568" s="945">
        <v>1</v>
      </c>
      <c r="G3568" s="946">
        <v>30</v>
      </c>
      <c r="H3568" s="946">
        <v>30</v>
      </c>
    </row>
    <row r="3569" spans="1:9" s="26" customFormat="1">
      <c r="A3569" s="947">
        <v>6</v>
      </c>
      <c r="B3569" s="948">
        <v>832</v>
      </c>
      <c r="C3569" s="948" t="s">
        <v>556</v>
      </c>
      <c r="D3569" s="947" t="s">
        <v>3</v>
      </c>
      <c r="E3569" s="949">
        <v>12898</v>
      </c>
      <c r="F3569" s="950">
        <v>8</v>
      </c>
      <c r="G3569" s="951">
        <v>14.5</v>
      </c>
      <c r="H3569" s="951">
        <v>15.16</v>
      </c>
      <c r="I3569" s="18"/>
    </row>
    <row r="3570" spans="1:9">
      <c r="A3570" s="943">
        <v>6</v>
      </c>
      <c r="B3570" s="944">
        <v>834.17</v>
      </c>
      <c r="C3570" s="944" t="s">
        <v>560</v>
      </c>
      <c r="D3570" s="943" t="s">
        <v>2</v>
      </c>
      <c r="E3570" s="945">
        <v>90</v>
      </c>
      <c r="F3570" s="945">
        <v>1</v>
      </c>
      <c r="G3570" s="946">
        <v>50</v>
      </c>
      <c r="H3570" s="946">
        <v>49</v>
      </c>
    </row>
    <row r="3571" spans="1:9" s="26" customFormat="1">
      <c r="A3571" s="947">
        <v>6</v>
      </c>
      <c r="B3571" s="948">
        <v>834.18</v>
      </c>
      <c r="C3571" s="948" t="s">
        <v>561</v>
      </c>
      <c r="D3571" s="947" t="s">
        <v>2</v>
      </c>
      <c r="E3571" s="950">
        <v>90</v>
      </c>
      <c r="F3571" s="950">
        <v>1</v>
      </c>
      <c r="G3571" s="951">
        <v>50</v>
      </c>
      <c r="H3571" s="951">
        <v>49</v>
      </c>
      <c r="I3571" s="18"/>
    </row>
    <row r="3572" spans="1:9">
      <c r="A3572" s="943">
        <v>6</v>
      </c>
      <c r="B3572" s="944">
        <v>841.1</v>
      </c>
      <c r="C3572" s="944" t="s">
        <v>566</v>
      </c>
      <c r="D3572" s="943" t="s">
        <v>2</v>
      </c>
      <c r="E3572" s="945">
        <v>126</v>
      </c>
      <c r="F3572" s="945">
        <v>1</v>
      </c>
      <c r="G3572" s="946">
        <v>1692.5</v>
      </c>
      <c r="H3572" s="946">
        <v>1692.5</v>
      </c>
    </row>
    <row r="3573" spans="1:9" s="26" customFormat="1">
      <c r="A3573" s="947">
        <v>6</v>
      </c>
      <c r="B3573" s="948">
        <v>841.2</v>
      </c>
      <c r="C3573" s="948" t="s">
        <v>567</v>
      </c>
      <c r="D3573" s="947" t="s">
        <v>2</v>
      </c>
      <c r="E3573" s="950">
        <v>130</v>
      </c>
      <c r="F3573" s="950">
        <v>1</v>
      </c>
      <c r="G3573" s="951">
        <v>1575</v>
      </c>
      <c r="H3573" s="951">
        <v>1575</v>
      </c>
      <c r="I3573" s="18"/>
    </row>
    <row r="3574" spans="1:9">
      <c r="A3574" s="943">
        <v>6</v>
      </c>
      <c r="B3574" s="944">
        <v>841.6</v>
      </c>
      <c r="C3574" s="944" t="s">
        <v>569</v>
      </c>
      <c r="D3574" s="943" t="s">
        <v>2</v>
      </c>
      <c r="E3574" s="945">
        <v>120</v>
      </c>
      <c r="F3574" s="945">
        <v>1</v>
      </c>
      <c r="G3574" s="946">
        <v>1600</v>
      </c>
      <c r="H3574" s="946">
        <v>1600</v>
      </c>
    </row>
    <row r="3575" spans="1:9" s="26" customFormat="1">
      <c r="A3575" s="947">
        <v>6</v>
      </c>
      <c r="B3575" s="948">
        <v>847.1</v>
      </c>
      <c r="C3575" s="948" t="s">
        <v>578</v>
      </c>
      <c r="D3575" s="947" t="s">
        <v>2</v>
      </c>
      <c r="E3575" s="949">
        <v>2820</v>
      </c>
      <c r="F3575" s="950">
        <v>7</v>
      </c>
      <c r="G3575" s="951">
        <v>250</v>
      </c>
      <c r="H3575" s="951">
        <v>278.33999999999997</v>
      </c>
      <c r="I3575" s="18"/>
    </row>
    <row r="3576" spans="1:9">
      <c r="A3576" s="943">
        <v>6</v>
      </c>
      <c r="B3576" s="944">
        <v>848.1</v>
      </c>
      <c r="C3576" s="944" t="s">
        <v>579</v>
      </c>
      <c r="D3576" s="943" t="s">
        <v>2</v>
      </c>
      <c r="E3576" s="945">
        <v>140</v>
      </c>
      <c r="F3576" s="945">
        <v>3</v>
      </c>
      <c r="G3576" s="946">
        <v>530</v>
      </c>
      <c r="H3576" s="946">
        <v>580.24</v>
      </c>
    </row>
    <row r="3577" spans="1:9" s="26" customFormat="1">
      <c r="A3577" s="947">
        <v>6</v>
      </c>
      <c r="B3577" s="948">
        <v>850.41</v>
      </c>
      <c r="C3577" s="948" t="s">
        <v>580</v>
      </c>
      <c r="D3577" s="947" t="s">
        <v>24</v>
      </c>
      <c r="E3577" s="949">
        <v>2980</v>
      </c>
      <c r="F3577" s="950">
        <v>6</v>
      </c>
      <c r="G3577" s="951">
        <v>71</v>
      </c>
      <c r="H3577" s="951">
        <v>77.2</v>
      </c>
      <c r="I3577" s="18"/>
    </row>
    <row r="3578" spans="1:9">
      <c r="A3578" s="943">
        <v>6</v>
      </c>
      <c r="B3578" s="944">
        <v>851.1</v>
      </c>
      <c r="C3578" s="944" t="s">
        <v>581</v>
      </c>
      <c r="D3578" s="943" t="s">
        <v>42</v>
      </c>
      <c r="E3578" s="952">
        <v>2205</v>
      </c>
      <c r="F3578" s="945">
        <v>6</v>
      </c>
      <c r="G3578" s="946">
        <v>100</v>
      </c>
      <c r="H3578" s="946">
        <v>114.88</v>
      </c>
    </row>
    <row r="3579" spans="1:9" s="26" customFormat="1">
      <c r="A3579" s="947">
        <v>6</v>
      </c>
      <c r="B3579" s="948">
        <v>852</v>
      </c>
      <c r="C3579" s="948" t="s">
        <v>49</v>
      </c>
      <c r="D3579" s="947" t="s">
        <v>3</v>
      </c>
      <c r="E3579" s="949">
        <v>26250</v>
      </c>
      <c r="F3579" s="950">
        <v>12</v>
      </c>
      <c r="G3579" s="951">
        <v>28.66</v>
      </c>
      <c r="H3579" s="951">
        <v>28.5</v>
      </c>
      <c r="I3579" s="18"/>
    </row>
    <row r="3580" spans="1:9">
      <c r="A3580" s="943">
        <v>6</v>
      </c>
      <c r="B3580" s="944">
        <v>853.1</v>
      </c>
      <c r="C3580" s="944" t="s">
        <v>582</v>
      </c>
      <c r="D3580" s="943" t="s">
        <v>2</v>
      </c>
      <c r="E3580" s="945">
        <v>104</v>
      </c>
      <c r="F3580" s="945">
        <v>4</v>
      </c>
      <c r="G3580" s="946">
        <v>136.06</v>
      </c>
      <c r="H3580" s="946">
        <v>130.57</v>
      </c>
    </row>
    <row r="3581" spans="1:9" s="26" customFormat="1">
      <c r="A3581" s="947">
        <v>6</v>
      </c>
      <c r="B3581" s="948">
        <v>853.2</v>
      </c>
      <c r="C3581" s="948" t="s">
        <v>1453</v>
      </c>
      <c r="D3581" s="947" t="s">
        <v>17</v>
      </c>
      <c r="E3581" s="949">
        <v>7100</v>
      </c>
      <c r="F3581" s="950">
        <v>2</v>
      </c>
      <c r="G3581" s="951">
        <v>78.900000000000006</v>
      </c>
      <c r="H3581" s="951">
        <v>74.11</v>
      </c>
      <c r="I3581" s="18"/>
    </row>
    <row r="3582" spans="1:9">
      <c r="A3582" s="943">
        <v>6</v>
      </c>
      <c r="B3582" s="944">
        <v>853.21</v>
      </c>
      <c r="C3582" s="944" t="s">
        <v>583</v>
      </c>
      <c r="D3582" s="943" t="s">
        <v>17</v>
      </c>
      <c r="E3582" s="952">
        <v>127750</v>
      </c>
      <c r="F3582" s="945">
        <v>3</v>
      </c>
      <c r="G3582" s="946">
        <v>12</v>
      </c>
      <c r="H3582" s="946">
        <v>14.06</v>
      </c>
    </row>
    <row r="3583" spans="1:9" s="26" customFormat="1">
      <c r="A3583" s="947">
        <v>6</v>
      </c>
      <c r="B3583" s="948">
        <v>853.33</v>
      </c>
      <c r="C3583" s="948" t="s">
        <v>587</v>
      </c>
      <c r="D3583" s="947" t="s">
        <v>17</v>
      </c>
      <c r="E3583" s="949">
        <v>47400</v>
      </c>
      <c r="F3583" s="950">
        <v>2</v>
      </c>
      <c r="G3583" s="951">
        <v>152.5</v>
      </c>
      <c r="H3583" s="951">
        <v>152.83000000000001</v>
      </c>
      <c r="I3583" s="18"/>
    </row>
    <row r="3584" spans="1:9">
      <c r="A3584" s="943">
        <v>6</v>
      </c>
      <c r="B3584" s="944">
        <v>853.40300000000002</v>
      </c>
      <c r="C3584" s="944" t="s">
        <v>588</v>
      </c>
      <c r="D3584" s="943" t="s">
        <v>42</v>
      </c>
      <c r="E3584" s="952">
        <v>4042</v>
      </c>
      <c r="F3584" s="945">
        <v>11</v>
      </c>
      <c r="G3584" s="946">
        <v>255</v>
      </c>
      <c r="H3584" s="946">
        <v>260.72000000000003</v>
      </c>
    </row>
    <row r="3585" spans="1:9" s="26" customFormat="1">
      <c r="A3585" s="947">
        <v>6</v>
      </c>
      <c r="B3585" s="948">
        <v>853.8</v>
      </c>
      <c r="C3585" s="948" t="s">
        <v>589</v>
      </c>
      <c r="D3585" s="947" t="s">
        <v>42</v>
      </c>
      <c r="E3585" s="949">
        <v>1837</v>
      </c>
      <c r="F3585" s="950">
        <v>8</v>
      </c>
      <c r="G3585" s="951">
        <v>85</v>
      </c>
      <c r="H3585" s="951">
        <v>126.45</v>
      </c>
      <c r="I3585" s="18"/>
    </row>
    <row r="3586" spans="1:9">
      <c r="A3586" s="943">
        <v>6</v>
      </c>
      <c r="B3586" s="944">
        <v>854.01599999999996</v>
      </c>
      <c r="C3586" s="944" t="s">
        <v>591</v>
      </c>
      <c r="D3586" s="943" t="s">
        <v>17</v>
      </c>
      <c r="E3586" s="952">
        <v>677700</v>
      </c>
      <c r="F3586" s="945">
        <v>5</v>
      </c>
      <c r="G3586" s="946">
        <v>0.77</v>
      </c>
      <c r="H3586" s="946">
        <v>0.67</v>
      </c>
    </row>
    <row r="3587" spans="1:9" s="26" customFormat="1">
      <c r="A3587" s="947">
        <v>6</v>
      </c>
      <c r="B3587" s="948">
        <v>854.03599999999994</v>
      </c>
      <c r="C3587" s="948" t="s">
        <v>592</v>
      </c>
      <c r="D3587" s="947" t="s">
        <v>17</v>
      </c>
      <c r="E3587" s="949">
        <v>43290</v>
      </c>
      <c r="F3587" s="950">
        <v>5</v>
      </c>
      <c r="G3587" s="951">
        <v>2.1</v>
      </c>
      <c r="H3587" s="951">
        <v>1.91</v>
      </c>
      <c r="I3587" s="18"/>
    </row>
    <row r="3588" spans="1:9">
      <c r="A3588" s="943">
        <v>6</v>
      </c>
      <c r="B3588" s="944">
        <v>854.1</v>
      </c>
      <c r="C3588" s="944" t="s">
        <v>593</v>
      </c>
      <c r="D3588" s="943" t="s">
        <v>3</v>
      </c>
      <c r="E3588" s="952">
        <v>77900</v>
      </c>
      <c r="F3588" s="945">
        <v>5</v>
      </c>
      <c r="G3588" s="946">
        <v>2</v>
      </c>
      <c r="H3588" s="946">
        <v>1.87</v>
      </c>
    </row>
    <row r="3589" spans="1:9" s="26" customFormat="1">
      <c r="A3589" s="947">
        <v>6</v>
      </c>
      <c r="B3589" s="948">
        <v>854.6</v>
      </c>
      <c r="C3589" s="948" t="s">
        <v>1454</v>
      </c>
      <c r="D3589" s="947" t="s">
        <v>42</v>
      </c>
      <c r="E3589" s="949">
        <v>1425</v>
      </c>
      <c r="F3589" s="950">
        <v>4</v>
      </c>
      <c r="G3589" s="951">
        <v>45</v>
      </c>
      <c r="H3589" s="951">
        <v>39.33</v>
      </c>
      <c r="I3589" s="18"/>
    </row>
    <row r="3590" spans="1:9">
      <c r="A3590" s="943">
        <v>6</v>
      </c>
      <c r="B3590" s="944">
        <v>856</v>
      </c>
      <c r="C3590" s="944" t="s">
        <v>595</v>
      </c>
      <c r="D3590" s="943" t="s">
        <v>42</v>
      </c>
      <c r="E3590" s="952">
        <v>24835</v>
      </c>
      <c r="F3590" s="945">
        <v>15</v>
      </c>
      <c r="G3590" s="946">
        <v>15</v>
      </c>
      <c r="H3590" s="946">
        <v>13.14</v>
      </c>
    </row>
    <row r="3591" spans="1:9" s="26" customFormat="1">
      <c r="A3591" s="947">
        <v>6</v>
      </c>
      <c r="B3591" s="948">
        <v>856.12</v>
      </c>
      <c r="C3591" s="948" t="s">
        <v>596</v>
      </c>
      <c r="D3591" s="947" t="s">
        <v>42</v>
      </c>
      <c r="E3591" s="949">
        <v>37519</v>
      </c>
      <c r="F3591" s="950">
        <v>15</v>
      </c>
      <c r="G3591" s="951">
        <v>25</v>
      </c>
      <c r="H3591" s="951">
        <v>26.47</v>
      </c>
      <c r="I3591" s="18"/>
    </row>
    <row r="3592" spans="1:9">
      <c r="A3592" s="943">
        <v>6</v>
      </c>
      <c r="B3592" s="944">
        <v>859</v>
      </c>
      <c r="C3592" s="944" t="s">
        <v>28</v>
      </c>
      <c r="D3592" s="943" t="s">
        <v>42</v>
      </c>
      <c r="E3592" s="952">
        <v>855366</v>
      </c>
      <c r="F3592" s="945">
        <v>15</v>
      </c>
      <c r="G3592" s="946">
        <v>0.3</v>
      </c>
      <c r="H3592" s="946">
        <v>0.3</v>
      </c>
    </row>
    <row r="3593" spans="1:9" s="26" customFormat="1">
      <c r="A3593" s="947">
        <v>6</v>
      </c>
      <c r="B3593" s="948">
        <v>859.1</v>
      </c>
      <c r="C3593" s="948" t="s">
        <v>1455</v>
      </c>
      <c r="D3593" s="947" t="s">
        <v>42</v>
      </c>
      <c r="E3593" s="949">
        <v>31364</v>
      </c>
      <c r="F3593" s="950">
        <v>12</v>
      </c>
      <c r="G3593" s="951">
        <v>5</v>
      </c>
      <c r="H3593" s="951">
        <v>4.95</v>
      </c>
      <c r="I3593" s="18"/>
    </row>
    <row r="3594" spans="1:9">
      <c r="A3594" s="943">
        <v>6</v>
      </c>
      <c r="B3594" s="944">
        <v>860.10599999999999</v>
      </c>
      <c r="C3594" s="944" t="s">
        <v>597</v>
      </c>
      <c r="D3594" s="943" t="s">
        <v>17</v>
      </c>
      <c r="E3594" s="952">
        <v>17760</v>
      </c>
      <c r="F3594" s="945">
        <v>1</v>
      </c>
      <c r="G3594" s="946">
        <v>1.1000000000000001</v>
      </c>
      <c r="H3594" s="946">
        <v>1.05</v>
      </c>
    </row>
    <row r="3595" spans="1:9" s="26" customFormat="1">
      <c r="A3595" s="947">
        <v>6</v>
      </c>
      <c r="B3595" s="948">
        <v>861.10599999999999</v>
      </c>
      <c r="C3595" s="948" t="s">
        <v>599</v>
      </c>
      <c r="D3595" s="947" t="s">
        <v>17</v>
      </c>
      <c r="E3595" s="949">
        <v>8800</v>
      </c>
      <c r="F3595" s="950">
        <v>1</v>
      </c>
      <c r="G3595" s="951">
        <v>1.1000000000000001</v>
      </c>
      <c r="H3595" s="951">
        <v>1.05</v>
      </c>
      <c r="I3595" s="18"/>
    </row>
    <row r="3596" spans="1:9">
      <c r="A3596" s="943">
        <v>6</v>
      </c>
      <c r="B3596" s="944">
        <v>864.02</v>
      </c>
      <c r="C3596" s="944" t="s">
        <v>603</v>
      </c>
      <c r="D3596" s="943" t="s">
        <v>3</v>
      </c>
      <c r="E3596" s="952">
        <v>1080</v>
      </c>
      <c r="F3596" s="945">
        <v>1</v>
      </c>
      <c r="G3596" s="946">
        <v>30</v>
      </c>
      <c r="H3596" s="946">
        <v>31.93</v>
      </c>
    </row>
    <row r="3597" spans="1:9" s="26" customFormat="1">
      <c r="A3597" s="947">
        <v>6</v>
      </c>
      <c r="B3597" s="948">
        <v>864.04</v>
      </c>
      <c r="C3597" s="948" t="s">
        <v>1456</v>
      </c>
      <c r="D3597" s="947" t="s">
        <v>3</v>
      </c>
      <c r="E3597" s="949">
        <v>25615</v>
      </c>
      <c r="F3597" s="950">
        <v>6</v>
      </c>
      <c r="G3597" s="951">
        <v>16.75</v>
      </c>
      <c r="H3597" s="951">
        <v>15.96</v>
      </c>
      <c r="I3597" s="18"/>
    </row>
    <row r="3598" spans="1:9">
      <c r="A3598" s="943">
        <v>6</v>
      </c>
      <c r="B3598" s="944">
        <v>864.07</v>
      </c>
      <c r="C3598" s="944" t="s">
        <v>604</v>
      </c>
      <c r="D3598" s="943" t="s">
        <v>3</v>
      </c>
      <c r="E3598" s="952">
        <v>5340</v>
      </c>
      <c r="F3598" s="945">
        <v>2</v>
      </c>
      <c r="G3598" s="946">
        <v>8</v>
      </c>
      <c r="H3598" s="946">
        <v>8.17</v>
      </c>
    </row>
    <row r="3599" spans="1:9" s="26" customFormat="1">
      <c r="A3599" s="947">
        <v>6</v>
      </c>
      <c r="B3599" s="948">
        <v>866.10599999999999</v>
      </c>
      <c r="C3599" s="948" t="s">
        <v>25</v>
      </c>
      <c r="D3599" s="947" t="s">
        <v>17</v>
      </c>
      <c r="E3599" s="949">
        <v>582930</v>
      </c>
      <c r="F3599" s="950">
        <v>6</v>
      </c>
      <c r="G3599" s="951">
        <v>1.55</v>
      </c>
      <c r="H3599" s="951">
        <v>1.64</v>
      </c>
      <c r="I3599" s="18"/>
    </row>
    <row r="3600" spans="1:9">
      <c r="A3600" s="943">
        <v>6</v>
      </c>
      <c r="B3600" s="944">
        <v>866.11199999999997</v>
      </c>
      <c r="C3600" s="944" t="s">
        <v>610</v>
      </c>
      <c r="D3600" s="943" t="s">
        <v>17</v>
      </c>
      <c r="E3600" s="952">
        <v>139720</v>
      </c>
      <c r="F3600" s="945">
        <v>5</v>
      </c>
      <c r="G3600" s="946">
        <v>5.12</v>
      </c>
      <c r="H3600" s="946">
        <v>5.32</v>
      </c>
    </row>
    <row r="3601" spans="1:9" s="26" customFormat="1">
      <c r="A3601" s="947">
        <v>6</v>
      </c>
      <c r="B3601" s="948">
        <v>867.10599999999999</v>
      </c>
      <c r="C3601" s="948" t="s">
        <v>613</v>
      </c>
      <c r="D3601" s="947" t="s">
        <v>17</v>
      </c>
      <c r="E3601" s="949">
        <v>570250</v>
      </c>
      <c r="F3601" s="950">
        <v>6</v>
      </c>
      <c r="G3601" s="951">
        <v>1.55</v>
      </c>
      <c r="H3601" s="951">
        <v>1.63</v>
      </c>
      <c r="I3601" s="18"/>
    </row>
    <row r="3602" spans="1:9">
      <c r="A3602" s="943">
        <v>6</v>
      </c>
      <c r="B3602" s="944">
        <v>867.11199999999997</v>
      </c>
      <c r="C3602" s="944" t="s">
        <v>50</v>
      </c>
      <c r="D3602" s="943" t="s">
        <v>17</v>
      </c>
      <c r="E3602" s="952">
        <v>3666</v>
      </c>
      <c r="F3602" s="945">
        <v>4</v>
      </c>
      <c r="G3602" s="946">
        <v>5.25</v>
      </c>
      <c r="H3602" s="946">
        <v>5.29</v>
      </c>
    </row>
    <row r="3603" spans="1:9" s="26" customFormat="1">
      <c r="A3603" s="947">
        <v>6</v>
      </c>
      <c r="B3603" s="948">
        <v>868.06</v>
      </c>
      <c r="C3603" s="948" t="s">
        <v>3317</v>
      </c>
      <c r="D3603" s="947" t="s">
        <v>17</v>
      </c>
      <c r="E3603" s="949">
        <v>46200</v>
      </c>
      <c r="F3603" s="950">
        <v>1</v>
      </c>
      <c r="G3603" s="951">
        <v>1.1000000000000001</v>
      </c>
      <c r="H3603" s="951">
        <v>1.05</v>
      </c>
      <c r="I3603" s="18"/>
    </row>
    <row r="3604" spans="1:9">
      <c r="A3604" s="943">
        <v>6</v>
      </c>
      <c r="B3604" s="944">
        <v>868.12</v>
      </c>
      <c r="C3604" s="944" t="s">
        <v>615</v>
      </c>
      <c r="D3604" s="943" t="s">
        <v>17</v>
      </c>
      <c r="E3604" s="952">
        <v>45900</v>
      </c>
      <c r="F3604" s="945">
        <v>2</v>
      </c>
      <c r="G3604" s="946">
        <v>5.25</v>
      </c>
      <c r="H3604" s="946">
        <v>5.31</v>
      </c>
    </row>
    <row r="3605" spans="1:9" s="26" customFormat="1">
      <c r="A3605" s="947">
        <v>6</v>
      </c>
      <c r="B3605" s="948">
        <v>869.06</v>
      </c>
      <c r="C3605" s="948" t="s">
        <v>3318</v>
      </c>
      <c r="D3605" s="947" t="s">
        <v>17</v>
      </c>
      <c r="E3605" s="949">
        <v>36900</v>
      </c>
      <c r="F3605" s="950">
        <v>1</v>
      </c>
      <c r="G3605" s="951">
        <v>1.1000000000000001</v>
      </c>
      <c r="H3605" s="951">
        <v>1.05</v>
      </c>
      <c r="I3605" s="18"/>
    </row>
    <row r="3606" spans="1:9">
      <c r="A3606" s="943">
        <v>6</v>
      </c>
      <c r="B3606" s="944">
        <v>869.12</v>
      </c>
      <c r="C3606" s="944" t="s">
        <v>616</v>
      </c>
      <c r="D3606" s="943" t="s">
        <v>17</v>
      </c>
      <c r="E3606" s="952">
        <v>4000</v>
      </c>
      <c r="F3606" s="945">
        <v>2</v>
      </c>
      <c r="G3606" s="946">
        <v>6.5</v>
      </c>
      <c r="H3606" s="946">
        <v>5.7</v>
      </c>
    </row>
    <row r="3607" spans="1:9" s="26" customFormat="1">
      <c r="A3607" s="947">
        <v>6</v>
      </c>
      <c r="B3607" s="948">
        <v>874</v>
      </c>
      <c r="C3607" s="948" t="s">
        <v>23</v>
      </c>
      <c r="D3607" s="947" t="s">
        <v>2</v>
      </c>
      <c r="E3607" s="949">
        <v>1241</v>
      </c>
      <c r="F3607" s="950">
        <v>3</v>
      </c>
      <c r="G3607" s="951">
        <v>138.5</v>
      </c>
      <c r="H3607" s="951">
        <v>131.09</v>
      </c>
      <c r="I3607" s="18"/>
    </row>
    <row r="3608" spans="1:9">
      <c r="A3608" s="943">
        <v>6</v>
      </c>
      <c r="B3608" s="944">
        <v>874.2</v>
      </c>
      <c r="C3608" s="944" t="s">
        <v>618</v>
      </c>
      <c r="D3608" s="943" t="s">
        <v>2</v>
      </c>
      <c r="E3608" s="945">
        <v>139</v>
      </c>
      <c r="F3608" s="945">
        <v>3</v>
      </c>
      <c r="G3608" s="946">
        <v>146.22</v>
      </c>
      <c r="H3608" s="946">
        <v>160.58000000000001</v>
      </c>
    </row>
    <row r="3609" spans="1:9" s="26" customFormat="1">
      <c r="A3609" s="947">
        <v>6</v>
      </c>
      <c r="B3609" s="948">
        <v>874.4</v>
      </c>
      <c r="C3609" s="948" t="s">
        <v>620</v>
      </c>
      <c r="D3609" s="947" t="s">
        <v>2</v>
      </c>
      <c r="E3609" s="950">
        <v>30</v>
      </c>
      <c r="F3609" s="950">
        <v>1</v>
      </c>
      <c r="G3609" s="951">
        <v>50</v>
      </c>
      <c r="H3609" s="951">
        <v>41.67</v>
      </c>
      <c r="I3609" s="18"/>
    </row>
    <row r="3610" spans="1:9">
      <c r="A3610" s="943">
        <v>6</v>
      </c>
      <c r="B3610" s="944">
        <v>874.6</v>
      </c>
      <c r="C3610" s="944" t="s">
        <v>3324</v>
      </c>
      <c r="D3610" s="943" t="s">
        <v>3</v>
      </c>
      <c r="E3610" s="952">
        <v>2840</v>
      </c>
      <c r="F3610" s="945">
        <v>1</v>
      </c>
      <c r="G3610" s="946">
        <v>17</v>
      </c>
      <c r="H3610" s="946">
        <v>17.5</v>
      </c>
    </row>
    <row r="3611" spans="1:9" s="26" customFormat="1">
      <c r="A3611" s="947">
        <v>6</v>
      </c>
      <c r="B3611" s="948">
        <v>875.1</v>
      </c>
      <c r="C3611" s="948" t="s">
        <v>3325</v>
      </c>
      <c r="D3611" s="947" t="s">
        <v>2</v>
      </c>
      <c r="E3611" s="950">
        <v>68</v>
      </c>
      <c r="F3611" s="950">
        <v>1</v>
      </c>
      <c r="G3611" s="951">
        <v>650</v>
      </c>
      <c r="H3611" s="951">
        <v>581.25</v>
      </c>
      <c r="I3611" s="18"/>
    </row>
    <row r="3612" spans="1:9">
      <c r="A3612" s="943">
        <v>6</v>
      </c>
      <c r="B3612" s="944">
        <v>875.2</v>
      </c>
      <c r="C3612" s="944" t="s">
        <v>3326</v>
      </c>
      <c r="D3612" s="943" t="s">
        <v>2</v>
      </c>
      <c r="E3612" s="945">
        <v>6</v>
      </c>
      <c r="F3612" s="945">
        <v>1</v>
      </c>
      <c r="G3612" s="946">
        <v>325</v>
      </c>
      <c r="H3612" s="946">
        <v>325</v>
      </c>
    </row>
    <row r="3613" spans="1:9" s="26" customFormat="1">
      <c r="A3613" s="947">
        <v>6</v>
      </c>
      <c r="B3613" s="948">
        <v>877</v>
      </c>
      <c r="C3613" s="948" t="s">
        <v>621</v>
      </c>
      <c r="D3613" s="947" t="s">
        <v>2</v>
      </c>
      <c r="E3613" s="950">
        <v>88</v>
      </c>
      <c r="F3613" s="950">
        <v>1</v>
      </c>
      <c r="G3613" s="951">
        <v>120</v>
      </c>
      <c r="H3613" s="951">
        <v>120</v>
      </c>
      <c r="I3613" s="18"/>
    </row>
    <row r="3614" spans="1:9">
      <c r="A3614" s="943">
        <v>6</v>
      </c>
      <c r="B3614" s="944">
        <v>901</v>
      </c>
      <c r="C3614" s="944" t="s">
        <v>624</v>
      </c>
      <c r="D3614" s="943" t="s">
        <v>4</v>
      </c>
      <c r="E3614" s="945">
        <v>258</v>
      </c>
      <c r="F3614" s="945">
        <v>3</v>
      </c>
      <c r="G3614" s="946">
        <v>650</v>
      </c>
      <c r="H3614" s="946">
        <v>980</v>
      </c>
    </row>
    <row r="3615" spans="1:9" s="26" customFormat="1">
      <c r="A3615" s="947">
        <v>6</v>
      </c>
      <c r="B3615" s="948">
        <v>903</v>
      </c>
      <c r="C3615" s="948" t="s">
        <v>626</v>
      </c>
      <c r="D3615" s="947" t="s">
        <v>4</v>
      </c>
      <c r="E3615" s="950">
        <v>152</v>
      </c>
      <c r="F3615" s="950">
        <v>4</v>
      </c>
      <c r="G3615" s="951">
        <v>775</v>
      </c>
      <c r="H3615" s="951">
        <v>751.22</v>
      </c>
      <c r="I3615" s="18"/>
    </row>
    <row r="3616" spans="1:9">
      <c r="A3616" s="943">
        <v>6</v>
      </c>
      <c r="B3616" s="944">
        <v>904</v>
      </c>
      <c r="C3616" s="944" t="s">
        <v>627</v>
      </c>
      <c r="D3616" s="943" t="s">
        <v>4</v>
      </c>
      <c r="E3616" s="945">
        <v>100</v>
      </c>
      <c r="F3616" s="945">
        <v>1</v>
      </c>
      <c r="G3616" s="946">
        <v>675</v>
      </c>
      <c r="H3616" s="946">
        <v>550</v>
      </c>
    </row>
    <row r="3617" spans="1:9" s="26" customFormat="1">
      <c r="A3617" s="947">
        <v>6</v>
      </c>
      <c r="B3617" s="948">
        <v>904.3</v>
      </c>
      <c r="C3617" s="948" t="s">
        <v>628</v>
      </c>
      <c r="D3617" s="947" t="s">
        <v>4</v>
      </c>
      <c r="E3617" s="950">
        <v>680</v>
      </c>
      <c r="F3617" s="950">
        <v>1</v>
      </c>
      <c r="G3617" s="951">
        <v>2890</v>
      </c>
      <c r="H3617" s="951">
        <v>2395</v>
      </c>
      <c r="I3617" s="18"/>
    </row>
    <row r="3618" spans="1:9">
      <c r="A3618" s="943">
        <v>6</v>
      </c>
      <c r="B3618" s="944">
        <v>905</v>
      </c>
      <c r="C3618" s="944" t="s">
        <v>630</v>
      </c>
      <c r="D3618" s="943" t="s">
        <v>4</v>
      </c>
      <c r="E3618" s="945">
        <v>415</v>
      </c>
      <c r="F3618" s="945">
        <v>2</v>
      </c>
      <c r="G3618" s="946">
        <v>9082.5</v>
      </c>
      <c r="H3618" s="946">
        <v>9366.43</v>
      </c>
    </row>
    <row r="3619" spans="1:9" s="26" customFormat="1">
      <c r="A3619" s="947">
        <v>6</v>
      </c>
      <c r="B3619" s="948">
        <v>908</v>
      </c>
      <c r="C3619" s="948" t="s">
        <v>633</v>
      </c>
      <c r="D3619" s="947" t="s">
        <v>634</v>
      </c>
      <c r="E3619" s="950">
        <v>400</v>
      </c>
      <c r="F3619" s="950">
        <v>1</v>
      </c>
      <c r="G3619" s="951">
        <v>500</v>
      </c>
      <c r="H3619" s="951">
        <v>463.75</v>
      </c>
      <c r="I3619" s="18"/>
    </row>
    <row r="3620" spans="1:9">
      <c r="A3620" s="943">
        <v>6</v>
      </c>
      <c r="B3620" s="944">
        <v>909.2</v>
      </c>
      <c r="C3620" s="944" t="s">
        <v>635</v>
      </c>
      <c r="D3620" s="943" t="s">
        <v>3</v>
      </c>
      <c r="E3620" s="952">
        <v>2600</v>
      </c>
      <c r="F3620" s="945">
        <v>2</v>
      </c>
      <c r="G3620" s="946">
        <v>71</v>
      </c>
      <c r="H3620" s="946">
        <v>50.67</v>
      </c>
    </row>
    <row r="3621" spans="1:9" s="26" customFormat="1">
      <c r="A3621" s="947">
        <v>6</v>
      </c>
      <c r="B3621" s="948">
        <v>909.99</v>
      </c>
      <c r="C3621" s="948" t="s">
        <v>1458</v>
      </c>
      <c r="D3621" s="947" t="s">
        <v>634</v>
      </c>
      <c r="E3621" s="950">
        <v>30</v>
      </c>
      <c r="F3621" s="950">
        <v>1</v>
      </c>
      <c r="G3621" s="951">
        <v>75</v>
      </c>
      <c r="H3621" s="951">
        <v>67.5</v>
      </c>
      <c r="I3621" s="18"/>
    </row>
    <row r="3622" spans="1:9">
      <c r="A3622" s="943">
        <v>6</v>
      </c>
      <c r="B3622" s="944">
        <v>910</v>
      </c>
      <c r="C3622" s="944" t="s">
        <v>636</v>
      </c>
      <c r="D3622" s="943" t="s">
        <v>100</v>
      </c>
      <c r="E3622" s="952">
        <v>1600</v>
      </c>
      <c r="F3622" s="945">
        <v>1</v>
      </c>
      <c r="G3622" s="946">
        <v>2.13</v>
      </c>
      <c r="H3622" s="946">
        <v>2.13</v>
      </c>
    </row>
    <row r="3623" spans="1:9" s="26" customFormat="1">
      <c r="A3623" s="947">
        <v>6</v>
      </c>
      <c r="B3623" s="948">
        <v>910.1</v>
      </c>
      <c r="C3623" s="948" t="s">
        <v>637</v>
      </c>
      <c r="D3623" s="947" t="s">
        <v>100</v>
      </c>
      <c r="E3623" s="949">
        <v>437305</v>
      </c>
      <c r="F3623" s="950">
        <v>5</v>
      </c>
      <c r="G3623" s="951">
        <v>3.5</v>
      </c>
      <c r="H3623" s="951">
        <v>3.61</v>
      </c>
      <c r="I3623" s="18"/>
    </row>
    <row r="3624" spans="1:9">
      <c r="A3624" s="943">
        <v>6</v>
      </c>
      <c r="B3624" s="944">
        <v>912</v>
      </c>
      <c r="C3624" s="944" t="s">
        <v>641</v>
      </c>
      <c r="D3624" s="943" t="s">
        <v>2</v>
      </c>
      <c r="E3624" s="945">
        <v>330</v>
      </c>
      <c r="F3624" s="945">
        <v>1</v>
      </c>
      <c r="G3624" s="946">
        <v>125</v>
      </c>
      <c r="H3624" s="946">
        <v>91.67</v>
      </c>
    </row>
    <row r="3625" spans="1:9" s="26" customFormat="1">
      <c r="A3625" s="947">
        <v>6</v>
      </c>
      <c r="B3625" s="948">
        <v>912.5</v>
      </c>
      <c r="C3625" s="948" t="s">
        <v>642</v>
      </c>
      <c r="D3625" s="947" t="s">
        <v>2</v>
      </c>
      <c r="E3625" s="950">
        <v>144</v>
      </c>
      <c r="F3625" s="950">
        <v>1</v>
      </c>
      <c r="G3625" s="951">
        <v>106</v>
      </c>
      <c r="H3625" s="951">
        <v>104</v>
      </c>
      <c r="I3625" s="18"/>
    </row>
    <row r="3626" spans="1:9">
      <c r="A3626" s="943">
        <v>6</v>
      </c>
      <c r="B3626" s="944">
        <v>912.6</v>
      </c>
      <c r="C3626" s="944" t="s">
        <v>643</v>
      </c>
      <c r="D3626" s="943" t="s">
        <v>2</v>
      </c>
      <c r="E3626" s="945">
        <v>60</v>
      </c>
      <c r="F3626" s="945">
        <v>1</v>
      </c>
      <c r="G3626" s="946">
        <v>125</v>
      </c>
      <c r="H3626" s="946">
        <v>118.33</v>
      </c>
    </row>
    <row r="3627" spans="1:9" s="26" customFormat="1">
      <c r="A3627" s="947">
        <v>6</v>
      </c>
      <c r="B3627" s="948">
        <v>912.7</v>
      </c>
      <c r="C3627" s="948" t="s">
        <v>3349</v>
      </c>
      <c r="D3627" s="947" t="s">
        <v>2</v>
      </c>
      <c r="E3627" s="949">
        <v>1708</v>
      </c>
      <c r="F3627" s="950">
        <v>1</v>
      </c>
      <c r="G3627" s="951">
        <v>130</v>
      </c>
      <c r="H3627" s="951">
        <v>126.75</v>
      </c>
      <c r="I3627" s="18"/>
    </row>
    <row r="3628" spans="1:9">
      <c r="A3628" s="943">
        <v>6</v>
      </c>
      <c r="B3628" s="944">
        <v>913.31</v>
      </c>
      <c r="C3628" s="944" t="s">
        <v>645</v>
      </c>
      <c r="D3628" s="943" t="s">
        <v>17</v>
      </c>
      <c r="E3628" s="952">
        <v>7380</v>
      </c>
      <c r="F3628" s="945">
        <v>1</v>
      </c>
      <c r="G3628" s="946">
        <v>55</v>
      </c>
      <c r="H3628" s="946">
        <v>52.5</v>
      </c>
    </row>
    <row r="3629" spans="1:9" s="26" customFormat="1">
      <c r="A3629" s="947">
        <v>6</v>
      </c>
      <c r="B3629" s="948">
        <v>964.1</v>
      </c>
      <c r="C3629" s="948" t="s">
        <v>663</v>
      </c>
      <c r="D3629" s="947" t="s">
        <v>3</v>
      </c>
      <c r="E3629" s="949">
        <v>37600</v>
      </c>
      <c r="F3629" s="950">
        <v>1</v>
      </c>
      <c r="G3629" s="951">
        <v>18.5</v>
      </c>
      <c r="H3629" s="951">
        <v>19.13</v>
      </c>
      <c r="I3629" s="18"/>
    </row>
    <row r="3630" spans="1:9">
      <c r="A3630" s="943">
        <v>6</v>
      </c>
      <c r="B3630" s="944">
        <v>966</v>
      </c>
      <c r="C3630" s="944" t="s">
        <v>1466</v>
      </c>
      <c r="D3630" s="943" t="s">
        <v>3</v>
      </c>
      <c r="E3630" s="952">
        <v>142700</v>
      </c>
      <c r="F3630" s="945">
        <v>2</v>
      </c>
      <c r="G3630" s="946">
        <v>3.75</v>
      </c>
      <c r="H3630" s="946">
        <v>3.88</v>
      </c>
    </row>
    <row r="3631" spans="1:9" s="26" customFormat="1">
      <c r="A3631" s="947">
        <v>6</v>
      </c>
      <c r="B3631" s="948">
        <v>968.4</v>
      </c>
      <c r="C3631" s="948" t="s">
        <v>1468</v>
      </c>
      <c r="D3631" s="947" t="s">
        <v>2</v>
      </c>
      <c r="E3631" s="950">
        <v>8</v>
      </c>
      <c r="F3631" s="950">
        <v>1</v>
      </c>
      <c r="G3631" s="951">
        <v>2835</v>
      </c>
      <c r="H3631" s="951">
        <v>2835</v>
      </c>
      <c r="I3631" s="18"/>
    </row>
    <row r="3632" spans="1:9">
      <c r="A3632" s="943">
        <v>6</v>
      </c>
      <c r="B3632" s="944">
        <v>983</v>
      </c>
      <c r="C3632" s="944" t="s">
        <v>671</v>
      </c>
      <c r="D3632" s="943" t="s">
        <v>7</v>
      </c>
      <c r="E3632" s="945">
        <v>618</v>
      </c>
      <c r="F3632" s="945">
        <v>1</v>
      </c>
      <c r="G3632" s="946">
        <v>139.5</v>
      </c>
      <c r="H3632" s="946">
        <v>139.5</v>
      </c>
    </row>
    <row r="3633" spans="1:9" s="26" customFormat="1">
      <c r="A3633" s="947">
        <v>6</v>
      </c>
      <c r="B3633" s="948">
        <v>983.1</v>
      </c>
      <c r="C3633" s="948" t="s">
        <v>672</v>
      </c>
      <c r="D3633" s="947" t="s">
        <v>7</v>
      </c>
      <c r="E3633" s="950">
        <v>70</v>
      </c>
      <c r="F3633" s="950">
        <v>1</v>
      </c>
      <c r="G3633" s="951">
        <v>180</v>
      </c>
      <c r="H3633" s="951">
        <v>180</v>
      </c>
      <c r="I3633" s="18"/>
    </row>
    <row r="3634" spans="1:9">
      <c r="A3634" s="943">
        <v>6</v>
      </c>
      <c r="B3634" s="944">
        <v>986</v>
      </c>
      <c r="C3634" s="944" t="s">
        <v>675</v>
      </c>
      <c r="D3634" s="943" t="s">
        <v>7</v>
      </c>
      <c r="E3634" s="945">
        <v>100</v>
      </c>
      <c r="F3634" s="945">
        <v>1</v>
      </c>
      <c r="G3634" s="946">
        <v>419</v>
      </c>
      <c r="H3634" s="946">
        <v>419</v>
      </c>
    </row>
    <row r="3635" spans="1:9" s="26" customFormat="1">
      <c r="A3635" s="947">
        <v>6</v>
      </c>
      <c r="B3635" s="948">
        <v>994.01</v>
      </c>
      <c r="C3635" s="948" t="s">
        <v>682</v>
      </c>
      <c r="D3635" s="947" t="s">
        <v>22</v>
      </c>
      <c r="E3635" s="950">
        <v>4</v>
      </c>
      <c r="F3635" s="950">
        <v>1</v>
      </c>
      <c r="G3635" s="951">
        <v>19403310</v>
      </c>
      <c r="H3635" s="951">
        <v>18225827.5</v>
      </c>
      <c r="I3635" s="18"/>
    </row>
    <row r="3636" spans="1:9">
      <c r="A3636" s="943">
        <v>6</v>
      </c>
      <c r="B3636" s="944">
        <v>994.1</v>
      </c>
      <c r="C3636" s="944" t="s">
        <v>683</v>
      </c>
      <c r="D3636" s="943" t="s">
        <v>3</v>
      </c>
      <c r="E3636" s="952">
        <v>15000</v>
      </c>
      <c r="F3636" s="945">
        <v>1</v>
      </c>
      <c r="G3636" s="946">
        <v>11.5</v>
      </c>
      <c r="H3636" s="946">
        <v>11.83</v>
      </c>
    </row>
    <row r="3637" spans="1:9" s="26" customFormat="1">
      <c r="A3637" s="947">
        <v>6</v>
      </c>
      <c r="B3637" s="948">
        <v>994.3</v>
      </c>
      <c r="C3637" s="948" t="s">
        <v>3617</v>
      </c>
      <c r="D3637" s="947" t="s">
        <v>3</v>
      </c>
      <c r="E3637" s="949">
        <v>9000</v>
      </c>
      <c r="F3637" s="950">
        <v>1</v>
      </c>
      <c r="G3637" s="951">
        <v>4</v>
      </c>
      <c r="H3637" s="951">
        <v>4.33</v>
      </c>
      <c r="I3637" s="18"/>
    </row>
    <row r="3638" spans="1:9">
      <c r="A3638" s="947" t="s">
        <v>81</v>
      </c>
      <c r="B3638" s="948">
        <v>813.72</v>
      </c>
      <c r="C3638" s="948" t="s">
        <v>523</v>
      </c>
      <c r="D3638" s="947" t="s">
        <v>2</v>
      </c>
      <c r="E3638" s="950">
        <v>11</v>
      </c>
      <c r="F3638" s="950">
        <v>2</v>
      </c>
      <c r="G3638" s="951">
        <v>310</v>
      </c>
      <c r="H3638" s="951">
        <v>327.14</v>
      </c>
    </row>
    <row r="3639" spans="1:9" s="26" customFormat="1">
      <c r="A3639" s="947"/>
      <c r="B3639" s="948"/>
      <c r="C3639" s="948"/>
      <c r="D3639" s="947"/>
      <c r="E3639" s="949"/>
      <c r="F3639" s="950"/>
      <c r="G3639" s="951"/>
      <c r="H3639" s="951"/>
      <c r="I3639" s="18"/>
    </row>
    <row r="3640" spans="1:9">
      <c r="A3640" s="943"/>
      <c r="B3640" s="944"/>
      <c r="C3640" s="944"/>
      <c r="D3640" s="943"/>
      <c r="E3640" s="952"/>
      <c r="F3640" s="945"/>
      <c r="G3640" s="946"/>
      <c r="H3640" s="946"/>
    </row>
    <row r="3641" spans="1:9" s="26" customFormat="1">
      <c r="A3641" s="947"/>
      <c r="B3641" s="948"/>
      <c r="C3641" s="948"/>
      <c r="D3641" s="947"/>
      <c r="E3641" s="949"/>
      <c r="F3641" s="950"/>
      <c r="G3641" s="951"/>
      <c r="H3641" s="951"/>
      <c r="I3641" s="18"/>
    </row>
    <row r="3642" spans="1:9">
      <c r="A3642" s="943"/>
      <c r="B3642" s="944"/>
      <c r="C3642" s="944"/>
      <c r="D3642" s="943"/>
      <c r="E3642" s="945"/>
      <c r="F3642" s="945"/>
      <c r="G3642" s="946"/>
      <c r="H3642" s="946"/>
    </row>
    <row r="3643" spans="1:9" s="26" customFormat="1">
      <c r="A3643" s="947"/>
      <c r="B3643" s="948"/>
      <c r="C3643" s="948"/>
      <c r="D3643" s="947"/>
      <c r="E3643" s="950"/>
      <c r="F3643" s="950"/>
      <c r="G3643" s="951"/>
      <c r="H3643" s="951"/>
    </row>
    <row r="3644" spans="1:9">
      <c r="A3644" s="943"/>
      <c r="B3644" s="944"/>
      <c r="C3644" s="944"/>
      <c r="D3644" s="943"/>
      <c r="E3644" s="945"/>
      <c r="F3644" s="945"/>
      <c r="G3644" s="946"/>
      <c r="H3644" s="946"/>
    </row>
    <row r="3645" spans="1:9">
      <c r="A3645" s="947"/>
      <c r="B3645" s="948"/>
      <c r="C3645" s="948"/>
      <c r="D3645" s="947"/>
      <c r="E3645" s="949"/>
      <c r="F3645" s="950"/>
      <c r="G3645" s="951"/>
      <c r="H3645" s="951"/>
    </row>
    <row r="3646" spans="1:9">
      <c r="A3646" s="943"/>
      <c r="B3646" s="944"/>
      <c r="C3646" s="944"/>
      <c r="D3646" s="943"/>
      <c r="E3646" s="945"/>
      <c r="F3646" s="945"/>
      <c r="G3646" s="946"/>
      <c r="H3646" s="946"/>
    </row>
    <row r="3647" spans="1:9">
      <c r="A3647" s="947"/>
      <c r="B3647" s="948"/>
      <c r="C3647" s="948"/>
      <c r="D3647" s="947"/>
      <c r="E3647" s="950"/>
      <c r="F3647" s="950"/>
      <c r="G3647" s="951"/>
      <c r="H3647" s="951"/>
    </row>
    <row r="3648" spans="1:9">
      <c r="A3648" s="943"/>
      <c r="B3648" s="944"/>
      <c r="C3648" s="944"/>
      <c r="D3648" s="943"/>
      <c r="E3648" s="945"/>
      <c r="F3648" s="945"/>
      <c r="G3648" s="946"/>
      <c r="H3648" s="946"/>
    </row>
    <row r="3649" spans="1:8">
      <c r="A3649" s="947"/>
      <c r="B3649" s="948"/>
      <c r="C3649" s="948"/>
      <c r="D3649" s="947"/>
      <c r="E3649" s="950"/>
      <c r="F3649" s="950"/>
      <c r="G3649" s="951"/>
      <c r="H3649" s="951"/>
    </row>
    <row r="3650" spans="1:8">
      <c r="A3650" s="943"/>
      <c r="B3650" s="944"/>
      <c r="C3650" s="944"/>
      <c r="D3650" s="943"/>
      <c r="E3650" s="945"/>
      <c r="F3650" s="945"/>
      <c r="G3650" s="946"/>
      <c r="H3650" s="946"/>
    </row>
    <row r="3651" spans="1:8">
      <c r="A3651" s="947"/>
      <c r="B3651" s="948"/>
      <c r="C3651" s="948"/>
      <c r="D3651" s="947"/>
      <c r="E3651" s="950"/>
      <c r="F3651" s="950"/>
      <c r="G3651" s="951"/>
      <c r="H3651" s="951"/>
    </row>
    <row r="3652" spans="1:8">
      <c r="A3652" s="943"/>
      <c r="B3652" s="944"/>
      <c r="C3652" s="944"/>
      <c r="D3652" s="943"/>
      <c r="E3652" s="945"/>
      <c r="F3652" s="945"/>
      <c r="G3652" s="946"/>
      <c r="H3652" s="946"/>
    </row>
    <row r="3653" spans="1:8">
      <c r="A3653" s="947"/>
      <c r="B3653" s="948"/>
      <c r="C3653" s="948"/>
      <c r="D3653" s="947"/>
      <c r="E3653" s="950"/>
      <c r="F3653" s="950"/>
      <c r="G3653" s="951"/>
      <c r="H3653" s="951"/>
    </row>
    <row r="3654" spans="1:8">
      <c r="A3654" s="943"/>
      <c r="B3654" s="944"/>
      <c r="C3654" s="944"/>
      <c r="D3654" s="943"/>
      <c r="E3654" s="945"/>
      <c r="F3654" s="945"/>
      <c r="G3654" s="946"/>
      <c r="H3654" s="946"/>
    </row>
    <row r="3655" spans="1:8">
      <c r="A3655" s="947"/>
      <c r="B3655" s="948"/>
      <c r="C3655" s="948"/>
      <c r="D3655" s="947"/>
      <c r="E3655" s="950"/>
      <c r="F3655" s="950"/>
      <c r="G3655" s="951"/>
      <c r="H3655" s="951"/>
    </row>
    <row r="3656" spans="1:8">
      <c r="A3656" s="943"/>
      <c r="B3656" s="944"/>
      <c r="C3656" s="944"/>
      <c r="D3656" s="943"/>
      <c r="E3656" s="945"/>
      <c r="F3656" s="945"/>
      <c r="G3656" s="946"/>
      <c r="H3656" s="946"/>
    </row>
    <row r="3657" spans="1:8">
      <c r="A3657" s="947"/>
      <c r="B3657" s="948"/>
      <c r="C3657" s="948"/>
      <c r="D3657" s="947"/>
      <c r="E3657" s="949"/>
      <c r="F3657" s="950"/>
      <c r="G3657" s="951"/>
      <c r="H3657" s="951"/>
    </row>
    <row r="3658" spans="1:8">
      <c r="A3658" s="943"/>
      <c r="B3658" s="944"/>
      <c r="C3658" s="944"/>
      <c r="D3658" s="943"/>
      <c r="E3658" s="952"/>
      <c r="F3658" s="945"/>
      <c r="G3658" s="946"/>
      <c r="H3658" s="946"/>
    </row>
    <row r="3659" spans="1:8">
      <c r="A3659" s="947"/>
      <c r="B3659" s="948"/>
      <c r="C3659" s="948"/>
      <c r="D3659" s="947"/>
      <c r="E3659" s="949"/>
      <c r="F3659" s="950"/>
      <c r="G3659" s="951"/>
      <c r="H3659" s="951"/>
    </row>
    <row r="3660" spans="1:8">
      <c r="A3660" s="943"/>
      <c r="B3660" s="944"/>
      <c r="C3660" s="944"/>
      <c r="D3660" s="943"/>
      <c r="E3660" s="945"/>
      <c r="F3660" s="945"/>
      <c r="G3660" s="946"/>
      <c r="H3660" s="946"/>
    </row>
    <row r="3661" spans="1:8">
      <c r="A3661" s="947"/>
      <c r="B3661" s="948"/>
      <c r="C3661" s="948"/>
      <c r="D3661" s="947"/>
      <c r="E3661" s="950"/>
      <c r="F3661" s="950"/>
      <c r="G3661" s="951"/>
      <c r="H3661" s="951"/>
    </row>
    <row r="3662" spans="1:8">
      <c r="A3662" s="943"/>
      <c r="B3662" s="944"/>
      <c r="C3662" s="944"/>
      <c r="D3662" s="943"/>
      <c r="E3662" s="952"/>
      <c r="F3662" s="945"/>
      <c r="G3662" s="946"/>
      <c r="H3662" s="946"/>
    </row>
    <row r="3663" spans="1:8">
      <c r="A3663" s="947"/>
      <c r="B3663" s="948"/>
      <c r="C3663" s="948"/>
      <c r="D3663" s="947"/>
      <c r="E3663" s="950"/>
      <c r="F3663" s="950"/>
      <c r="G3663" s="951"/>
      <c r="H3663" s="951"/>
    </row>
    <row r="3664" spans="1:8">
      <c r="A3664" s="943"/>
      <c r="B3664" s="944"/>
      <c r="C3664" s="944"/>
      <c r="D3664" s="943"/>
      <c r="E3664" s="945"/>
      <c r="F3664" s="945"/>
      <c r="G3664" s="946"/>
      <c r="H3664" s="946"/>
    </row>
    <row r="3665" spans="1:8">
      <c r="A3665" s="947"/>
      <c r="B3665" s="948"/>
      <c r="C3665" s="948"/>
      <c r="D3665" s="947"/>
      <c r="E3665" s="949"/>
      <c r="F3665" s="950"/>
      <c r="G3665" s="951"/>
      <c r="H3665" s="951"/>
    </row>
    <row r="3666" spans="1:8">
      <c r="A3666" s="943"/>
      <c r="B3666" s="944"/>
      <c r="C3666" s="944"/>
      <c r="D3666" s="943"/>
      <c r="E3666" s="945"/>
      <c r="F3666" s="945"/>
      <c r="G3666" s="946"/>
      <c r="H3666" s="946"/>
    </row>
    <row r="3667" spans="1:8">
      <c r="A3667" s="947"/>
      <c r="B3667" s="948"/>
      <c r="C3667" s="948"/>
      <c r="D3667" s="947"/>
      <c r="E3667" s="950"/>
      <c r="F3667" s="950"/>
      <c r="G3667" s="951"/>
      <c r="H3667" s="951"/>
    </row>
    <row r="3668" spans="1:8">
      <c r="A3668" s="943"/>
      <c r="B3668" s="944"/>
      <c r="C3668" s="944"/>
      <c r="D3668" s="943"/>
      <c r="E3668" s="945"/>
      <c r="F3668" s="945"/>
      <c r="G3668" s="946"/>
      <c r="H3668" s="946"/>
    </row>
    <row r="3669" spans="1:8">
      <c r="A3669" s="947"/>
      <c r="B3669" s="948"/>
      <c r="C3669" s="948"/>
      <c r="D3669" s="947"/>
      <c r="E3669" s="950"/>
      <c r="F3669" s="950"/>
      <c r="G3669" s="951"/>
      <c r="H3669" s="951"/>
    </row>
    <row r="3670" spans="1:8">
      <c r="A3670" s="943"/>
      <c r="B3670" s="944"/>
      <c r="C3670" s="944"/>
      <c r="D3670" s="943"/>
      <c r="E3670" s="952"/>
      <c r="F3670" s="945"/>
      <c r="G3670" s="946"/>
      <c r="H3670" s="946"/>
    </row>
    <row r="3671" spans="1:8">
      <c r="A3671" s="947"/>
      <c r="B3671" s="948"/>
      <c r="C3671" s="948"/>
      <c r="D3671" s="947"/>
      <c r="E3671" s="949"/>
      <c r="F3671" s="950"/>
      <c r="G3671" s="951"/>
      <c r="H3671" s="951"/>
    </row>
    <row r="3672" spans="1:8">
      <c r="A3672" s="943"/>
      <c r="B3672" s="944"/>
      <c r="C3672" s="944"/>
      <c r="D3672" s="943"/>
      <c r="E3672" s="945"/>
      <c r="F3672" s="945"/>
      <c r="G3672" s="946"/>
      <c r="H3672" s="946"/>
    </row>
    <row r="3673" spans="1:8">
      <c r="A3673" s="947"/>
      <c r="B3673" s="948"/>
      <c r="C3673" s="948"/>
      <c r="D3673" s="947"/>
      <c r="E3673" s="950"/>
      <c r="F3673" s="950"/>
      <c r="G3673" s="951"/>
      <c r="H3673" s="951"/>
    </row>
    <row r="3674" spans="1:8">
      <c r="A3674" s="943"/>
      <c r="B3674" s="944"/>
      <c r="C3674" s="944"/>
      <c r="D3674" s="943"/>
      <c r="E3674" s="945"/>
      <c r="F3674" s="945"/>
      <c r="G3674" s="946"/>
      <c r="H3674" s="946"/>
    </row>
    <row r="3675" spans="1:8">
      <c r="A3675" s="947"/>
      <c r="B3675" s="948"/>
      <c r="C3675" s="948"/>
      <c r="D3675" s="947"/>
      <c r="E3675" s="950"/>
      <c r="F3675" s="950"/>
      <c r="G3675" s="951"/>
      <c r="H3675" s="951"/>
    </row>
    <row r="3676" spans="1:8">
      <c r="A3676" s="943"/>
      <c r="B3676" s="944"/>
      <c r="C3676" s="944"/>
      <c r="D3676" s="943"/>
      <c r="E3676" s="945"/>
      <c r="F3676" s="945"/>
      <c r="G3676" s="946"/>
      <c r="H3676" s="946"/>
    </row>
    <row r="3677" spans="1:8">
      <c r="A3677" s="947"/>
      <c r="B3677" s="948"/>
      <c r="C3677" s="948"/>
      <c r="D3677" s="947"/>
      <c r="E3677" s="950"/>
      <c r="F3677" s="950"/>
      <c r="G3677" s="951"/>
      <c r="H3677" s="951"/>
    </row>
    <row r="3678" spans="1:8">
      <c r="A3678" s="943"/>
      <c r="B3678" s="944"/>
      <c r="C3678" s="944"/>
      <c r="D3678" s="943"/>
      <c r="E3678" s="945"/>
      <c r="F3678" s="945"/>
      <c r="G3678" s="946"/>
      <c r="H3678" s="946"/>
    </row>
    <row r="3679" spans="1:8">
      <c r="A3679" s="947"/>
      <c r="B3679" s="948"/>
      <c r="C3679" s="948"/>
      <c r="D3679" s="947"/>
      <c r="E3679" s="950"/>
      <c r="F3679" s="950"/>
      <c r="G3679" s="951"/>
      <c r="H3679" s="951"/>
    </row>
    <row r="3680" spans="1:8">
      <c r="A3680" s="943"/>
      <c r="B3680" s="944"/>
      <c r="C3680" s="944"/>
      <c r="D3680" s="943"/>
      <c r="E3680" s="952"/>
      <c r="F3680" s="945"/>
      <c r="G3680" s="946"/>
      <c r="H3680" s="946"/>
    </row>
    <row r="3681" spans="1:8">
      <c r="A3681" s="947"/>
      <c r="B3681" s="948"/>
      <c r="C3681" s="948"/>
      <c r="D3681" s="947"/>
      <c r="E3681" s="950"/>
      <c r="F3681" s="950"/>
      <c r="G3681" s="951"/>
      <c r="H3681" s="951"/>
    </row>
    <row r="3682" spans="1:8">
      <c r="A3682" s="943"/>
      <c r="B3682" s="944"/>
      <c r="C3682" s="944"/>
      <c r="D3682" s="943"/>
      <c r="E3682" s="945"/>
      <c r="F3682" s="945"/>
      <c r="G3682" s="946"/>
      <c r="H3682" s="946"/>
    </row>
    <row r="3683" spans="1:8">
      <c r="A3683" s="947"/>
      <c r="B3683" s="948"/>
      <c r="C3683" s="948"/>
      <c r="D3683" s="947"/>
      <c r="E3683" s="950"/>
      <c r="F3683" s="950"/>
      <c r="G3683" s="951"/>
      <c r="H3683" s="951"/>
    </row>
    <row r="3684" spans="1:8">
      <c r="A3684" s="21"/>
      <c r="B3684" s="22"/>
      <c r="C3684" s="22"/>
      <c r="D3684" s="21"/>
      <c r="E3684" s="23"/>
      <c r="F3684" s="24"/>
      <c r="G3684" s="25"/>
      <c r="H3684" s="25"/>
    </row>
  </sheetData>
  <sheetProtection algorithmName="SHA-512" hashValue="e/rF3Wk16qH8j2KfoDax+no21DpkNGt5josasmi4uPI2t/qj8eSvL6BFWnMIeQxwl+Pha2X+ZHngtsWaev9otA==" saltValue="kC+vXnkcdYs3uE4Yq6iUrw==" spinCount="100000" sheet="1" objects="1" scenarios="1"/>
  <autoFilter ref="I1:K3641" xr:uid="{16C731C0-7059-4BC4-BABE-888419055533}"/>
  <pageMargins left="0.75" right="0.75" top="1" bottom="1" header="0.5" footer="0.5"/>
  <pageSetup orientation="portrait" horizontalDpi="1200" verticalDpi="1200"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188DC-2C87-4CB7-A320-B377A88F39B4}">
  <sheetPr>
    <tabColor rgb="FFFF0000"/>
  </sheetPr>
  <dimension ref="A1:O3684"/>
  <sheetViews>
    <sheetView workbookViewId="0"/>
  </sheetViews>
  <sheetFormatPr defaultColWidth="9.140625" defaultRowHeight="15"/>
  <cols>
    <col min="1" max="1" width="12.85546875" style="18" customWidth="1"/>
    <col min="2" max="2" width="9.28515625" style="18" customWidth="1"/>
    <col min="3" max="3" width="70" style="18" customWidth="1"/>
    <col min="4" max="4" width="8.140625" style="18" customWidth="1"/>
    <col min="5" max="5" width="14.140625" style="18" customWidth="1"/>
    <col min="6" max="6" width="15.28515625" style="18" customWidth="1"/>
    <col min="7" max="7" width="16" style="18" customWidth="1"/>
    <col min="8" max="8" width="14.28515625" style="18" customWidth="1"/>
    <col min="9" max="12" width="9.140625" style="18"/>
    <col min="13" max="13" width="10.7109375" style="18" bestFit="1" customWidth="1"/>
    <col min="14" max="16384" width="9.140625" style="18"/>
  </cols>
  <sheetData>
    <row r="1" spans="1:15" ht="18.75">
      <c r="A1" s="682" t="s">
        <v>76</v>
      </c>
      <c r="B1" s="683" t="s">
        <v>77</v>
      </c>
      <c r="C1" s="684" t="s">
        <v>21</v>
      </c>
      <c r="D1" s="683" t="s">
        <v>57</v>
      </c>
      <c r="E1" s="683" t="s">
        <v>0</v>
      </c>
      <c r="F1" s="683" t="s">
        <v>78</v>
      </c>
      <c r="G1" s="683" t="s">
        <v>79</v>
      </c>
      <c r="H1" s="685" t="s">
        <v>80</v>
      </c>
      <c r="J1" s="1029" t="s">
        <v>3964</v>
      </c>
      <c r="K1" s="1029"/>
      <c r="L1" s="1029"/>
      <c r="M1" s="1028">
        <v>45271</v>
      </c>
      <c r="O1" s="1027" t="s">
        <v>3963</v>
      </c>
    </row>
    <row r="2" spans="1:15">
      <c r="A2" s="943">
        <v>2</v>
      </c>
      <c r="B2" s="944">
        <v>142</v>
      </c>
      <c r="C2" s="944" t="s">
        <v>122</v>
      </c>
      <c r="D2" s="943" t="s">
        <v>4</v>
      </c>
      <c r="E2" s="952">
        <v>10485</v>
      </c>
      <c r="F2" s="945">
        <v>8</v>
      </c>
      <c r="G2" s="946">
        <v>44.5</v>
      </c>
      <c r="H2" s="946">
        <v>41.18</v>
      </c>
    </row>
    <row r="3" spans="1:15" s="26" customFormat="1">
      <c r="A3" s="947">
        <v>2</v>
      </c>
      <c r="B3" s="948">
        <v>143</v>
      </c>
      <c r="C3" s="948" t="s">
        <v>123</v>
      </c>
      <c r="D3" s="947" t="s">
        <v>4</v>
      </c>
      <c r="E3" s="949">
        <v>1710</v>
      </c>
      <c r="F3" s="950">
        <v>2</v>
      </c>
      <c r="G3" s="951">
        <v>58</v>
      </c>
      <c r="H3" s="951">
        <v>63.33</v>
      </c>
      <c r="I3" s="18"/>
    </row>
    <row r="4" spans="1:15">
      <c r="A4" s="943">
        <v>2</v>
      </c>
      <c r="B4" s="944">
        <v>144</v>
      </c>
      <c r="C4" s="944" t="s">
        <v>124</v>
      </c>
      <c r="D4" s="943" t="s">
        <v>4</v>
      </c>
      <c r="E4" s="952">
        <v>2907</v>
      </c>
      <c r="F4" s="945">
        <v>8</v>
      </c>
      <c r="G4" s="946">
        <v>150</v>
      </c>
      <c r="H4" s="946">
        <v>156.61000000000001</v>
      </c>
    </row>
    <row r="5" spans="1:15" s="26" customFormat="1">
      <c r="A5" s="947">
        <v>2</v>
      </c>
      <c r="B5" s="948">
        <v>145</v>
      </c>
      <c r="C5" s="948" t="s">
        <v>125</v>
      </c>
      <c r="D5" s="947" t="s">
        <v>2</v>
      </c>
      <c r="E5" s="950">
        <v>60</v>
      </c>
      <c r="F5" s="950">
        <v>3</v>
      </c>
      <c r="G5" s="951">
        <v>600</v>
      </c>
      <c r="H5" s="951">
        <v>585.71</v>
      </c>
      <c r="I5" s="18"/>
    </row>
    <row r="6" spans="1:15">
      <c r="A6" s="943">
        <v>2</v>
      </c>
      <c r="B6" s="944">
        <v>146</v>
      </c>
      <c r="C6" s="944" t="s">
        <v>126</v>
      </c>
      <c r="D6" s="943" t="s">
        <v>2</v>
      </c>
      <c r="E6" s="945">
        <v>555</v>
      </c>
      <c r="F6" s="945">
        <v>10</v>
      </c>
      <c r="G6" s="946">
        <v>750</v>
      </c>
      <c r="H6" s="946">
        <v>680.26</v>
      </c>
    </row>
    <row r="7" spans="1:15" s="26" customFormat="1">
      <c r="A7" s="947">
        <v>2</v>
      </c>
      <c r="B7" s="948">
        <v>150</v>
      </c>
      <c r="C7" s="948" t="s">
        <v>128</v>
      </c>
      <c r="D7" s="947" t="s">
        <v>4</v>
      </c>
      <c r="E7" s="949">
        <v>38438</v>
      </c>
      <c r="F7" s="950">
        <v>6</v>
      </c>
      <c r="G7" s="951">
        <v>40</v>
      </c>
      <c r="H7" s="951">
        <v>40.130000000000003</v>
      </c>
      <c r="I7" s="18"/>
    </row>
    <row r="8" spans="1:15">
      <c r="A8" s="943">
        <v>2</v>
      </c>
      <c r="B8" s="944">
        <v>150.1</v>
      </c>
      <c r="C8" s="944" t="s">
        <v>129</v>
      </c>
      <c r="D8" s="943" t="s">
        <v>4</v>
      </c>
      <c r="E8" s="952">
        <v>5430</v>
      </c>
      <c r="F8" s="945">
        <v>2</v>
      </c>
      <c r="G8" s="946">
        <v>52</v>
      </c>
      <c r="H8" s="946">
        <v>58.11</v>
      </c>
    </row>
    <row r="9" spans="1:15" s="26" customFormat="1">
      <c r="A9" s="947">
        <v>2</v>
      </c>
      <c r="B9" s="948">
        <v>151</v>
      </c>
      <c r="C9" s="948" t="s">
        <v>5</v>
      </c>
      <c r="D9" s="947" t="s">
        <v>4</v>
      </c>
      <c r="E9" s="949">
        <v>189546</v>
      </c>
      <c r="F9" s="950">
        <v>17</v>
      </c>
      <c r="G9" s="951">
        <v>58.5</v>
      </c>
      <c r="H9" s="951">
        <v>54.38</v>
      </c>
      <c r="I9" s="18"/>
    </row>
    <row r="10" spans="1:15">
      <c r="A10" s="943">
        <v>2</v>
      </c>
      <c r="B10" s="944">
        <v>151.19999999999999</v>
      </c>
      <c r="C10" s="944" t="s">
        <v>52</v>
      </c>
      <c r="D10" s="943" t="s">
        <v>4</v>
      </c>
      <c r="E10" s="952">
        <v>6568</v>
      </c>
      <c r="F10" s="945">
        <v>3</v>
      </c>
      <c r="G10" s="946">
        <v>63</v>
      </c>
      <c r="H10" s="946">
        <v>58.96</v>
      </c>
    </row>
    <row r="11" spans="1:15" s="26" customFormat="1">
      <c r="A11" s="947">
        <v>2</v>
      </c>
      <c r="B11" s="948">
        <v>153</v>
      </c>
      <c r="C11" s="948" t="s">
        <v>134</v>
      </c>
      <c r="D11" s="947" t="s">
        <v>4</v>
      </c>
      <c r="E11" s="950">
        <v>432</v>
      </c>
      <c r="F11" s="950">
        <v>4</v>
      </c>
      <c r="G11" s="951">
        <v>200</v>
      </c>
      <c r="H11" s="951">
        <v>185.59</v>
      </c>
      <c r="I11" s="18"/>
    </row>
    <row r="12" spans="1:15">
      <c r="A12" s="943">
        <v>2</v>
      </c>
      <c r="B12" s="944">
        <v>153.1</v>
      </c>
      <c r="C12" s="944" t="s">
        <v>135</v>
      </c>
      <c r="D12" s="943" t="s">
        <v>4</v>
      </c>
      <c r="E12" s="945">
        <v>470</v>
      </c>
      <c r="F12" s="945">
        <v>2</v>
      </c>
      <c r="G12" s="946">
        <v>250</v>
      </c>
      <c r="H12" s="946">
        <v>218</v>
      </c>
    </row>
    <row r="13" spans="1:15" s="26" customFormat="1">
      <c r="A13" s="947">
        <v>2</v>
      </c>
      <c r="B13" s="948">
        <v>154</v>
      </c>
      <c r="C13" s="948" t="s">
        <v>136</v>
      </c>
      <c r="D13" s="947" t="s">
        <v>4</v>
      </c>
      <c r="E13" s="949">
        <v>1380</v>
      </c>
      <c r="F13" s="950">
        <v>2</v>
      </c>
      <c r="G13" s="951">
        <v>50</v>
      </c>
      <c r="H13" s="951">
        <v>51.5</v>
      </c>
      <c r="I13" s="18"/>
    </row>
    <row r="14" spans="1:15">
      <c r="A14" s="943">
        <v>2</v>
      </c>
      <c r="B14" s="944">
        <v>156</v>
      </c>
      <c r="C14" s="944" t="s">
        <v>26</v>
      </c>
      <c r="D14" s="943" t="s">
        <v>7</v>
      </c>
      <c r="E14" s="952">
        <v>3302</v>
      </c>
      <c r="F14" s="945">
        <v>5</v>
      </c>
      <c r="G14" s="946">
        <v>54.5</v>
      </c>
      <c r="H14" s="946">
        <v>58.57</v>
      </c>
    </row>
    <row r="15" spans="1:15" s="26" customFormat="1">
      <c r="A15" s="947">
        <v>2</v>
      </c>
      <c r="B15" s="948">
        <v>156.1</v>
      </c>
      <c r="C15" s="948" t="s">
        <v>137</v>
      </c>
      <c r="D15" s="947" t="s">
        <v>7</v>
      </c>
      <c r="E15" s="950">
        <v>380</v>
      </c>
      <c r="F15" s="950">
        <v>2</v>
      </c>
      <c r="G15" s="951">
        <v>75</v>
      </c>
      <c r="H15" s="951">
        <v>74.3</v>
      </c>
      <c r="I15" s="18"/>
    </row>
    <row r="16" spans="1:15">
      <c r="A16" s="943">
        <v>2</v>
      </c>
      <c r="B16" s="944">
        <v>170</v>
      </c>
      <c r="C16" s="944" t="s">
        <v>1287</v>
      </c>
      <c r="D16" s="943" t="s">
        <v>1</v>
      </c>
      <c r="E16" s="952">
        <v>470625</v>
      </c>
      <c r="F16" s="945">
        <v>14</v>
      </c>
      <c r="G16" s="946">
        <v>8</v>
      </c>
      <c r="H16" s="946">
        <v>7.31</v>
      </c>
    </row>
    <row r="17" spans="1:9" s="26" customFormat="1">
      <c r="A17" s="947">
        <v>2</v>
      </c>
      <c r="B17" s="948">
        <v>180.01</v>
      </c>
      <c r="C17" s="948" t="s">
        <v>1288</v>
      </c>
      <c r="D17" s="947" t="s">
        <v>22</v>
      </c>
      <c r="E17" s="950">
        <v>18</v>
      </c>
      <c r="F17" s="950">
        <v>5</v>
      </c>
      <c r="G17" s="951">
        <v>10000</v>
      </c>
      <c r="H17" s="951">
        <v>8111.11</v>
      </c>
      <c r="I17" s="18"/>
    </row>
    <row r="18" spans="1:9">
      <c r="A18" s="943">
        <v>2</v>
      </c>
      <c r="B18" s="944">
        <v>180.02</v>
      </c>
      <c r="C18" s="944" t="s">
        <v>1289</v>
      </c>
      <c r="D18" s="943" t="s">
        <v>24</v>
      </c>
      <c r="E18" s="945">
        <v>208</v>
      </c>
      <c r="F18" s="945">
        <v>3</v>
      </c>
      <c r="G18" s="946">
        <v>20</v>
      </c>
      <c r="H18" s="946">
        <v>12.29</v>
      </c>
    </row>
    <row r="19" spans="1:9" s="26" customFormat="1">
      <c r="A19" s="947">
        <v>2</v>
      </c>
      <c r="B19" s="948">
        <v>180.03</v>
      </c>
      <c r="C19" s="948" t="s">
        <v>1290</v>
      </c>
      <c r="D19" s="947" t="s">
        <v>24</v>
      </c>
      <c r="E19" s="950">
        <v>920</v>
      </c>
      <c r="F19" s="950">
        <v>6</v>
      </c>
      <c r="G19" s="951">
        <v>150</v>
      </c>
      <c r="H19" s="951">
        <v>151.33000000000001</v>
      </c>
      <c r="I19" s="18"/>
    </row>
    <row r="20" spans="1:9">
      <c r="A20" s="943">
        <v>2</v>
      </c>
      <c r="B20" s="944">
        <v>181.11</v>
      </c>
      <c r="C20" s="944" t="s">
        <v>58</v>
      </c>
      <c r="D20" s="943" t="s">
        <v>7</v>
      </c>
      <c r="E20" s="952">
        <v>28684</v>
      </c>
      <c r="F20" s="945">
        <v>6</v>
      </c>
      <c r="G20" s="946">
        <v>100</v>
      </c>
      <c r="H20" s="946">
        <v>103.06</v>
      </c>
    </row>
    <row r="21" spans="1:9" s="26" customFormat="1">
      <c r="A21" s="947">
        <v>2</v>
      </c>
      <c r="B21" s="948">
        <v>181.12</v>
      </c>
      <c r="C21" s="948" t="s">
        <v>141</v>
      </c>
      <c r="D21" s="947" t="s">
        <v>7</v>
      </c>
      <c r="E21" s="950">
        <v>694</v>
      </c>
      <c r="F21" s="950">
        <v>6</v>
      </c>
      <c r="G21" s="951">
        <v>150</v>
      </c>
      <c r="H21" s="951">
        <v>134.56</v>
      </c>
      <c r="I21" s="18"/>
    </row>
    <row r="22" spans="1:9">
      <c r="A22" s="943">
        <v>2</v>
      </c>
      <c r="B22" s="944">
        <v>181.13</v>
      </c>
      <c r="C22" s="944" t="s">
        <v>142</v>
      </c>
      <c r="D22" s="943" t="s">
        <v>7</v>
      </c>
      <c r="E22" s="945">
        <v>685</v>
      </c>
      <c r="F22" s="945">
        <v>6</v>
      </c>
      <c r="G22" s="946">
        <v>250</v>
      </c>
      <c r="H22" s="946">
        <v>267.94</v>
      </c>
    </row>
    <row r="23" spans="1:9" s="26" customFormat="1">
      <c r="A23" s="947">
        <v>2</v>
      </c>
      <c r="B23" s="948">
        <v>181.14</v>
      </c>
      <c r="C23" s="948" t="s">
        <v>59</v>
      </c>
      <c r="D23" s="947" t="s">
        <v>7</v>
      </c>
      <c r="E23" s="950">
        <v>641</v>
      </c>
      <c r="F23" s="950">
        <v>5</v>
      </c>
      <c r="G23" s="951">
        <v>700</v>
      </c>
      <c r="H23" s="951">
        <v>673.53</v>
      </c>
      <c r="I23" s="18"/>
    </row>
    <row r="24" spans="1:9">
      <c r="A24" s="943">
        <v>2</v>
      </c>
      <c r="B24" s="944">
        <v>182.1</v>
      </c>
      <c r="C24" s="944" t="s">
        <v>143</v>
      </c>
      <c r="D24" s="943" t="s">
        <v>22</v>
      </c>
      <c r="E24" s="945">
        <v>3</v>
      </c>
      <c r="F24" s="945">
        <v>1</v>
      </c>
      <c r="G24" s="946">
        <v>3900</v>
      </c>
      <c r="H24" s="946">
        <v>3266.67</v>
      </c>
    </row>
    <row r="25" spans="1:9" s="26" customFormat="1">
      <c r="A25" s="947">
        <v>2</v>
      </c>
      <c r="B25" s="948">
        <v>182.3</v>
      </c>
      <c r="C25" s="948" t="s">
        <v>145</v>
      </c>
      <c r="D25" s="947" t="s">
        <v>22</v>
      </c>
      <c r="E25" s="950">
        <v>3</v>
      </c>
      <c r="F25" s="950">
        <v>2</v>
      </c>
      <c r="G25" s="951">
        <v>15500</v>
      </c>
      <c r="H25" s="951">
        <v>13333.33</v>
      </c>
      <c r="I25" s="18"/>
    </row>
    <row r="26" spans="1:9">
      <c r="A26" s="943">
        <v>2</v>
      </c>
      <c r="B26" s="944">
        <v>183.1</v>
      </c>
      <c r="C26" s="944" t="s">
        <v>146</v>
      </c>
      <c r="D26" s="943" t="s">
        <v>20</v>
      </c>
      <c r="E26" s="945">
        <v>400</v>
      </c>
      <c r="F26" s="945">
        <v>1</v>
      </c>
      <c r="G26" s="946">
        <v>150</v>
      </c>
      <c r="H26" s="946">
        <v>170</v>
      </c>
    </row>
    <row r="27" spans="1:9" s="26" customFormat="1">
      <c r="A27" s="947">
        <v>2</v>
      </c>
      <c r="B27" s="948">
        <v>183.2</v>
      </c>
      <c r="C27" s="948" t="s">
        <v>147</v>
      </c>
      <c r="D27" s="947" t="s">
        <v>100</v>
      </c>
      <c r="E27" s="950">
        <v>500</v>
      </c>
      <c r="F27" s="950">
        <v>1</v>
      </c>
      <c r="G27" s="951">
        <v>20</v>
      </c>
      <c r="H27" s="951">
        <v>19.600000000000001</v>
      </c>
      <c r="I27" s="18"/>
    </row>
    <row r="28" spans="1:9">
      <c r="A28" s="943">
        <v>2</v>
      </c>
      <c r="B28" s="944">
        <v>184.1</v>
      </c>
      <c r="C28" s="944" t="s">
        <v>148</v>
      </c>
      <c r="D28" s="943" t="s">
        <v>7</v>
      </c>
      <c r="E28" s="945">
        <v>541</v>
      </c>
      <c r="F28" s="945">
        <v>5</v>
      </c>
      <c r="G28" s="946">
        <v>625</v>
      </c>
      <c r="H28" s="946">
        <v>767.63</v>
      </c>
    </row>
    <row r="29" spans="1:9" s="26" customFormat="1">
      <c r="A29" s="947">
        <v>2</v>
      </c>
      <c r="B29" s="948">
        <v>191.1</v>
      </c>
      <c r="C29" s="948" t="s">
        <v>152</v>
      </c>
      <c r="D29" s="947" t="s">
        <v>17</v>
      </c>
      <c r="E29" s="950">
        <v>60</v>
      </c>
      <c r="F29" s="950">
        <v>1</v>
      </c>
      <c r="G29" s="951">
        <v>137.5</v>
      </c>
      <c r="H29" s="951">
        <v>137.5</v>
      </c>
      <c r="I29" s="18"/>
    </row>
    <row r="30" spans="1:9">
      <c r="A30" s="943">
        <v>2</v>
      </c>
      <c r="B30" s="944">
        <v>201</v>
      </c>
      <c r="C30" s="944" t="s">
        <v>155</v>
      </c>
      <c r="D30" s="943" t="s">
        <v>2</v>
      </c>
      <c r="E30" s="952">
        <v>1171</v>
      </c>
      <c r="F30" s="945">
        <v>9</v>
      </c>
      <c r="G30" s="946">
        <v>5500</v>
      </c>
      <c r="H30" s="946">
        <v>5476.36</v>
      </c>
    </row>
    <row r="31" spans="1:9" s="26" customFormat="1">
      <c r="A31" s="947">
        <v>2</v>
      </c>
      <c r="B31" s="948">
        <v>201.3</v>
      </c>
      <c r="C31" s="948" t="s">
        <v>156</v>
      </c>
      <c r="D31" s="947" t="s">
        <v>2</v>
      </c>
      <c r="E31" s="950">
        <v>18</v>
      </c>
      <c r="F31" s="950">
        <v>1</v>
      </c>
      <c r="G31" s="951">
        <v>8000</v>
      </c>
      <c r="H31" s="951">
        <v>7555.56</v>
      </c>
      <c r="I31" s="18"/>
    </row>
    <row r="32" spans="1:9">
      <c r="A32" s="943">
        <v>2</v>
      </c>
      <c r="B32" s="944">
        <v>202</v>
      </c>
      <c r="C32" s="944" t="s">
        <v>157</v>
      </c>
      <c r="D32" s="943" t="s">
        <v>2</v>
      </c>
      <c r="E32" s="945">
        <v>626</v>
      </c>
      <c r="F32" s="945">
        <v>7</v>
      </c>
      <c r="G32" s="946">
        <v>6000</v>
      </c>
      <c r="H32" s="946">
        <v>6009.72</v>
      </c>
    </row>
    <row r="33" spans="1:9" s="26" customFormat="1">
      <c r="A33" s="947">
        <v>2</v>
      </c>
      <c r="B33" s="948">
        <v>202.2</v>
      </c>
      <c r="C33" s="948" t="s">
        <v>158</v>
      </c>
      <c r="D33" s="947" t="s">
        <v>2</v>
      </c>
      <c r="E33" s="950">
        <v>21</v>
      </c>
      <c r="F33" s="950">
        <v>1</v>
      </c>
      <c r="G33" s="951">
        <v>10000</v>
      </c>
      <c r="H33" s="951">
        <v>9857.14</v>
      </c>
      <c r="I33" s="18"/>
    </row>
    <row r="34" spans="1:9">
      <c r="A34" s="943">
        <v>2</v>
      </c>
      <c r="B34" s="944">
        <v>203</v>
      </c>
      <c r="C34" s="944" t="s">
        <v>159</v>
      </c>
      <c r="D34" s="943" t="s">
        <v>2</v>
      </c>
      <c r="E34" s="945">
        <v>21</v>
      </c>
      <c r="F34" s="945">
        <v>3</v>
      </c>
      <c r="G34" s="946">
        <v>10000</v>
      </c>
      <c r="H34" s="946">
        <v>11800</v>
      </c>
    </row>
    <row r="35" spans="1:9" s="26" customFormat="1">
      <c r="A35" s="947">
        <v>2</v>
      </c>
      <c r="B35" s="948">
        <v>204</v>
      </c>
      <c r="C35" s="948" t="s">
        <v>160</v>
      </c>
      <c r="D35" s="947" t="s">
        <v>2</v>
      </c>
      <c r="E35" s="950">
        <v>72</v>
      </c>
      <c r="F35" s="950">
        <v>2</v>
      </c>
      <c r="G35" s="951">
        <v>3000</v>
      </c>
      <c r="H35" s="951">
        <v>2820</v>
      </c>
      <c r="I35" s="18"/>
    </row>
    <row r="36" spans="1:9">
      <c r="A36" s="943">
        <v>2</v>
      </c>
      <c r="B36" s="944">
        <v>204.11</v>
      </c>
      <c r="C36" s="944" t="s">
        <v>1294</v>
      </c>
      <c r="D36" s="943" t="s">
        <v>2</v>
      </c>
      <c r="E36" s="945">
        <v>112</v>
      </c>
      <c r="F36" s="945">
        <v>2</v>
      </c>
      <c r="G36" s="946">
        <v>4750</v>
      </c>
      <c r="H36" s="946">
        <v>5083.33</v>
      </c>
    </row>
    <row r="37" spans="1:9" s="26" customFormat="1">
      <c r="A37" s="947">
        <v>2</v>
      </c>
      <c r="B37" s="948">
        <v>206.1</v>
      </c>
      <c r="C37" s="948" t="s">
        <v>163</v>
      </c>
      <c r="D37" s="947" t="s">
        <v>2</v>
      </c>
      <c r="E37" s="950">
        <v>45</v>
      </c>
      <c r="F37" s="950">
        <v>3</v>
      </c>
      <c r="G37" s="951">
        <v>6500</v>
      </c>
      <c r="H37" s="951">
        <v>6348.33</v>
      </c>
      <c r="I37" s="18"/>
    </row>
    <row r="38" spans="1:9">
      <c r="A38" s="943">
        <v>2</v>
      </c>
      <c r="B38" s="944">
        <v>207.1</v>
      </c>
      <c r="C38" s="944" t="s">
        <v>165</v>
      </c>
      <c r="D38" s="943" t="s">
        <v>2</v>
      </c>
      <c r="E38" s="945">
        <v>20</v>
      </c>
      <c r="F38" s="945">
        <v>1</v>
      </c>
      <c r="G38" s="946">
        <v>7500</v>
      </c>
      <c r="H38" s="946">
        <v>7550</v>
      </c>
    </row>
    <row r="39" spans="1:9" s="26" customFormat="1">
      <c r="A39" s="947">
        <v>2</v>
      </c>
      <c r="B39" s="948">
        <v>209.1</v>
      </c>
      <c r="C39" s="948" t="s">
        <v>166</v>
      </c>
      <c r="D39" s="947" t="s">
        <v>2</v>
      </c>
      <c r="E39" s="950">
        <v>20</v>
      </c>
      <c r="F39" s="950">
        <v>1</v>
      </c>
      <c r="G39" s="951">
        <v>6775</v>
      </c>
      <c r="H39" s="951">
        <v>6775</v>
      </c>
      <c r="I39" s="18"/>
    </row>
    <row r="40" spans="1:9">
      <c r="A40" s="943">
        <v>2</v>
      </c>
      <c r="B40" s="944">
        <v>209.3</v>
      </c>
      <c r="C40" s="944" t="s">
        <v>168</v>
      </c>
      <c r="D40" s="943" t="s">
        <v>2</v>
      </c>
      <c r="E40" s="945">
        <v>81</v>
      </c>
      <c r="F40" s="945">
        <v>2</v>
      </c>
      <c r="G40" s="946">
        <v>2250</v>
      </c>
      <c r="H40" s="946">
        <v>2358.33</v>
      </c>
    </row>
    <row r="41" spans="1:9" s="26" customFormat="1">
      <c r="A41" s="947">
        <v>2</v>
      </c>
      <c r="B41" s="948">
        <v>210.1</v>
      </c>
      <c r="C41" s="948" t="s">
        <v>171</v>
      </c>
      <c r="D41" s="947" t="s">
        <v>2</v>
      </c>
      <c r="E41" s="950">
        <v>4</v>
      </c>
      <c r="F41" s="950">
        <v>1</v>
      </c>
      <c r="G41" s="951">
        <v>8500</v>
      </c>
      <c r="H41" s="951">
        <v>8500</v>
      </c>
      <c r="I41" s="18"/>
    </row>
    <row r="42" spans="1:9">
      <c r="A42" s="943">
        <v>2</v>
      </c>
      <c r="B42" s="944">
        <v>211</v>
      </c>
      <c r="C42" s="944" t="s">
        <v>1299</v>
      </c>
      <c r="D42" s="943" t="s">
        <v>2</v>
      </c>
      <c r="E42" s="945">
        <v>4</v>
      </c>
      <c r="F42" s="945">
        <v>1</v>
      </c>
      <c r="G42" s="946">
        <v>11500</v>
      </c>
      <c r="H42" s="946">
        <v>11500</v>
      </c>
    </row>
    <row r="43" spans="1:9" s="26" customFormat="1">
      <c r="A43" s="947">
        <v>2</v>
      </c>
      <c r="B43" s="948">
        <v>220</v>
      </c>
      <c r="C43" s="948" t="s">
        <v>172</v>
      </c>
      <c r="D43" s="947" t="s">
        <v>2</v>
      </c>
      <c r="E43" s="949">
        <v>3964</v>
      </c>
      <c r="F43" s="950">
        <v>15</v>
      </c>
      <c r="G43" s="951">
        <v>600</v>
      </c>
      <c r="H43" s="951">
        <v>559.51</v>
      </c>
      <c r="I43" s="18"/>
    </row>
    <row r="44" spans="1:9">
      <c r="A44" s="943">
        <v>2</v>
      </c>
      <c r="B44" s="944">
        <v>220.2</v>
      </c>
      <c r="C44" s="944" t="s">
        <v>173</v>
      </c>
      <c r="D44" s="943" t="s">
        <v>17</v>
      </c>
      <c r="E44" s="952">
        <v>5174</v>
      </c>
      <c r="F44" s="945">
        <v>8</v>
      </c>
      <c r="G44" s="946">
        <v>525</v>
      </c>
      <c r="H44" s="946">
        <v>517.35</v>
      </c>
    </row>
    <row r="45" spans="1:9" s="26" customFormat="1">
      <c r="A45" s="947">
        <v>2</v>
      </c>
      <c r="B45" s="948">
        <v>220.3</v>
      </c>
      <c r="C45" s="948" t="s">
        <v>174</v>
      </c>
      <c r="D45" s="947" t="s">
        <v>2</v>
      </c>
      <c r="E45" s="950">
        <v>278</v>
      </c>
      <c r="F45" s="950">
        <v>7</v>
      </c>
      <c r="G45" s="951">
        <v>1100</v>
      </c>
      <c r="H45" s="951">
        <v>1176.8499999999999</v>
      </c>
      <c r="I45" s="18"/>
    </row>
    <row r="46" spans="1:9">
      <c r="A46" s="943">
        <v>2</v>
      </c>
      <c r="B46" s="944">
        <v>220.5</v>
      </c>
      <c r="C46" s="944" t="s">
        <v>175</v>
      </c>
      <c r="D46" s="943" t="s">
        <v>2</v>
      </c>
      <c r="E46" s="945">
        <v>139</v>
      </c>
      <c r="F46" s="945">
        <v>7</v>
      </c>
      <c r="G46" s="946">
        <v>1000</v>
      </c>
      <c r="H46" s="946">
        <v>997.71</v>
      </c>
    </row>
    <row r="47" spans="1:9" s="26" customFormat="1">
      <c r="A47" s="947">
        <v>2</v>
      </c>
      <c r="B47" s="948">
        <v>220.6</v>
      </c>
      <c r="C47" s="948" t="s">
        <v>176</v>
      </c>
      <c r="D47" s="947" t="s">
        <v>17</v>
      </c>
      <c r="E47" s="950">
        <v>220</v>
      </c>
      <c r="F47" s="950">
        <v>2</v>
      </c>
      <c r="G47" s="951">
        <v>575</v>
      </c>
      <c r="H47" s="951">
        <v>531.5</v>
      </c>
      <c r="I47" s="18"/>
    </row>
    <row r="48" spans="1:9">
      <c r="A48" s="943">
        <v>2</v>
      </c>
      <c r="B48" s="944">
        <v>220.7</v>
      </c>
      <c r="C48" s="944" t="s">
        <v>177</v>
      </c>
      <c r="D48" s="943" t="s">
        <v>2</v>
      </c>
      <c r="E48" s="945">
        <v>440</v>
      </c>
      <c r="F48" s="945">
        <v>8</v>
      </c>
      <c r="G48" s="946">
        <v>550</v>
      </c>
      <c r="H48" s="946">
        <v>550.54</v>
      </c>
    </row>
    <row r="49" spans="1:9" s="26" customFormat="1">
      <c r="A49" s="947">
        <v>2</v>
      </c>
      <c r="B49" s="948">
        <v>220.8</v>
      </c>
      <c r="C49" s="948" t="s">
        <v>178</v>
      </c>
      <c r="D49" s="947" t="s">
        <v>2</v>
      </c>
      <c r="E49" s="950">
        <v>26</v>
      </c>
      <c r="F49" s="950">
        <v>3</v>
      </c>
      <c r="G49" s="951">
        <v>1000</v>
      </c>
      <c r="H49" s="951">
        <v>1025</v>
      </c>
      <c r="I49" s="18"/>
    </row>
    <row r="50" spans="1:9">
      <c r="A50" s="943">
        <v>2</v>
      </c>
      <c r="B50" s="944">
        <v>221</v>
      </c>
      <c r="C50" s="944" t="s">
        <v>180</v>
      </c>
      <c r="D50" s="943" t="s">
        <v>2</v>
      </c>
      <c r="E50" s="945">
        <v>359</v>
      </c>
      <c r="F50" s="945">
        <v>7</v>
      </c>
      <c r="G50" s="946">
        <v>1200</v>
      </c>
      <c r="H50" s="946">
        <v>1161.1400000000001</v>
      </c>
    </row>
    <row r="51" spans="1:9" s="26" customFormat="1">
      <c r="A51" s="947">
        <v>2</v>
      </c>
      <c r="B51" s="948">
        <v>221.1</v>
      </c>
      <c r="C51" s="948" t="s">
        <v>1300</v>
      </c>
      <c r="D51" s="947" t="s">
        <v>2</v>
      </c>
      <c r="E51" s="950">
        <v>614</v>
      </c>
      <c r="F51" s="950">
        <v>6</v>
      </c>
      <c r="G51" s="951">
        <v>1225</v>
      </c>
      <c r="H51" s="951">
        <v>1177.82</v>
      </c>
      <c r="I51" s="18"/>
    </row>
    <row r="52" spans="1:9">
      <c r="A52" s="943">
        <v>2</v>
      </c>
      <c r="B52" s="944">
        <v>222</v>
      </c>
      <c r="C52" s="944" t="s">
        <v>181</v>
      </c>
      <c r="D52" s="943" t="s">
        <v>2</v>
      </c>
      <c r="E52" s="945">
        <v>504</v>
      </c>
      <c r="F52" s="945">
        <v>3</v>
      </c>
      <c r="G52" s="946">
        <v>1300</v>
      </c>
      <c r="H52" s="946">
        <v>1197.06</v>
      </c>
    </row>
    <row r="53" spans="1:9" s="26" customFormat="1">
      <c r="A53" s="947">
        <v>2</v>
      </c>
      <c r="B53" s="948">
        <v>222.1</v>
      </c>
      <c r="C53" s="948" t="s">
        <v>182</v>
      </c>
      <c r="D53" s="947" t="s">
        <v>2</v>
      </c>
      <c r="E53" s="949">
        <v>1453</v>
      </c>
      <c r="F53" s="950">
        <v>11</v>
      </c>
      <c r="G53" s="951">
        <v>1250</v>
      </c>
      <c r="H53" s="951">
        <v>1309.6199999999999</v>
      </c>
      <c r="I53" s="18"/>
    </row>
    <row r="54" spans="1:9">
      <c r="A54" s="943">
        <v>2</v>
      </c>
      <c r="B54" s="944">
        <v>222.2</v>
      </c>
      <c r="C54" s="944" t="s">
        <v>183</v>
      </c>
      <c r="D54" s="943" t="s">
        <v>2</v>
      </c>
      <c r="E54" s="945">
        <v>148</v>
      </c>
      <c r="F54" s="945">
        <v>5</v>
      </c>
      <c r="G54" s="946">
        <v>1250</v>
      </c>
      <c r="H54" s="946">
        <v>1175.68</v>
      </c>
    </row>
    <row r="55" spans="1:9" s="26" customFormat="1">
      <c r="A55" s="947">
        <v>2</v>
      </c>
      <c r="B55" s="948">
        <v>222.3</v>
      </c>
      <c r="C55" s="948" t="s">
        <v>29</v>
      </c>
      <c r="D55" s="947" t="s">
        <v>2</v>
      </c>
      <c r="E55" s="950">
        <v>637</v>
      </c>
      <c r="F55" s="950">
        <v>4</v>
      </c>
      <c r="G55" s="951">
        <v>1150</v>
      </c>
      <c r="H55" s="951">
        <v>1133.81</v>
      </c>
      <c r="I55" s="18"/>
    </row>
    <row r="56" spans="1:9">
      <c r="A56" s="943">
        <v>2</v>
      </c>
      <c r="B56" s="944">
        <v>222.4</v>
      </c>
      <c r="C56" s="944" t="s">
        <v>4031</v>
      </c>
      <c r="D56" s="943" t="s">
        <v>2</v>
      </c>
      <c r="E56" s="945">
        <v>8</v>
      </c>
      <c r="F56" s="945">
        <v>2</v>
      </c>
      <c r="G56" s="946">
        <v>5250</v>
      </c>
      <c r="H56" s="946">
        <v>6125</v>
      </c>
    </row>
    <row r="57" spans="1:9" s="26" customFormat="1">
      <c r="A57" s="947">
        <v>2</v>
      </c>
      <c r="B57" s="948">
        <v>223.1</v>
      </c>
      <c r="C57" s="948" t="s">
        <v>184</v>
      </c>
      <c r="D57" s="947" t="s">
        <v>2</v>
      </c>
      <c r="E57" s="950">
        <v>38</v>
      </c>
      <c r="F57" s="950">
        <v>2</v>
      </c>
      <c r="G57" s="951">
        <v>103</v>
      </c>
      <c r="H57" s="951">
        <v>103.71</v>
      </c>
      <c r="I57" s="18"/>
    </row>
    <row r="58" spans="1:9">
      <c r="A58" s="943">
        <v>2</v>
      </c>
      <c r="B58" s="944">
        <v>223.2</v>
      </c>
      <c r="C58" s="944" t="s">
        <v>185</v>
      </c>
      <c r="D58" s="943" t="s">
        <v>2</v>
      </c>
      <c r="E58" s="945">
        <v>823</v>
      </c>
      <c r="F58" s="945">
        <v>8</v>
      </c>
      <c r="G58" s="946">
        <v>75</v>
      </c>
      <c r="H58" s="946">
        <v>66.59</v>
      </c>
    </row>
    <row r="59" spans="1:9" s="26" customFormat="1">
      <c r="A59" s="947">
        <v>2</v>
      </c>
      <c r="B59" s="948">
        <v>224.12</v>
      </c>
      <c r="C59" s="948" t="s">
        <v>187</v>
      </c>
      <c r="D59" s="947" t="s">
        <v>2</v>
      </c>
      <c r="E59" s="950">
        <v>185</v>
      </c>
      <c r="F59" s="950">
        <v>5</v>
      </c>
      <c r="G59" s="951">
        <v>565</v>
      </c>
      <c r="H59" s="951">
        <v>589.4</v>
      </c>
      <c r="I59" s="18"/>
    </row>
    <row r="60" spans="1:9">
      <c r="A60" s="943">
        <v>2</v>
      </c>
      <c r="B60" s="944">
        <v>224.18</v>
      </c>
      <c r="C60" s="944" t="s">
        <v>188</v>
      </c>
      <c r="D60" s="943" t="s">
        <v>2</v>
      </c>
      <c r="E60" s="945">
        <v>4</v>
      </c>
      <c r="F60" s="945">
        <v>1</v>
      </c>
      <c r="G60" s="946">
        <v>937.5</v>
      </c>
      <c r="H60" s="946">
        <v>898.75</v>
      </c>
    </row>
    <row r="61" spans="1:9" s="26" customFormat="1">
      <c r="A61" s="947">
        <v>2</v>
      </c>
      <c r="B61" s="948">
        <v>227.3</v>
      </c>
      <c r="C61" s="948" t="s">
        <v>189</v>
      </c>
      <c r="D61" s="947" t="s">
        <v>4</v>
      </c>
      <c r="E61" s="949">
        <v>3541</v>
      </c>
      <c r="F61" s="950">
        <v>14</v>
      </c>
      <c r="G61" s="951">
        <v>350</v>
      </c>
      <c r="H61" s="951">
        <v>329.24</v>
      </c>
      <c r="I61" s="18"/>
    </row>
    <row r="62" spans="1:9">
      <c r="A62" s="943">
        <v>2</v>
      </c>
      <c r="B62" s="944">
        <v>227.31</v>
      </c>
      <c r="C62" s="944" t="s">
        <v>190</v>
      </c>
      <c r="D62" s="943" t="s">
        <v>17</v>
      </c>
      <c r="E62" s="952">
        <v>165020</v>
      </c>
      <c r="F62" s="945">
        <v>13</v>
      </c>
      <c r="G62" s="946">
        <v>12</v>
      </c>
      <c r="H62" s="946">
        <v>11.8</v>
      </c>
    </row>
    <row r="63" spans="1:9" s="26" customFormat="1">
      <c r="A63" s="947">
        <v>2</v>
      </c>
      <c r="B63" s="948">
        <v>227.4</v>
      </c>
      <c r="C63" s="948" t="s">
        <v>191</v>
      </c>
      <c r="D63" s="947" t="s">
        <v>3</v>
      </c>
      <c r="E63" s="950">
        <v>220</v>
      </c>
      <c r="F63" s="950">
        <v>4</v>
      </c>
      <c r="G63" s="951">
        <v>110</v>
      </c>
      <c r="H63" s="951">
        <v>113.08</v>
      </c>
      <c r="I63" s="18"/>
    </row>
    <row r="64" spans="1:9">
      <c r="A64" s="943">
        <v>2</v>
      </c>
      <c r="B64" s="944">
        <v>234.12</v>
      </c>
      <c r="C64" s="944" t="s">
        <v>195</v>
      </c>
      <c r="D64" s="943" t="s">
        <v>17</v>
      </c>
      <c r="E64" s="952">
        <v>32040</v>
      </c>
      <c r="F64" s="945">
        <v>5</v>
      </c>
      <c r="G64" s="946">
        <v>120</v>
      </c>
      <c r="H64" s="946">
        <v>123.42</v>
      </c>
    </row>
    <row r="65" spans="1:9" s="26" customFormat="1">
      <c r="A65" s="947">
        <v>2</v>
      </c>
      <c r="B65" s="948">
        <v>234.15</v>
      </c>
      <c r="C65" s="948" t="s">
        <v>196</v>
      </c>
      <c r="D65" s="947" t="s">
        <v>17</v>
      </c>
      <c r="E65" s="949">
        <v>1000</v>
      </c>
      <c r="F65" s="950">
        <v>1</v>
      </c>
      <c r="G65" s="951">
        <v>170</v>
      </c>
      <c r="H65" s="951">
        <v>170</v>
      </c>
      <c r="I65" s="18"/>
    </row>
    <row r="66" spans="1:9">
      <c r="A66" s="943">
        <v>2</v>
      </c>
      <c r="B66" s="944">
        <v>234.18</v>
      </c>
      <c r="C66" s="944" t="s">
        <v>197</v>
      </c>
      <c r="D66" s="943" t="s">
        <v>17</v>
      </c>
      <c r="E66" s="952">
        <v>4070</v>
      </c>
      <c r="F66" s="945">
        <v>4</v>
      </c>
      <c r="G66" s="946">
        <v>150</v>
      </c>
      <c r="H66" s="946">
        <v>147.11000000000001</v>
      </c>
    </row>
    <row r="67" spans="1:9" s="26" customFormat="1">
      <c r="A67" s="947">
        <v>2</v>
      </c>
      <c r="B67" s="948">
        <v>234.24</v>
      </c>
      <c r="C67" s="948" t="s">
        <v>198</v>
      </c>
      <c r="D67" s="947" t="s">
        <v>17</v>
      </c>
      <c r="E67" s="949">
        <v>6540</v>
      </c>
      <c r="F67" s="950">
        <v>2</v>
      </c>
      <c r="G67" s="951">
        <v>215</v>
      </c>
      <c r="H67" s="951">
        <v>225</v>
      </c>
      <c r="I67" s="18"/>
    </row>
    <row r="68" spans="1:9">
      <c r="A68" s="943">
        <v>2</v>
      </c>
      <c r="B68" s="944">
        <v>234.3</v>
      </c>
      <c r="C68" s="944" t="s">
        <v>199</v>
      </c>
      <c r="D68" s="943" t="s">
        <v>17</v>
      </c>
      <c r="E68" s="945">
        <v>30</v>
      </c>
      <c r="F68" s="945">
        <v>1</v>
      </c>
      <c r="G68" s="946">
        <v>325</v>
      </c>
      <c r="H68" s="946">
        <v>300</v>
      </c>
    </row>
    <row r="69" spans="1:9" s="26" customFormat="1">
      <c r="A69" s="947">
        <v>2</v>
      </c>
      <c r="B69" s="948">
        <v>235.12</v>
      </c>
      <c r="C69" s="948" t="s">
        <v>201</v>
      </c>
      <c r="D69" s="947" t="s">
        <v>2</v>
      </c>
      <c r="E69" s="950">
        <v>55</v>
      </c>
      <c r="F69" s="950">
        <v>2</v>
      </c>
      <c r="G69" s="951">
        <v>775</v>
      </c>
      <c r="H69" s="951">
        <v>850</v>
      </c>
      <c r="I69" s="18"/>
    </row>
    <row r="70" spans="1:9">
      <c r="A70" s="943">
        <v>2</v>
      </c>
      <c r="B70" s="944">
        <v>235.18</v>
      </c>
      <c r="C70" s="944" t="s">
        <v>203</v>
      </c>
      <c r="D70" s="943" t="s">
        <v>2</v>
      </c>
      <c r="E70" s="945">
        <v>14</v>
      </c>
      <c r="F70" s="945">
        <v>2</v>
      </c>
      <c r="G70" s="946">
        <v>1450</v>
      </c>
      <c r="H70" s="946">
        <v>1328.57</v>
      </c>
    </row>
    <row r="71" spans="1:9" s="26" customFormat="1">
      <c r="A71" s="947">
        <v>2</v>
      </c>
      <c r="B71" s="948">
        <v>235.24</v>
      </c>
      <c r="C71" s="948" t="s">
        <v>204</v>
      </c>
      <c r="D71" s="947" t="s">
        <v>2</v>
      </c>
      <c r="E71" s="950">
        <v>3</v>
      </c>
      <c r="F71" s="950">
        <v>1</v>
      </c>
      <c r="G71" s="951">
        <v>2250</v>
      </c>
      <c r="H71" s="951">
        <v>2033.33</v>
      </c>
      <c r="I71" s="18"/>
    </row>
    <row r="72" spans="1:9">
      <c r="A72" s="943">
        <v>2</v>
      </c>
      <c r="B72" s="944">
        <v>235.3</v>
      </c>
      <c r="C72" s="944" t="s">
        <v>205</v>
      </c>
      <c r="D72" s="943" t="s">
        <v>2</v>
      </c>
      <c r="E72" s="945">
        <v>3</v>
      </c>
      <c r="F72" s="945">
        <v>1</v>
      </c>
      <c r="G72" s="946">
        <v>3800</v>
      </c>
      <c r="H72" s="946">
        <v>4200</v>
      </c>
    </row>
    <row r="73" spans="1:9" s="26" customFormat="1">
      <c r="A73" s="947">
        <v>2</v>
      </c>
      <c r="B73" s="948">
        <v>238.1</v>
      </c>
      <c r="C73" s="948" t="s">
        <v>207</v>
      </c>
      <c r="D73" s="947" t="s">
        <v>17</v>
      </c>
      <c r="E73" s="949">
        <v>3510</v>
      </c>
      <c r="F73" s="950">
        <v>3</v>
      </c>
      <c r="G73" s="951">
        <v>175</v>
      </c>
      <c r="H73" s="951">
        <v>181.67</v>
      </c>
      <c r="I73" s="18"/>
    </row>
    <row r="74" spans="1:9">
      <c r="A74" s="943">
        <v>2</v>
      </c>
      <c r="B74" s="944">
        <v>238.12</v>
      </c>
      <c r="C74" s="944" t="s">
        <v>208</v>
      </c>
      <c r="D74" s="943" t="s">
        <v>17</v>
      </c>
      <c r="E74" s="952">
        <v>1025</v>
      </c>
      <c r="F74" s="945">
        <v>1</v>
      </c>
      <c r="G74" s="946">
        <v>160</v>
      </c>
      <c r="H74" s="946">
        <v>172.4</v>
      </c>
    </row>
    <row r="75" spans="1:9" s="26" customFormat="1">
      <c r="A75" s="947">
        <v>2</v>
      </c>
      <c r="B75" s="948">
        <v>241.12</v>
      </c>
      <c r="C75" s="948" t="s">
        <v>3996</v>
      </c>
      <c r="D75" s="947" t="s">
        <v>17</v>
      </c>
      <c r="E75" s="949">
        <v>5882</v>
      </c>
      <c r="F75" s="950">
        <v>5</v>
      </c>
      <c r="G75" s="951">
        <v>122.5</v>
      </c>
      <c r="H75" s="951">
        <v>119.25</v>
      </c>
      <c r="I75" s="18"/>
    </row>
    <row r="76" spans="1:9">
      <c r="A76" s="943">
        <v>2</v>
      </c>
      <c r="B76" s="944">
        <v>241.15</v>
      </c>
      <c r="C76" s="944" t="s">
        <v>3997</v>
      </c>
      <c r="D76" s="943" t="s">
        <v>17</v>
      </c>
      <c r="E76" s="952">
        <v>1400</v>
      </c>
      <c r="F76" s="945">
        <v>1</v>
      </c>
      <c r="G76" s="946">
        <v>105</v>
      </c>
      <c r="H76" s="946">
        <v>110</v>
      </c>
    </row>
    <row r="77" spans="1:9" s="26" customFormat="1">
      <c r="A77" s="947">
        <v>2</v>
      </c>
      <c r="B77" s="948">
        <v>241.24</v>
      </c>
      <c r="C77" s="948" t="s">
        <v>3999</v>
      </c>
      <c r="D77" s="947" t="s">
        <v>17</v>
      </c>
      <c r="E77" s="950">
        <v>560</v>
      </c>
      <c r="F77" s="950">
        <v>1</v>
      </c>
      <c r="G77" s="951">
        <v>140</v>
      </c>
      <c r="H77" s="951">
        <v>135</v>
      </c>
      <c r="I77" s="18"/>
    </row>
    <row r="78" spans="1:9">
      <c r="A78" s="943">
        <v>2</v>
      </c>
      <c r="B78" s="944">
        <v>242.12</v>
      </c>
      <c r="C78" s="944" t="s">
        <v>219</v>
      </c>
      <c r="D78" s="943" t="s">
        <v>2</v>
      </c>
      <c r="E78" s="945">
        <v>25</v>
      </c>
      <c r="F78" s="945">
        <v>1</v>
      </c>
      <c r="G78" s="946">
        <v>1750</v>
      </c>
      <c r="H78" s="946">
        <v>1550</v>
      </c>
    </row>
    <row r="79" spans="1:9" s="26" customFormat="1">
      <c r="A79" s="947">
        <v>2</v>
      </c>
      <c r="B79" s="948">
        <v>242.24</v>
      </c>
      <c r="C79" s="948" t="s">
        <v>222</v>
      </c>
      <c r="D79" s="947" t="s">
        <v>2</v>
      </c>
      <c r="E79" s="950">
        <v>20</v>
      </c>
      <c r="F79" s="950">
        <v>1</v>
      </c>
      <c r="G79" s="951">
        <v>2000</v>
      </c>
      <c r="H79" s="951">
        <v>1980</v>
      </c>
      <c r="I79" s="18"/>
    </row>
    <row r="80" spans="1:9">
      <c r="A80" s="943">
        <v>2</v>
      </c>
      <c r="B80" s="944">
        <v>244.12</v>
      </c>
      <c r="C80" s="944" t="s">
        <v>229</v>
      </c>
      <c r="D80" s="943" t="s">
        <v>17</v>
      </c>
      <c r="E80" s="945">
        <v>830</v>
      </c>
      <c r="F80" s="945">
        <v>2</v>
      </c>
      <c r="G80" s="946">
        <v>120</v>
      </c>
      <c r="H80" s="946">
        <v>110.71</v>
      </c>
    </row>
    <row r="81" spans="1:9" s="26" customFormat="1">
      <c r="A81" s="947">
        <v>2</v>
      </c>
      <c r="B81" s="948">
        <v>244.15</v>
      </c>
      <c r="C81" s="948" t="s">
        <v>230</v>
      </c>
      <c r="D81" s="947" t="s">
        <v>17</v>
      </c>
      <c r="E81" s="950">
        <v>700</v>
      </c>
      <c r="F81" s="950">
        <v>1</v>
      </c>
      <c r="G81" s="951">
        <v>125</v>
      </c>
      <c r="H81" s="951">
        <v>126</v>
      </c>
      <c r="I81" s="18"/>
    </row>
    <row r="82" spans="1:9">
      <c r="A82" s="943">
        <v>2</v>
      </c>
      <c r="B82" s="944">
        <v>244.18</v>
      </c>
      <c r="C82" s="944" t="s">
        <v>231</v>
      </c>
      <c r="D82" s="943" t="s">
        <v>17</v>
      </c>
      <c r="E82" s="952">
        <v>1250</v>
      </c>
      <c r="F82" s="945">
        <v>1</v>
      </c>
      <c r="G82" s="946">
        <v>140</v>
      </c>
      <c r="H82" s="946">
        <v>144.4</v>
      </c>
    </row>
    <row r="83" spans="1:9" s="26" customFormat="1">
      <c r="A83" s="947">
        <v>2</v>
      </c>
      <c r="B83" s="948">
        <v>244.24</v>
      </c>
      <c r="C83" s="948" t="s">
        <v>232</v>
      </c>
      <c r="D83" s="947" t="s">
        <v>17</v>
      </c>
      <c r="E83" s="949">
        <v>1050</v>
      </c>
      <c r="F83" s="950">
        <v>1</v>
      </c>
      <c r="G83" s="951">
        <v>160</v>
      </c>
      <c r="H83" s="951">
        <v>165</v>
      </c>
      <c r="I83" s="18"/>
    </row>
    <row r="84" spans="1:9">
      <c r="A84" s="943">
        <v>2</v>
      </c>
      <c r="B84" s="944">
        <v>250.06</v>
      </c>
      <c r="C84" s="944" t="s">
        <v>235</v>
      </c>
      <c r="D84" s="943" t="s">
        <v>17</v>
      </c>
      <c r="E84" s="945">
        <v>540</v>
      </c>
      <c r="F84" s="945">
        <v>1</v>
      </c>
      <c r="G84" s="946">
        <v>135</v>
      </c>
      <c r="H84" s="946">
        <v>130.56</v>
      </c>
    </row>
    <row r="85" spans="1:9" s="26" customFormat="1">
      <c r="A85" s="947">
        <v>2</v>
      </c>
      <c r="B85" s="948">
        <v>250.1</v>
      </c>
      <c r="C85" s="948" t="s">
        <v>1312</v>
      </c>
      <c r="D85" s="947" t="s">
        <v>17</v>
      </c>
      <c r="E85" s="950">
        <v>240</v>
      </c>
      <c r="F85" s="950">
        <v>1</v>
      </c>
      <c r="G85" s="951">
        <v>200</v>
      </c>
      <c r="H85" s="951">
        <v>200</v>
      </c>
      <c r="I85" s="18"/>
    </row>
    <row r="86" spans="1:9">
      <c r="A86" s="943">
        <v>2</v>
      </c>
      <c r="B86" s="944">
        <v>252.12</v>
      </c>
      <c r="C86" s="944" t="s">
        <v>1313</v>
      </c>
      <c r="D86" s="943" t="s">
        <v>17</v>
      </c>
      <c r="E86" s="945">
        <v>115</v>
      </c>
      <c r="F86" s="945">
        <v>1</v>
      </c>
      <c r="G86" s="946">
        <v>140</v>
      </c>
      <c r="H86" s="946">
        <v>127</v>
      </c>
    </row>
    <row r="87" spans="1:9" s="26" customFormat="1">
      <c r="A87" s="947">
        <v>2</v>
      </c>
      <c r="B87" s="948">
        <v>258</v>
      </c>
      <c r="C87" s="948" t="s">
        <v>238</v>
      </c>
      <c r="D87" s="947" t="s">
        <v>1</v>
      </c>
      <c r="E87" s="950">
        <v>430</v>
      </c>
      <c r="F87" s="950">
        <v>4</v>
      </c>
      <c r="G87" s="951">
        <v>100</v>
      </c>
      <c r="H87" s="951">
        <v>95.17</v>
      </c>
      <c r="I87" s="18"/>
    </row>
    <row r="88" spans="1:9">
      <c r="A88" s="943">
        <v>2</v>
      </c>
      <c r="B88" s="944">
        <v>259</v>
      </c>
      <c r="C88" s="944" t="s">
        <v>1318</v>
      </c>
      <c r="D88" s="943" t="s">
        <v>7</v>
      </c>
      <c r="E88" s="945">
        <v>180</v>
      </c>
      <c r="F88" s="945">
        <v>1</v>
      </c>
      <c r="G88" s="946">
        <v>87.5</v>
      </c>
      <c r="H88" s="946">
        <v>74.33</v>
      </c>
    </row>
    <row r="89" spans="1:9" s="26" customFormat="1">
      <c r="A89" s="947">
        <v>2</v>
      </c>
      <c r="B89" s="948">
        <v>265.06</v>
      </c>
      <c r="C89" s="948" t="s">
        <v>239</v>
      </c>
      <c r="D89" s="947" t="s">
        <v>17</v>
      </c>
      <c r="E89" s="950">
        <v>200</v>
      </c>
      <c r="F89" s="950">
        <v>1</v>
      </c>
      <c r="G89" s="951">
        <v>127.5</v>
      </c>
      <c r="H89" s="951">
        <v>125</v>
      </c>
      <c r="I89" s="18"/>
    </row>
    <row r="90" spans="1:9">
      <c r="A90" s="943">
        <v>2</v>
      </c>
      <c r="B90" s="944">
        <v>269.10000000000002</v>
      </c>
      <c r="C90" s="944" t="s">
        <v>242</v>
      </c>
      <c r="D90" s="943" t="s">
        <v>17</v>
      </c>
      <c r="E90" s="945">
        <v>430</v>
      </c>
      <c r="F90" s="945">
        <v>1</v>
      </c>
      <c r="G90" s="946">
        <v>110</v>
      </c>
      <c r="H90" s="946">
        <v>110</v>
      </c>
    </row>
    <row r="91" spans="1:9" s="26" customFormat="1">
      <c r="A91" s="947">
        <v>2</v>
      </c>
      <c r="B91" s="948">
        <v>271.12</v>
      </c>
      <c r="C91" s="948" t="s">
        <v>243</v>
      </c>
      <c r="D91" s="947" t="s">
        <v>17</v>
      </c>
      <c r="E91" s="949">
        <v>1800</v>
      </c>
      <c r="F91" s="950">
        <v>1</v>
      </c>
      <c r="G91" s="951">
        <v>35</v>
      </c>
      <c r="H91" s="951">
        <v>29.67</v>
      </c>
      <c r="I91" s="18"/>
    </row>
    <row r="92" spans="1:9">
      <c r="A92" s="943">
        <v>2</v>
      </c>
      <c r="B92" s="944">
        <v>280</v>
      </c>
      <c r="C92" s="944" t="s">
        <v>244</v>
      </c>
      <c r="D92" s="943" t="s">
        <v>1</v>
      </c>
      <c r="E92" s="952">
        <v>3677</v>
      </c>
      <c r="F92" s="945">
        <v>4</v>
      </c>
      <c r="G92" s="946">
        <v>103.5</v>
      </c>
      <c r="H92" s="946">
        <v>98.84</v>
      </c>
    </row>
    <row r="93" spans="1:9" s="26" customFormat="1">
      <c r="A93" s="947">
        <v>2</v>
      </c>
      <c r="B93" s="948">
        <v>280.10000000000002</v>
      </c>
      <c r="C93" s="948" t="s">
        <v>244</v>
      </c>
      <c r="D93" s="947" t="s">
        <v>7</v>
      </c>
      <c r="E93" s="950">
        <v>460</v>
      </c>
      <c r="F93" s="950">
        <v>2</v>
      </c>
      <c r="G93" s="951">
        <v>332.5</v>
      </c>
      <c r="H93" s="951">
        <v>342.5</v>
      </c>
      <c r="I93" s="18"/>
    </row>
    <row r="94" spans="1:9">
      <c r="A94" s="943">
        <v>2</v>
      </c>
      <c r="B94" s="944">
        <v>281</v>
      </c>
      <c r="C94" s="944" t="s">
        <v>245</v>
      </c>
      <c r="D94" s="943" t="s">
        <v>1</v>
      </c>
      <c r="E94" s="945">
        <v>90</v>
      </c>
      <c r="F94" s="945">
        <v>1</v>
      </c>
      <c r="G94" s="946">
        <v>215</v>
      </c>
      <c r="H94" s="946">
        <v>221.67</v>
      </c>
    </row>
    <row r="95" spans="1:9" s="26" customFormat="1">
      <c r="A95" s="947">
        <v>2</v>
      </c>
      <c r="B95" s="948">
        <v>302.04000000000002</v>
      </c>
      <c r="C95" s="948" t="s">
        <v>246</v>
      </c>
      <c r="D95" s="947" t="s">
        <v>17</v>
      </c>
      <c r="E95" s="950">
        <v>160</v>
      </c>
      <c r="F95" s="950">
        <v>2</v>
      </c>
      <c r="G95" s="951">
        <v>200</v>
      </c>
      <c r="H95" s="951">
        <v>192.5</v>
      </c>
      <c r="I95" s="18"/>
    </row>
    <row r="96" spans="1:9">
      <c r="A96" s="943">
        <v>2</v>
      </c>
      <c r="B96" s="944">
        <v>302.06</v>
      </c>
      <c r="C96" s="944" t="s">
        <v>247</v>
      </c>
      <c r="D96" s="943" t="s">
        <v>17</v>
      </c>
      <c r="E96" s="952">
        <v>2730</v>
      </c>
      <c r="F96" s="945">
        <v>3</v>
      </c>
      <c r="G96" s="946">
        <v>175</v>
      </c>
      <c r="H96" s="946">
        <v>174.17</v>
      </c>
    </row>
    <row r="97" spans="1:9" s="26" customFormat="1">
      <c r="A97" s="947">
        <v>2</v>
      </c>
      <c r="B97" s="948">
        <v>302.08</v>
      </c>
      <c r="C97" s="948" t="s">
        <v>248</v>
      </c>
      <c r="D97" s="947" t="s">
        <v>17</v>
      </c>
      <c r="E97" s="949">
        <v>10980</v>
      </c>
      <c r="F97" s="950">
        <v>2</v>
      </c>
      <c r="G97" s="951">
        <v>205</v>
      </c>
      <c r="H97" s="951">
        <v>191.88</v>
      </c>
      <c r="I97" s="18"/>
    </row>
    <row r="98" spans="1:9">
      <c r="A98" s="943">
        <v>2</v>
      </c>
      <c r="B98" s="944">
        <v>302.10000000000002</v>
      </c>
      <c r="C98" s="944" t="s">
        <v>249</v>
      </c>
      <c r="D98" s="943" t="s">
        <v>17</v>
      </c>
      <c r="E98" s="945">
        <v>400</v>
      </c>
      <c r="F98" s="945">
        <v>2</v>
      </c>
      <c r="G98" s="946">
        <v>225</v>
      </c>
      <c r="H98" s="946">
        <v>236.88</v>
      </c>
    </row>
    <row r="99" spans="1:9" s="26" customFormat="1">
      <c r="A99" s="947">
        <v>2</v>
      </c>
      <c r="B99" s="948">
        <v>302.12</v>
      </c>
      <c r="C99" s="948" t="s">
        <v>250</v>
      </c>
      <c r="D99" s="947" t="s">
        <v>17</v>
      </c>
      <c r="E99" s="949">
        <v>31372</v>
      </c>
      <c r="F99" s="950">
        <v>2</v>
      </c>
      <c r="G99" s="951">
        <v>230</v>
      </c>
      <c r="H99" s="951">
        <v>241.44</v>
      </c>
      <c r="I99" s="18"/>
    </row>
    <row r="100" spans="1:9">
      <c r="A100" s="943">
        <v>2</v>
      </c>
      <c r="B100" s="944">
        <v>303.06</v>
      </c>
      <c r="C100" s="944" t="s">
        <v>251</v>
      </c>
      <c r="D100" s="943" t="s">
        <v>17</v>
      </c>
      <c r="E100" s="945">
        <v>40</v>
      </c>
      <c r="F100" s="945">
        <v>1</v>
      </c>
      <c r="G100" s="946">
        <v>165</v>
      </c>
      <c r="H100" s="946">
        <v>141.25</v>
      </c>
    </row>
    <row r="101" spans="1:9" s="26" customFormat="1">
      <c r="A101" s="947">
        <v>2</v>
      </c>
      <c r="B101" s="948">
        <v>303.08</v>
      </c>
      <c r="C101" s="948" t="s">
        <v>252</v>
      </c>
      <c r="D101" s="947" t="s">
        <v>17</v>
      </c>
      <c r="E101" s="950">
        <v>648</v>
      </c>
      <c r="F101" s="950">
        <v>1</v>
      </c>
      <c r="G101" s="951">
        <v>205</v>
      </c>
      <c r="H101" s="951">
        <v>161.25</v>
      </c>
      <c r="I101" s="18"/>
    </row>
    <row r="102" spans="1:9">
      <c r="A102" s="943">
        <v>2</v>
      </c>
      <c r="B102" s="944">
        <v>309</v>
      </c>
      <c r="C102" s="944" t="s">
        <v>256</v>
      </c>
      <c r="D102" s="943" t="s">
        <v>100</v>
      </c>
      <c r="E102" s="952">
        <v>39020</v>
      </c>
      <c r="F102" s="945">
        <v>3</v>
      </c>
      <c r="G102" s="946">
        <v>10</v>
      </c>
      <c r="H102" s="946">
        <v>9.68</v>
      </c>
    </row>
    <row r="103" spans="1:9" s="26" customFormat="1">
      <c r="A103" s="947">
        <v>2</v>
      </c>
      <c r="B103" s="948">
        <v>336.1</v>
      </c>
      <c r="C103" s="948" t="s">
        <v>258</v>
      </c>
      <c r="D103" s="947" t="s">
        <v>17</v>
      </c>
      <c r="E103" s="949">
        <v>2200</v>
      </c>
      <c r="F103" s="950">
        <v>1</v>
      </c>
      <c r="G103" s="951">
        <v>237.5</v>
      </c>
      <c r="H103" s="951">
        <v>237.5</v>
      </c>
      <c r="I103" s="18"/>
    </row>
    <row r="104" spans="1:9">
      <c r="A104" s="943">
        <v>2</v>
      </c>
      <c r="B104" s="944">
        <v>347.07499999999999</v>
      </c>
      <c r="C104" s="944" t="s">
        <v>259</v>
      </c>
      <c r="D104" s="943" t="s">
        <v>17</v>
      </c>
      <c r="E104" s="945">
        <v>240</v>
      </c>
      <c r="F104" s="945">
        <v>1</v>
      </c>
      <c r="G104" s="946">
        <v>104</v>
      </c>
      <c r="H104" s="946">
        <v>102.17</v>
      </c>
    </row>
    <row r="105" spans="1:9" s="26" customFormat="1">
      <c r="A105" s="947">
        <v>2</v>
      </c>
      <c r="B105" s="948">
        <v>347.1</v>
      </c>
      <c r="C105" s="948" t="s">
        <v>260</v>
      </c>
      <c r="D105" s="947" t="s">
        <v>17</v>
      </c>
      <c r="E105" s="949">
        <v>6235</v>
      </c>
      <c r="F105" s="950">
        <v>3</v>
      </c>
      <c r="G105" s="951">
        <v>100</v>
      </c>
      <c r="H105" s="951">
        <v>103.08</v>
      </c>
      <c r="I105" s="18"/>
    </row>
    <row r="106" spans="1:9">
      <c r="A106" s="943">
        <v>2</v>
      </c>
      <c r="B106" s="944">
        <v>347.15</v>
      </c>
      <c r="C106" s="944" t="s">
        <v>1329</v>
      </c>
      <c r="D106" s="943" t="s">
        <v>17</v>
      </c>
      <c r="E106" s="945">
        <v>610</v>
      </c>
      <c r="F106" s="945">
        <v>2</v>
      </c>
      <c r="G106" s="946">
        <v>120</v>
      </c>
      <c r="H106" s="946">
        <v>120.88</v>
      </c>
    </row>
    <row r="107" spans="1:9" s="26" customFormat="1">
      <c r="A107" s="947">
        <v>2</v>
      </c>
      <c r="B107" s="948">
        <v>347.2</v>
      </c>
      <c r="C107" s="948" t="s">
        <v>261</v>
      </c>
      <c r="D107" s="947" t="s">
        <v>17</v>
      </c>
      <c r="E107" s="949">
        <v>1200</v>
      </c>
      <c r="F107" s="950">
        <v>2</v>
      </c>
      <c r="G107" s="951">
        <v>140</v>
      </c>
      <c r="H107" s="951">
        <v>128.78</v>
      </c>
      <c r="I107" s="18"/>
    </row>
    <row r="108" spans="1:9">
      <c r="A108" s="943">
        <v>2</v>
      </c>
      <c r="B108" s="944">
        <v>350.04</v>
      </c>
      <c r="C108" s="944" t="s">
        <v>263</v>
      </c>
      <c r="D108" s="943" t="s">
        <v>2</v>
      </c>
      <c r="E108" s="945">
        <v>4</v>
      </c>
      <c r="F108" s="945">
        <v>1</v>
      </c>
      <c r="G108" s="946">
        <v>2650</v>
      </c>
      <c r="H108" s="946">
        <v>2650</v>
      </c>
    </row>
    <row r="109" spans="1:9" s="26" customFormat="1">
      <c r="A109" s="947">
        <v>2</v>
      </c>
      <c r="B109" s="948">
        <v>350.06</v>
      </c>
      <c r="C109" s="948" t="s">
        <v>264</v>
      </c>
      <c r="D109" s="947" t="s">
        <v>2</v>
      </c>
      <c r="E109" s="950">
        <v>166</v>
      </c>
      <c r="F109" s="950">
        <v>3</v>
      </c>
      <c r="G109" s="951">
        <v>3000</v>
      </c>
      <c r="H109" s="951">
        <v>3126.92</v>
      </c>
      <c r="I109" s="18"/>
    </row>
    <row r="110" spans="1:9">
      <c r="A110" s="943">
        <v>2</v>
      </c>
      <c r="B110" s="944">
        <v>350.08</v>
      </c>
      <c r="C110" s="944" t="s">
        <v>265</v>
      </c>
      <c r="D110" s="943" t="s">
        <v>2</v>
      </c>
      <c r="E110" s="945">
        <v>202</v>
      </c>
      <c r="F110" s="945">
        <v>3</v>
      </c>
      <c r="G110" s="946">
        <v>4000</v>
      </c>
      <c r="H110" s="946">
        <v>4071.43</v>
      </c>
    </row>
    <row r="111" spans="1:9" s="26" customFormat="1">
      <c r="A111" s="947">
        <v>2</v>
      </c>
      <c r="B111" s="948">
        <v>350.1</v>
      </c>
      <c r="C111" s="948" t="s">
        <v>266</v>
      </c>
      <c r="D111" s="947" t="s">
        <v>2</v>
      </c>
      <c r="E111" s="950">
        <v>16</v>
      </c>
      <c r="F111" s="950">
        <v>1</v>
      </c>
      <c r="G111" s="951">
        <v>6050</v>
      </c>
      <c r="H111" s="951">
        <v>6050</v>
      </c>
      <c r="I111" s="18"/>
    </row>
    <row r="112" spans="1:9">
      <c r="A112" s="943">
        <v>2</v>
      </c>
      <c r="B112" s="944">
        <v>350.12</v>
      </c>
      <c r="C112" s="944" t="s">
        <v>267</v>
      </c>
      <c r="D112" s="943" t="s">
        <v>2</v>
      </c>
      <c r="E112" s="945">
        <v>189</v>
      </c>
      <c r="F112" s="945">
        <v>3</v>
      </c>
      <c r="G112" s="946">
        <v>6000</v>
      </c>
      <c r="H112" s="946">
        <v>6369.23</v>
      </c>
    </row>
    <row r="113" spans="1:9" s="26" customFormat="1">
      <c r="A113" s="947">
        <v>2</v>
      </c>
      <c r="B113" s="948">
        <v>357.12</v>
      </c>
      <c r="C113" s="948" t="s">
        <v>271</v>
      </c>
      <c r="D113" s="947" t="s">
        <v>2</v>
      </c>
      <c r="E113" s="950">
        <v>6</v>
      </c>
      <c r="F113" s="950">
        <v>1</v>
      </c>
      <c r="G113" s="951">
        <v>600</v>
      </c>
      <c r="H113" s="951">
        <v>608.33000000000004</v>
      </c>
      <c r="I113" s="18"/>
    </row>
    <row r="114" spans="1:9">
      <c r="A114" s="943">
        <v>2</v>
      </c>
      <c r="B114" s="944">
        <v>358</v>
      </c>
      <c r="C114" s="944" t="s">
        <v>274</v>
      </c>
      <c r="D114" s="943" t="s">
        <v>2</v>
      </c>
      <c r="E114" s="945">
        <v>405</v>
      </c>
      <c r="F114" s="945">
        <v>8</v>
      </c>
      <c r="G114" s="946">
        <v>350</v>
      </c>
      <c r="H114" s="946">
        <v>343.26</v>
      </c>
    </row>
    <row r="115" spans="1:9" s="26" customFormat="1">
      <c r="A115" s="947">
        <v>2</v>
      </c>
      <c r="B115" s="948">
        <v>358.1</v>
      </c>
      <c r="C115" s="948" t="s">
        <v>275</v>
      </c>
      <c r="D115" s="947" t="s">
        <v>2</v>
      </c>
      <c r="E115" s="950">
        <v>177</v>
      </c>
      <c r="F115" s="950">
        <v>2</v>
      </c>
      <c r="G115" s="951">
        <v>100</v>
      </c>
      <c r="H115" s="951">
        <v>114.71</v>
      </c>
      <c r="I115" s="18"/>
    </row>
    <row r="116" spans="1:9">
      <c r="A116" s="943">
        <v>2</v>
      </c>
      <c r="B116" s="944">
        <v>363.07499999999999</v>
      </c>
      <c r="C116" s="944" t="s">
        <v>1337</v>
      </c>
      <c r="D116" s="943" t="s">
        <v>2</v>
      </c>
      <c r="E116" s="945">
        <v>4</v>
      </c>
      <c r="F116" s="945">
        <v>1</v>
      </c>
      <c r="G116" s="946">
        <v>900</v>
      </c>
      <c r="H116" s="946">
        <v>862.5</v>
      </c>
    </row>
    <row r="117" spans="1:9" s="26" customFormat="1">
      <c r="A117" s="947">
        <v>2</v>
      </c>
      <c r="B117" s="948">
        <v>363.1</v>
      </c>
      <c r="C117" s="948" t="s">
        <v>276</v>
      </c>
      <c r="D117" s="947" t="s">
        <v>2</v>
      </c>
      <c r="E117" s="950">
        <v>233</v>
      </c>
      <c r="F117" s="950">
        <v>3</v>
      </c>
      <c r="G117" s="951">
        <v>750</v>
      </c>
      <c r="H117" s="951">
        <v>630.64</v>
      </c>
      <c r="I117" s="18"/>
    </row>
    <row r="118" spans="1:9">
      <c r="A118" s="943">
        <v>2</v>
      </c>
      <c r="B118" s="944">
        <v>363.15</v>
      </c>
      <c r="C118" s="944" t="s">
        <v>1339</v>
      </c>
      <c r="D118" s="943" t="s">
        <v>2</v>
      </c>
      <c r="E118" s="945">
        <v>21</v>
      </c>
      <c r="F118" s="945">
        <v>1</v>
      </c>
      <c r="G118" s="946">
        <v>1335</v>
      </c>
      <c r="H118" s="946">
        <v>1322.86</v>
      </c>
    </row>
    <row r="119" spans="1:9" s="26" customFormat="1">
      <c r="A119" s="947">
        <v>2</v>
      </c>
      <c r="B119" s="948">
        <v>363.2</v>
      </c>
      <c r="C119" s="948" t="s">
        <v>277</v>
      </c>
      <c r="D119" s="947" t="s">
        <v>2</v>
      </c>
      <c r="E119" s="950">
        <v>40</v>
      </c>
      <c r="F119" s="950">
        <v>2</v>
      </c>
      <c r="G119" s="951">
        <v>1530</v>
      </c>
      <c r="H119" s="951">
        <v>1587.5</v>
      </c>
      <c r="I119" s="18"/>
    </row>
    <row r="120" spans="1:9">
      <c r="A120" s="943">
        <v>2</v>
      </c>
      <c r="B120" s="944">
        <v>369.1</v>
      </c>
      <c r="C120" s="944" t="s">
        <v>2323</v>
      </c>
      <c r="D120" s="943" t="s">
        <v>2</v>
      </c>
      <c r="E120" s="945">
        <v>4</v>
      </c>
      <c r="F120" s="945">
        <v>1</v>
      </c>
      <c r="G120" s="946">
        <v>21000</v>
      </c>
      <c r="H120" s="946">
        <v>21000</v>
      </c>
    </row>
    <row r="121" spans="1:9" s="26" customFormat="1">
      <c r="A121" s="947">
        <v>2</v>
      </c>
      <c r="B121" s="948">
        <v>371.04</v>
      </c>
      <c r="C121" s="948" t="s">
        <v>284</v>
      </c>
      <c r="D121" s="947" t="s">
        <v>2</v>
      </c>
      <c r="E121" s="950">
        <v>4</v>
      </c>
      <c r="F121" s="950">
        <v>1</v>
      </c>
      <c r="G121" s="951">
        <v>467.5</v>
      </c>
      <c r="H121" s="951">
        <v>467.5</v>
      </c>
      <c r="I121" s="18"/>
    </row>
    <row r="122" spans="1:9">
      <c r="A122" s="943">
        <v>2</v>
      </c>
      <c r="B122" s="944">
        <v>371.06</v>
      </c>
      <c r="C122" s="944" t="s">
        <v>285</v>
      </c>
      <c r="D122" s="943" t="s">
        <v>2</v>
      </c>
      <c r="E122" s="945">
        <v>29</v>
      </c>
      <c r="F122" s="945">
        <v>2</v>
      </c>
      <c r="G122" s="946">
        <v>1000</v>
      </c>
      <c r="H122" s="946">
        <v>1000</v>
      </c>
    </row>
    <row r="123" spans="1:9" s="26" customFormat="1">
      <c r="A123" s="947">
        <v>2</v>
      </c>
      <c r="B123" s="948">
        <v>371.08</v>
      </c>
      <c r="C123" s="948" t="s">
        <v>286</v>
      </c>
      <c r="D123" s="947" t="s">
        <v>2</v>
      </c>
      <c r="E123" s="950">
        <v>74</v>
      </c>
      <c r="F123" s="950">
        <v>2</v>
      </c>
      <c r="G123" s="951">
        <v>1350</v>
      </c>
      <c r="H123" s="951">
        <v>1230.56</v>
      </c>
      <c r="I123" s="18"/>
    </row>
    <row r="124" spans="1:9">
      <c r="A124" s="943">
        <v>2</v>
      </c>
      <c r="B124" s="944">
        <v>371.1</v>
      </c>
      <c r="C124" s="944" t="s">
        <v>2335</v>
      </c>
      <c r="D124" s="943" t="s">
        <v>2</v>
      </c>
      <c r="E124" s="945">
        <v>18</v>
      </c>
      <c r="F124" s="945">
        <v>2</v>
      </c>
      <c r="G124" s="946">
        <v>1500</v>
      </c>
      <c r="H124" s="946">
        <v>1438.89</v>
      </c>
    </row>
    <row r="125" spans="1:9" s="26" customFormat="1">
      <c r="A125" s="947">
        <v>2</v>
      </c>
      <c r="B125" s="948">
        <v>371.12</v>
      </c>
      <c r="C125" s="948" t="s">
        <v>287</v>
      </c>
      <c r="D125" s="947" t="s">
        <v>2</v>
      </c>
      <c r="E125" s="950">
        <v>25</v>
      </c>
      <c r="F125" s="950">
        <v>2</v>
      </c>
      <c r="G125" s="951">
        <v>1700</v>
      </c>
      <c r="H125" s="951">
        <v>1736.67</v>
      </c>
      <c r="I125" s="18"/>
    </row>
    <row r="126" spans="1:9">
      <c r="A126" s="943">
        <v>2</v>
      </c>
      <c r="B126" s="944">
        <v>373.04</v>
      </c>
      <c r="C126" s="944" t="s">
        <v>1348</v>
      </c>
      <c r="D126" s="943" t="s">
        <v>17</v>
      </c>
      <c r="E126" s="945">
        <v>40</v>
      </c>
      <c r="F126" s="945">
        <v>1</v>
      </c>
      <c r="G126" s="946">
        <v>100</v>
      </c>
      <c r="H126" s="946">
        <v>100</v>
      </c>
    </row>
    <row r="127" spans="1:9" s="26" customFormat="1">
      <c r="A127" s="947">
        <v>2</v>
      </c>
      <c r="B127" s="948">
        <v>373.06</v>
      </c>
      <c r="C127" s="948" t="s">
        <v>1349</v>
      </c>
      <c r="D127" s="947" t="s">
        <v>17</v>
      </c>
      <c r="E127" s="950">
        <v>160</v>
      </c>
      <c r="F127" s="950">
        <v>1</v>
      </c>
      <c r="G127" s="951">
        <v>92.5</v>
      </c>
      <c r="H127" s="951">
        <v>92.5</v>
      </c>
      <c r="I127" s="18"/>
    </row>
    <row r="128" spans="1:9">
      <c r="A128" s="943">
        <v>2</v>
      </c>
      <c r="B128" s="944">
        <v>373.08</v>
      </c>
      <c r="C128" s="944" t="s">
        <v>288</v>
      </c>
      <c r="D128" s="943" t="s">
        <v>17</v>
      </c>
      <c r="E128" s="945">
        <v>165</v>
      </c>
      <c r="F128" s="945">
        <v>2</v>
      </c>
      <c r="G128" s="946">
        <v>105</v>
      </c>
      <c r="H128" s="946">
        <v>97.14</v>
      </c>
    </row>
    <row r="129" spans="1:9" s="26" customFormat="1">
      <c r="A129" s="947">
        <v>2</v>
      </c>
      <c r="B129" s="948">
        <v>373.1</v>
      </c>
      <c r="C129" s="948" t="s">
        <v>2337</v>
      </c>
      <c r="D129" s="947" t="s">
        <v>17</v>
      </c>
      <c r="E129" s="950">
        <v>24</v>
      </c>
      <c r="F129" s="950">
        <v>1</v>
      </c>
      <c r="G129" s="951">
        <v>137.5</v>
      </c>
      <c r="H129" s="951">
        <v>137.5</v>
      </c>
      <c r="I129" s="18"/>
    </row>
    <row r="130" spans="1:9">
      <c r="A130" s="943">
        <v>2</v>
      </c>
      <c r="B130" s="944">
        <v>373.12</v>
      </c>
      <c r="C130" s="944" t="s">
        <v>289</v>
      </c>
      <c r="D130" s="943" t="s">
        <v>17</v>
      </c>
      <c r="E130" s="952">
        <v>1100</v>
      </c>
      <c r="F130" s="945">
        <v>1</v>
      </c>
      <c r="G130" s="946">
        <v>86</v>
      </c>
      <c r="H130" s="946">
        <v>86</v>
      </c>
    </row>
    <row r="131" spans="1:9" s="26" customFormat="1">
      <c r="A131" s="947">
        <v>2</v>
      </c>
      <c r="B131" s="948">
        <v>376</v>
      </c>
      <c r="C131" s="948" t="s">
        <v>290</v>
      </c>
      <c r="D131" s="947" t="s">
        <v>2</v>
      </c>
      <c r="E131" s="950">
        <v>100</v>
      </c>
      <c r="F131" s="950">
        <v>3</v>
      </c>
      <c r="G131" s="951">
        <v>8000</v>
      </c>
      <c r="H131" s="951">
        <v>7923.08</v>
      </c>
      <c r="I131" s="18"/>
    </row>
    <row r="132" spans="1:9">
      <c r="A132" s="943">
        <v>2</v>
      </c>
      <c r="B132" s="944">
        <v>376.1</v>
      </c>
      <c r="C132" s="944" t="s">
        <v>291</v>
      </c>
      <c r="D132" s="943" t="s">
        <v>2</v>
      </c>
      <c r="E132" s="945">
        <v>2</v>
      </c>
      <c r="F132" s="945">
        <v>1</v>
      </c>
      <c r="G132" s="946">
        <v>3925</v>
      </c>
      <c r="H132" s="946">
        <v>3925</v>
      </c>
    </row>
    <row r="133" spans="1:9" s="26" customFormat="1">
      <c r="A133" s="947">
        <v>2</v>
      </c>
      <c r="B133" s="948">
        <v>376.2</v>
      </c>
      <c r="C133" s="948" t="s">
        <v>292</v>
      </c>
      <c r="D133" s="947" t="s">
        <v>2</v>
      </c>
      <c r="E133" s="950">
        <v>34</v>
      </c>
      <c r="F133" s="950">
        <v>3</v>
      </c>
      <c r="G133" s="951">
        <v>3500</v>
      </c>
      <c r="H133" s="951">
        <v>3783.33</v>
      </c>
      <c r="I133" s="18"/>
    </row>
    <row r="134" spans="1:9">
      <c r="A134" s="943">
        <v>2</v>
      </c>
      <c r="B134" s="944">
        <v>376.3</v>
      </c>
      <c r="C134" s="944" t="s">
        <v>293</v>
      </c>
      <c r="D134" s="943" t="s">
        <v>2</v>
      </c>
      <c r="E134" s="945">
        <v>76</v>
      </c>
      <c r="F134" s="945">
        <v>2</v>
      </c>
      <c r="G134" s="946">
        <v>1200</v>
      </c>
      <c r="H134" s="946">
        <v>1120.83</v>
      </c>
    </row>
    <row r="135" spans="1:9" s="26" customFormat="1">
      <c r="A135" s="947">
        <v>2</v>
      </c>
      <c r="B135" s="948">
        <v>376.5</v>
      </c>
      <c r="C135" s="948" t="s">
        <v>294</v>
      </c>
      <c r="D135" s="947" t="s">
        <v>2</v>
      </c>
      <c r="E135" s="950">
        <v>26</v>
      </c>
      <c r="F135" s="950">
        <v>2</v>
      </c>
      <c r="G135" s="951">
        <v>2000</v>
      </c>
      <c r="H135" s="951">
        <v>2100</v>
      </c>
      <c r="I135" s="18"/>
    </row>
    <row r="136" spans="1:9">
      <c r="A136" s="943">
        <v>2</v>
      </c>
      <c r="B136" s="944">
        <v>379.1</v>
      </c>
      <c r="C136" s="944" t="s">
        <v>1355</v>
      </c>
      <c r="D136" s="943" t="s">
        <v>2</v>
      </c>
      <c r="E136" s="945">
        <v>4</v>
      </c>
      <c r="F136" s="945">
        <v>1</v>
      </c>
      <c r="G136" s="946">
        <v>1950</v>
      </c>
      <c r="H136" s="946">
        <v>1725</v>
      </c>
    </row>
    <row r="137" spans="1:9" s="26" customFormat="1">
      <c r="A137" s="947">
        <v>2</v>
      </c>
      <c r="B137" s="948">
        <v>381</v>
      </c>
      <c r="C137" s="948" t="s">
        <v>295</v>
      </c>
      <c r="D137" s="947" t="s">
        <v>2</v>
      </c>
      <c r="E137" s="950">
        <v>291</v>
      </c>
      <c r="F137" s="950">
        <v>3</v>
      </c>
      <c r="G137" s="951">
        <v>485</v>
      </c>
      <c r="H137" s="951">
        <v>489.55</v>
      </c>
      <c r="I137" s="18"/>
    </row>
    <row r="138" spans="1:9">
      <c r="A138" s="943">
        <v>2</v>
      </c>
      <c r="B138" s="944">
        <v>381.2</v>
      </c>
      <c r="C138" s="944" t="s">
        <v>297</v>
      </c>
      <c r="D138" s="943" t="s">
        <v>2</v>
      </c>
      <c r="E138" s="945">
        <v>202</v>
      </c>
      <c r="F138" s="945">
        <v>2</v>
      </c>
      <c r="G138" s="946">
        <v>125</v>
      </c>
      <c r="H138" s="946">
        <v>112.4</v>
      </c>
    </row>
    <row r="139" spans="1:9" s="26" customFormat="1">
      <c r="A139" s="947">
        <v>2</v>
      </c>
      <c r="B139" s="948">
        <v>381.3</v>
      </c>
      <c r="C139" s="948" t="s">
        <v>298</v>
      </c>
      <c r="D139" s="947" t="s">
        <v>2</v>
      </c>
      <c r="E139" s="950">
        <v>38</v>
      </c>
      <c r="F139" s="950">
        <v>3</v>
      </c>
      <c r="G139" s="951">
        <v>260</v>
      </c>
      <c r="H139" s="951">
        <v>244.44</v>
      </c>
      <c r="I139" s="18"/>
    </row>
    <row r="140" spans="1:9">
      <c r="A140" s="943">
        <v>2</v>
      </c>
      <c r="B140" s="944">
        <v>384</v>
      </c>
      <c r="C140" s="944" t="s">
        <v>299</v>
      </c>
      <c r="D140" s="943" t="s">
        <v>2</v>
      </c>
      <c r="E140" s="945">
        <v>290</v>
      </c>
      <c r="F140" s="945">
        <v>3</v>
      </c>
      <c r="G140" s="946">
        <v>600</v>
      </c>
      <c r="H140" s="946">
        <v>579</v>
      </c>
    </row>
    <row r="141" spans="1:9" s="26" customFormat="1">
      <c r="A141" s="947">
        <v>2</v>
      </c>
      <c r="B141" s="948">
        <v>402</v>
      </c>
      <c r="C141" s="948" t="s">
        <v>301</v>
      </c>
      <c r="D141" s="947" t="s">
        <v>4</v>
      </c>
      <c r="E141" s="949">
        <v>18739</v>
      </c>
      <c r="F141" s="950">
        <v>10</v>
      </c>
      <c r="G141" s="951">
        <v>98</v>
      </c>
      <c r="H141" s="951">
        <v>95.06</v>
      </c>
      <c r="I141" s="18"/>
    </row>
    <row r="142" spans="1:9">
      <c r="A142" s="943">
        <v>2</v>
      </c>
      <c r="B142" s="944">
        <v>402.11</v>
      </c>
      <c r="C142" s="944" t="s">
        <v>302</v>
      </c>
      <c r="D142" s="943" t="s">
        <v>7</v>
      </c>
      <c r="E142" s="945">
        <v>420</v>
      </c>
      <c r="F142" s="945">
        <v>1</v>
      </c>
      <c r="G142" s="946">
        <v>132.5</v>
      </c>
      <c r="H142" s="946">
        <v>121.67</v>
      </c>
    </row>
    <row r="143" spans="1:9" s="26" customFormat="1">
      <c r="A143" s="947">
        <v>2</v>
      </c>
      <c r="B143" s="948">
        <v>402.13</v>
      </c>
      <c r="C143" s="948" t="s">
        <v>1359</v>
      </c>
      <c r="D143" s="947" t="s">
        <v>17</v>
      </c>
      <c r="E143" s="949">
        <v>109750</v>
      </c>
      <c r="F143" s="950">
        <v>3</v>
      </c>
      <c r="G143" s="951">
        <v>8.5</v>
      </c>
      <c r="H143" s="951">
        <v>8.9600000000000009</v>
      </c>
      <c r="I143" s="18"/>
    </row>
    <row r="144" spans="1:9">
      <c r="A144" s="943">
        <v>2</v>
      </c>
      <c r="B144" s="944">
        <v>403</v>
      </c>
      <c r="C144" s="944" t="s">
        <v>303</v>
      </c>
      <c r="D144" s="943" t="s">
        <v>1</v>
      </c>
      <c r="E144" s="952">
        <v>178500</v>
      </c>
      <c r="F144" s="945">
        <v>1</v>
      </c>
      <c r="G144" s="946">
        <v>4.5</v>
      </c>
      <c r="H144" s="946">
        <v>4</v>
      </c>
    </row>
    <row r="145" spans="1:9" s="26" customFormat="1">
      <c r="A145" s="947">
        <v>2</v>
      </c>
      <c r="B145" s="948">
        <v>403.1</v>
      </c>
      <c r="C145" s="948" t="s">
        <v>304</v>
      </c>
      <c r="D145" s="947" t="s">
        <v>7</v>
      </c>
      <c r="E145" s="950">
        <v>850</v>
      </c>
      <c r="F145" s="950">
        <v>2</v>
      </c>
      <c r="G145" s="951">
        <v>42</v>
      </c>
      <c r="H145" s="951">
        <v>39.880000000000003</v>
      </c>
      <c r="I145" s="18"/>
    </row>
    <row r="146" spans="1:9">
      <c r="A146" s="943">
        <v>2</v>
      </c>
      <c r="B146" s="944">
        <v>415.1</v>
      </c>
      <c r="C146" s="944" t="s">
        <v>1360</v>
      </c>
      <c r="D146" s="943" t="s">
        <v>1</v>
      </c>
      <c r="E146" s="952">
        <v>266470</v>
      </c>
      <c r="F146" s="945">
        <v>4</v>
      </c>
      <c r="G146" s="946">
        <v>6.25</v>
      </c>
      <c r="H146" s="946">
        <v>5.79</v>
      </c>
    </row>
    <row r="147" spans="1:9" s="26" customFormat="1">
      <c r="A147" s="947">
        <v>2</v>
      </c>
      <c r="B147" s="948">
        <v>415.2</v>
      </c>
      <c r="C147" s="948" t="s">
        <v>1361</v>
      </c>
      <c r="D147" s="947" t="s">
        <v>1</v>
      </c>
      <c r="E147" s="949">
        <v>3145380</v>
      </c>
      <c r="F147" s="950">
        <v>6</v>
      </c>
      <c r="G147" s="951">
        <v>20</v>
      </c>
      <c r="H147" s="951">
        <v>16.63</v>
      </c>
      <c r="I147" s="18"/>
    </row>
    <row r="148" spans="1:9">
      <c r="A148" s="943">
        <v>2</v>
      </c>
      <c r="B148" s="944">
        <v>415.3</v>
      </c>
      <c r="C148" s="944" t="s">
        <v>1230</v>
      </c>
      <c r="D148" s="943" t="s">
        <v>1</v>
      </c>
      <c r="E148" s="952">
        <v>35697</v>
      </c>
      <c r="F148" s="945">
        <v>3</v>
      </c>
      <c r="G148" s="946">
        <v>11</v>
      </c>
      <c r="H148" s="946">
        <v>10.02</v>
      </c>
    </row>
    <row r="149" spans="1:9" s="26" customFormat="1">
      <c r="A149" s="947">
        <v>2</v>
      </c>
      <c r="B149" s="948">
        <v>415.4</v>
      </c>
      <c r="C149" s="948" t="s">
        <v>1362</v>
      </c>
      <c r="D149" s="947" t="s">
        <v>1</v>
      </c>
      <c r="E149" s="949">
        <v>45000</v>
      </c>
      <c r="F149" s="950">
        <v>3</v>
      </c>
      <c r="G149" s="951">
        <v>29</v>
      </c>
      <c r="H149" s="951">
        <v>29.68</v>
      </c>
      <c r="I149" s="18"/>
    </row>
    <row r="150" spans="1:9">
      <c r="A150" s="943">
        <v>2</v>
      </c>
      <c r="B150" s="944">
        <v>430</v>
      </c>
      <c r="C150" s="944" t="s">
        <v>1363</v>
      </c>
      <c r="D150" s="943" t="s">
        <v>1</v>
      </c>
      <c r="E150" s="952">
        <v>3380</v>
      </c>
      <c r="F150" s="945">
        <v>2</v>
      </c>
      <c r="G150" s="946">
        <v>80</v>
      </c>
      <c r="H150" s="946">
        <v>80.56</v>
      </c>
    </row>
    <row r="151" spans="1:9" s="26" customFormat="1">
      <c r="A151" s="947">
        <v>2</v>
      </c>
      <c r="B151" s="948">
        <v>431</v>
      </c>
      <c r="C151" s="948" t="s">
        <v>27</v>
      </c>
      <c r="D151" s="947" t="s">
        <v>1</v>
      </c>
      <c r="E151" s="949">
        <v>8870</v>
      </c>
      <c r="F151" s="950">
        <v>3</v>
      </c>
      <c r="G151" s="951">
        <v>75</v>
      </c>
      <c r="H151" s="951">
        <v>75.459999999999994</v>
      </c>
      <c r="I151" s="18"/>
    </row>
    <row r="152" spans="1:9">
      <c r="A152" s="943">
        <v>2</v>
      </c>
      <c r="B152" s="944">
        <v>440</v>
      </c>
      <c r="C152" s="944" t="s">
        <v>305</v>
      </c>
      <c r="D152" s="943" t="s">
        <v>100</v>
      </c>
      <c r="E152" s="952">
        <v>691660</v>
      </c>
      <c r="F152" s="945">
        <v>8</v>
      </c>
      <c r="G152" s="946">
        <v>0.5</v>
      </c>
      <c r="H152" s="946">
        <v>0.44</v>
      </c>
    </row>
    <row r="153" spans="1:9" s="26" customFormat="1">
      <c r="A153" s="947">
        <v>2</v>
      </c>
      <c r="B153" s="948">
        <v>443</v>
      </c>
      <c r="C153" s="948" t="s">
        <v>306</v>
      </c>
      <c r="D153" s="947" t="s">
        <v>307</v>
      </c>
      <c r="E153" s="949">
        <v>1112</v>
      </c>
      <c r="F153" s="950">
        <v>8</v>
      </c>
      <c r="G153" s="951">
        <v>50</v>
      </c>
      <c r="H153" s="951">
        <v>53.22</v>
      </c>
      <c r="I153" s="18"/>
    </row>
    <row r="154" spans="1:9">
      <c r="A154" s="943">
        <v>2</v>
      </c>
      <c r="B154" s="944">
        <v>450.22</v>
      </c>
      <c r="C154" s="944" t="s">
        <v>4033</v>
      </c>
      <c r="D154" s="943" t="s">
        <v>7</v>
      </c>
      <c r="E154" s="952">
        <v>6485</v>
      </c>
      <c r="F154" s="945">
        <v>4</v>
      </c>
      <c r="G154" s="946">
        <v>360</v>
      </c>
      <c r="H154" s="946">
        <v>352.59</v>
      </c>
    </row>
    <row r="155" spans="1:9" s="26" customFormat="1">
      <c r="A155" s="947">
        <v>2</v>
      </c>
      <c r="B155" s="948">
        <v>450.221</v>
      </c>
      <c r="C155" s="948" t="s">
        <v>4034</v>
      </c>
      <c r="D155" s="947" t="s">
        <v>7</v>
      </c>
      <c r="E155" s="949">
        <v>10780</v>
      </c>
      <c r="F155" s="950">
        <v>2</v>
      </c>
      <c r="G155" s="951">
        <v>185</v>
      </c>
      <c r="H155" s="951">
        <v>188.86</v>
      </c>
      <c r="I155" s="18"/>
    </row>
    <row r="156" spans="1:9">
      <c r="A156" s="943">
        <v>2</v>
      </c>
      <c r="B156" s="944">
        <v>450.23</v>
      </c>
      <c r="C156" s="944" t="s">
        <v>308</v>
      </c>
      <c r="D156" s="943" t="s">
        <v>7</v>
      </c>
      <c r="E156" s="952">
        <v>50020</v>
      </c>
      <c r="F156" s="945">
        <v>5</v>
      </c>
      <c r="G156" s="946">
        <v>151.5</v>
      </c>
      <c r="H156" s="946">
        <v>170</v>
      </c>
    </row>
    <row r="157" spans="1:9" s="26" customFormat="1">
      <c r="A157" s="947">
        <v>2</v>
      </c>
      <c r="B157" s="948">
        <v>450.23099999999999</v>
      </c>
      <c r="C157" s="948" t="s">
        <v>1367</v>
      </c>
      <c r="D157" s="947" t="s">
        <v>7</v>
      </c>
      <c r="E157" s="949">
        <v>265904</v>
      </c>
      <c r="F157" s="950">
        <v>6</v>
      </c>
      <c r="G157" s="951">
        <v>170</v>
      </c>
      <c r="H157" s="951">
        <v>173.86</v>
      </c>
      <c r="I157" s="18"/>
    </row>
    <row r="158" spans="1:9">
      <c r="A158" s="943">
        <v>2</v>
      </c>
      <c r="B158" s="944">
        <v>450.31</v>
      </c>
      <c r="C158" s="944" t="s">
        <v>53</v>
      </c>
      <c r="D158" s="943" t="s">
        <v>7</v>
      </c>
      <c r="E158" s="952">
        <v>45882</v>
      </c>
      <c r="F158" s="945">
        <v>4</v>
      </c>
      <c r="G158" s="946">
        <v>140</v>
      </c>
      <c r="H158" s="946">
        <v>171.69</v>
      </c>
    </row>
    <row r="159" spans="1:9" s="26" customFormat="1">
      <c r="A159" s="947">
        <v>2</v>
      </c>
      <c r="B159" s="948">
        <v>450.32</v>
      </c>
      <c r="C159" s="948" t="s">
        <v>309</v>
      </c>
      <c r="D159" s="947" t="s">
        <v>7</v>
      </c>
      <c r="E159" s="949">
        <v>83790</v>
      </c>
      <c r="F159" s="950">
        <v>7</v>
      </c>
      <c r="G159" s="951">
        <v>162</v>
      </c>
      <c r="H159" s="951">
        <v>156.04</v>
      </c>
      <c r="I159" s="18"/>
    </row>
    <row r="160" spans="1:9">
      <c r="A160" s="943">
        <v>2</v>
      </c>
      <c r="B160" s="944">
        <v>450.42</v>
      </c>
      <c r="C160" s="944" t="s">
        <v>37</v>
      </c>
      <c r="D160" s="943" t="s">
        <v>7</v>
      </c>
      <c r="E160" s="952">
        <v>30870</v>
      </c>
      <c r="F160" s="945">
        <v>7</v>
      </c>
      <c r="G160" s="946">
        <v>167.5</v>
      </c>
      <c r="H160" s="946">
        <v>161.43</v>
      </c>
    </row>
    <row r="161" spans="1:9" s="26" customFormat="1">
      <c r="A161" s="947">
        <v>2</v>
      </c>
      <c r="B161" s="948">
        <v>450.52</v>
      </c>
      <c r="C161" s="948" t="s">
        <v>310</v>
      </c>
      <c r="D161" s="947" t="s">
        <v>7</v>
      </c>
      <c r="E161" s="950">
        <v>400</v>
      </c>
      <c r="F161" s="950">
        <v>1</v>
      </c>
      <c r="G161" s="951">
        <v>165</v>
      </c>
      <c r="H161" s="951">
        <v>145</v>
      </c>
      <c r="I161" s="18"/>
    </row>
    <row r="162" spans="1:9">
      <c r="A162" s="943">
        <v>2</v>
      </c>
      <c r="B162" s="944">
        <v>450.6</v>
      </c>
      <c r="C162" s="944" t="s">
        <v>311</v>
      </c>
      <c r="D162" s="943" t="s">
        <v>7</v>
      </c>
      <c r="E162" s="945">
        <v>720</v>
      </c>
      <c r="F162" s="945">
        <v>1</v>
      </c>
      <c r="G162" s="946">
        <v>465</v>
      </c>
      <c r="H162" s="946">
        <v>490</v>
      </c>
    </row>
    <row r="163" spans="1:9" s="26" customFormat="1">
      <c r="A163" s="947">
        <v>2</v>
      </c>
      <c r="B163" s="948">
        <v>450.601</v>
      </c>
      <c r="C163" s="948" t="s">
        <v>1373</v>
      </c>
      <c r="D163" s="947" t="s">
        <v>7</v>
      </c>
      <c r="E163" s="950">
        <v>640</v>
      </c>
      <c r="F163" s="950">
        <v>1</v>
      </c>
      <c r="G163" s="951">
        <v>540</v>
      </c>
      <c r="H163" s="951">
        <v>522.5</v>
      </c>
      <c r="I163" s="18"/>
    </row>
    <row r="164" spans="1:9">
      <c r="A164" s="943">
        <v>2</v>
      </c>
      <c r="B164" s="944">
        <v>450.7</v>
      </c>
      <c r="C164" s="944" t="s">
        <v>313</v>
      </c>
      <c r="D164" s="943" t="s">
        <v>7</v>
      </c>
      <c r="E164" s="945">
        <v>710</v>
      </c>
      <c r="F164" s="945">
        <v>2</v>
      </c>
      <c r="G164" s="946">
        <v>308</v>
      </c>
      <c r="H164" s="946">
        <v>326</v>
      </c>
    </row>
    <row r="165" spans="1:9" s="26" customFormat="1">
      <c r="A165" s="947">
        <v>2</v>
      </c>
      <c r="B165" s="948">
        <v>450.71</v>
      </c>
      <c r="C165" s="948" t="s">
        <v>4035</v>
      </c>
      <c r="D165" s="947" t="s">
        <v>7</v>
      </c>
      <c r="E165" s="950">
        <v>600</v>
      </c>
      <c r="F165" s="950">
        <v>1</v>
      </c>
      <c r="G165" s="951">
        <v>280</v>
      </c>
      <c r="H165" s="951">
        <v>283.67</v>
      </c>
      <c r="I165" s="18"/>
    </row>
    <row r="166" spans="1:9">
      <c r="A166" s="943">
        <v>2</v>
      </c>
      <c r="B166" s="944">
        <v>450.8</v>
      </c>
      <c r="C166" s="944" t="s">
        <v>1377</v>
      </c>
      <c r="D166" s="943" t="s">
        <v>7</v>
      </c>
      <c r="E166" s="952">
        <v>168140</v>
      </c>
      <c r="F166" s="945">
        <v>1</v>
      </c>
      <c r="G166" s="946">
        <v>180.5</v>
      </c>
      <c r="H166" s="946">
        <v>180.5</v>
      </c>
    </row>
    <row r="167" spans="1:9" s="26" customFormat="1">
      <c r="A167" s="947">
        <v>2</v>
      </c>
      <c r="B167" s="948">
        <v>451</v>
      </c>
      <c r="C167" s="948" t="s">
        <v>36</v>
      </c>
      <c r="D167" s="947" t="s">
        <v>7</v>
      </c>
      <c r="E167" s="949">
        <v>18319</v>
      </c>
      <c r="F167" s="950">
        <v>19</v>
      </c>
      <c r="G167" s="951">
        <v>300</v>
      </c>
      <c r="H167" s="951">
        <v>294.33</v>
      </c>
      <c r="I167" s="18"/>
    </row>
    <row r="168" spans="1:9">
      <c r="A168" s="943">
        <v>2</v>
      </c>
      <c r="B168" s="944">
        <v>452</v>
      </c>
      <c r="C168" s="944" t="s">
        <v>31</v>
      </c>
      <c r="D168" s="943" t="s">
        <v>20</v>
      </c>
      <c r="E168" s="952">
        <v>183918</v>
      </c>
      <c r="F168" s="945">
        <v>13</v>
      </c>
      <c r="G168" s="946">
        <v>11.45</v>
      </c>
      <c r="H168" s="946">
        <v>11.51</v>
      </c>
    </row>
    <row r="169" spans="1:9" s="26" customFormat="1">
      <c r="A169" s="947">
        <v>2</v>
      </c>
      <c r="B169" s="948">
        <v>453</v>
      </c>
      <c r="C169" s="948" t="s">
        <v>3962</v>
      </c>
      <c r="D169" s="947" t="s">
        <v>17</v>
      </c>
      <c r="E169" s="949">
        <v>439855</v>
      </c>
      <c r="F169" s="950">
        <v>12</v>
      </c>
      <c r="G169" s="951">
        <v>2</v>
      </c>
      <c r="H169" s="951">
        <v>1.88</v>
      </c>
      <c r="I169" s="18"/>
    </row>
    <row r="170" spans="1:9">
      <c r="A170" s="943">
        <v>2</v>
      </c>
      <c r="B170" s="944">
        <v>457.1</v>
      </c>
      <c r="C170" s="944" t="s">
        <v>1378</v>
      </c>
      <c r="D170" s="943" t="s">
        <v>7</v>
      </c>
      <c r="E170" s="952">
        <v>1140</v>
      </c>
      <c r="F170" s="945">
        <v>1</v>
      </c>
      <c r="G170" s="946">
        <v>1037.5</v>
      </c>
      <c r="H170" s="946">
        <v>1012.5</v>
      </c>
    </row>
    <row r="171" spans="1:9" s="26" customFormat="1">
      <c r="A171" s="947">
        <v>2</v>
      </c>
      <c r="B171" s="948">
        <v>457.2</v>
      </c>
      <c r="C171" s="948" t="s">
        <v>1379</v>
      </c>
      <c r="D171" s="947" t="s">
        <v>7</v>
      </c>
      <c r="E171" s="949">
        <v>8658</v>
      </c>
      <c r="F171" s="950">
        <v>5</v>
      </c>
      <c r="G171" s="951">
        <v>555</v>
      </c>
      <c r="H171" s="951">
        <v>532.73</v>
      </c>
      <c r="I171" s="18"/>
    </row>
    <row r="172" spans="1:9">
      <c r="A172" s="943">
        <v>2</v>
      </c>
      <c r="B172" s="944">
        <v>470</v>
      </c>
      <c r="C172" s="944" t="s">
        <v>1382</v>
      </c>
      <c r="D172" s="943" t="s">
        <v>7</v>
      </c>
      <c r="E172" s="952">
        <v>1808</v>
      </c>
      <c r="F172" s="945">
        <v>7</v>
      </c>
      <c r="G172" s="946">
        <v>400</v>
      </c>
      <c r="H172" s="946">
        <v>380.85</v>
      </c>
    </row>
    <row r="173" spans="1:9" s="26" customFormat="1">
      <c r="A173" s="947">
        <v>2</v>
      </c>
      <c r="B173" s="948">
        <v>472</v>
      </c>
      <c r="C173" s="948" t="s">
        <v>1383</v>
      </c>
      <c r="D173" s="947" t="s">
        <v>7</v>
      </c>
      <c r="E173" s="949">
        <v>8639</v>
      </c>
      <c r="F173" s="950">
        <v>14</v>
      </c>
      <c r="G173" s="951">
        <v>275</v>
      </c>
      <c r="H173" s="951">
        <v>269.95999999999998</v>
      </c>
      <c r="I173" s="18"/>
    </row>
    <row r="174" spans="1:9">
      <c r="A174" s="943">
        <v>2</v>
      </c>
      <c r="B174" s="944">
        <v>476</v>
      </c>
      <c r="C174" s="944" t="s">
        <v>316</v>
      </c>
      <c r="D174" s="943" t="s">
        <v>1</v>
      </c>
      <c r="E174" s="952">
        <v>2800</v>
      </c>
      <c r="F174" s="945">
        <v>1</v>
      </c>
      <c r="G174" s="946">
        <v>240</v>
      </c>
      <c r="H174" s="946">
        <v>222.86</v>
      </c>
    </row>
    <row r="175" spans="1:9" s="26" customFormat="1">
      <c r="A175" s="947">
        <v>2</v>
      </c>
      <c r="B175" s="948">
        <v>476.1</v>
      </c>
      <c r="C175" s="948" t="s">
        <v>316</v>
      </c>
      <c r="D175" s="947" t="s">
        <v>4</v>
      </c>
      <c r="E175" s="949">
        <v>14300</v>
      </c>
      <c r="F175" s="950">
        <v>1</v>
      </c>
      <c r="G175" s="951">
        <v>1062.5</v>
      </c>
      <c r="H175" s="951">
        <v>1062.5</v>
      </c>
      <c r="I175" s="18"/>
    </row>
    <row r="176" spans="1:9">
      <c r="A176" s="943">
        <v>2</v>
      </c>
      <c r="B176" s="944">
        <v>477</v>
      </c>
      <c r="C176" s="944" t="s">
        <v>1384</v>
      </c>
      <c r="D176" s="943" t="s">
        <v>17</v>
      </c>
      <c r="E176" s="952">
        <v>845976</v>
      </c>
      <c r="F176" s="945">
        <v>5</v>
      </c>
      <c r="G176" s="946">
        <v>10.75</v>
      </c>
      <c r="H176" s="946">
        <v>5.87</v>
      </c>
    </row>
    <row r="177" spans="1:9" s="26" customFormat="1">
      <c r="A177" s="947">
        <v>2</v>
      </c>
      <c r="B177" s="948">
        <v>477.1</v>
      </c>
      <c r="C177" s="948" t="s">
        <v>1385</v>
      </c>
      <c r="D177" s="947" t="s">
        <v>17</v>
      </c>
      <c r="E177" s="949">
        <v>2200</v>
      </c>
      <c r="F177" s="950">
        <v>1</v>
      </c>
      <c r="G177" s="951">
        <v>6</v>
      </c>
      <c r="H177" s="951">
        <v>4.88</v>
      </c>
      <c r="I177" s="18"/>
    </row>
    <row r="178" spans="1:9">
      <c r="A178" s="943">
        <v>2</v>
      </c>
      <c r="B178" s="944">
        <v>477.2</v>
      </c>
      <c r="C178" s="944" t="s">
        <v>1386</v>
      </c>
      <c r="D178" s="943" t="s">
        <v>17</v>
      </c>
      <c r="E178" s="952">
        <v>2200</v>
      </c>
      <c r="F178" s="945">
        <v>1</v>
      </c>
      <c r="G178" s="946">
        <v>6</v>
      </c>
      <c r="H178" s="946">
        <v>4.9000000000000004</v>
      </c>
    </row>
    <row r="179" spans="1:9" s="26" customFormat="1">
      <c r="A179" s="947">
        <v>2</v>
      </c>
      <c r="B179" s="948">
        <v>480.2</v>
      </c>
      <c r="C179" s="948" t="s">
        <v>4002</v>
      </c>
      <c r="D179" s="947" t="s">
        <v>20</v>
      </c>
      <c r="E179" s="950">
        <v>40</v>
      </c>
      <c r="F179" s="950">
        <v>1</v>
      </c>
      <c r="G179" s="951">
        <v>75</v>
      </c>
      <c r="H179" s="951">
        <v>62.5</v>
      </c>
      <c r="I179" s="18"/>
    </row>
    <row r="180" spans="1:9">
      <c r="A180" s="943">
        <v>2</v>
      </c>
      <c r="B180" s="944">
        <v>482.3</v>
      </c>
      <c r="C180" s="944" t="s">
        <v>319</v>
      </c>
      <c r="D180" s="943" t="s">
        <v>17</v>
      </c>
      <c r="E180" s="952">
        <v>7200</v>
      </c>
      <c r="F180" s="945">
        <v>2</v>
      </c>
      <c r="G180" s="946">
        <v>7.5</v>
      </c>
      <c r="H180" s="946">
        <v>6.35</v>
      </c>
    </row>
    <row r="181" spans="1:9" s="26" customFormat="1">
      <c r="A181" s="947">
        <v>2</v>
      </c>
      <c r="B181" s="948">
        <v>482.31</v>
      </c>
      <c r="C181" s="948" t="s">
        <v>4038</v>
      </c>
      <c r="D181" s="947" t="s">
        <v>17</v>
      </c>
      <c r="E181" s="949">
        <v>7635</v>
      </c>
      <c r="F181" s="950">
        <v>9</v>
      </c>
      <c r="G181" s="951">
        <v>55</v>
      </c>
      <c r="H181" s="951">
        <v>53.01</v>
      </c>
      <c r="I181" s="18"/>
    </row>
    <row r="182" spans="1:9">
      <c r="A182" s="943">
        <v>2</v>
      </c>
      <c r="B182" s="944">
        <v>482.4</v>
      </c>
      <c r="C182" s="944" t="s">
        <v>321</v>
      </c>
      <c r="D182" s="943" t="s">
        <v>17</v>
      </c>
      <c r="E182" s="952">
        <v>21656</v>
      </c>
      <c r="F182" s="945">
        <v>2</v>
      </c>
      <c r="G182" s="946">
        <v>8.5</v>
      </c>
      <c r="H182" s="946">
        <v>7.83</v>
      </c>
    </row>
    <row r="183" spans="1:9" s="26" customFormat="1">
      <c r="A183" s="947">
        <v>2</v>
      </c>
      <c r="B183" s="948">
        <v>482.5</v>
      </c>
      <c r="C183" s="948" t="s">
        <v>43</v>
      </c>
      <c r="D183" s="947" t="s">
        <v>17</v>
      </c>
      <c r="E183" s="949">
        <v>83300</v>
      </c>
      <c r="F183" s="950">
        <v>5</v>
      </c>
      <c r="G183" s="951">
        <v>4</v>
      </c>
      <c r="H183" s="951">
        <v>3.75</v>
      </c>
      <c r="I183" s="18"/>
    </row>
    <row r="184" spans="1:9">
      <c r="A184" s="943">
        <v>2</v>
      </c>
      <c r="B184" s="944">
        <v>504</v>
      </c>
      <c r="C184" s="944" t="s">
        <v>325</v>
      </c>
      <c r="D184" s="943" t="s">
        <v>17</v>
      </c>
      <c r="E184" s="952">
        <v>47650</v>
      </c>
      <c r="F184" s="945">
        <v>6</v>
      </c>
      <c r="G184" s="946">
        <v>71</v>
      </c>
      <c r="H184" s="946">
        <v>72.25</v>
      </c>
    </row>
    <row r="185" spans="1:9" s="26" customFormat="1">
      <c r="A185" s="947">
        <v>2</v>
      </c>
      <c r="B185" s="948">
        <v>504.1</v>
      </c>
      <c r="C185" s="948" t="s">
        <v>326</v>
      </c>
      <c r="D185" s="947" t="s">
        <v>17</v>
      </c>
      <c r="E185" s="949">
        <v>13900</v>
      </c>
      <c r="F185" s="950">
        <v>4</v>
      </c>
      <c r="G185" s="951">
        <v>85</v>
      </c>
      <c r="H185" s="951">
        <v>84.55</v>
      </c>
      <c r="I185" s="18"/>
    </row>
    <row r="186" spans="1:9">
      <c r="A186" s="943">
        <v>2</v>
      </c>
      <c r="B186" s="944">
        <v>504.2</v>
      </c>
      <c r="C186" s="944" t="s">
        <v>327</v>
      </c>
      <c r="D186" s="943" t="s">
        <v>2</v>
      </c>
      <c r="E186" s="945">
        <v>96</v>
      </c>
      <c r="F186" s="945">
        <v>6</v>
      </c>
      <c r="G186" s="946">
        <v>650</v>
      </c>
      <c r="H186" s="946">
        <v>690.8</v>
      </c>
    </row>
    <row r="187" spans="1:9" s="26" customFormat="1">
      <c r="A187" s="947">
        <v>2</v>
      </c>
      <c r="B187" s="948">
        <v>506</v>
      </c>
      <c r="C187" s="948" t="s">
        <v>40</v>
      </c>
      <c r="D187" s="947" t="s">
        <v>17</v>
      </c>
      <c r="E187" s="949">
        <v>45877</v>
      </c>
      <c r="F187" s="950">
        <v>5</v>
      </c>
      <c r="G187" s="951">
        <v>65</v>
      </c>
      <c r="H187" s="951">
        <v>79.430000000000007</v>
      </c>
      <c r="I187" s="18"/>
    </row>
    <row r="188" spans="1:9">
      <c r="A188" s="943">
        <v>2</v>
      </c>
      <c r="B188" s="944">
        <v>506.1</v>
      </c>
      <c r="C188" s="944" t="s">
        <v>41</v>
      </c>
      <c r="D188" s="943" t="s">
        <v>17</v>
      </c>
      <c r="E188" s="952">
        <v>14206</v>
      </c>
      <c r="F188" s="945">
        <v>4</v>
      </c>
      <c r="G188" s="946">
        <v>80</v>
      </c>
      <c r="H188" s="946">
        <v>88.4</v>
      </c>
    </row>
    <row r="189" spans="1:9" s="26" customFormat="1">
      <c r="A189" s="947">
        <v>2</v>
      </c>
      <c r="B189" s="948">
        <v>509</v>
      </c>
      <c r="C189" s="948" t="s">
        <v>1394</v>
      </c>
      <c r="D189" s="947" t="s">
        <v>17</v>
      </c>
      <c r="E189" s="949">
        <v>13169</v>
      </c>
      <c r="F189" s="950">
        <v>10</v>
      </c>
      <c r="G189" s="951">
        <v>80</v>
      </c>
      <c r="H189" s="951">
        <v>82.11</v>
      </c>
      <c r="I189" s="18"/>
    </row>
    <row r="190" spans="1:9">
      <c r="A190" s="943">
        <v>2</v>
      </c>
      <c r="B190" s="944">
        <v>509.1</v>
      </c>
      <c r="C190" s="944" t="s">
        <v>1395</v>
      </c>
      <c r="D190" s="943" t="s">
        <v>17</v>
      </c>
      <c r="E190" s="952">
        <v>7805</v>
      </c>
      <c r="F190" s="945">
        <v>9</v>
      </c>
      <c r="G190" s="946">
        <v>95</v>
      </c>
      <c r="H190" s="946">
        <v>93.3</v>
      </c>
    </row>
    <row r="191" spans="1:9" s="26" customFormat="1">
      <c r="A191" s="947">
        <v>2</v>
      </c>
      <c r="B191" s="948">
        <v>510</v>
      </c>
      <c r="C191" s="948" t="s">
        <v>330</v>
      </c>
      <c r="D191" s="947" t="s">
        <v>17</v>
      </c>
      <c r="E191" s="949">
        <v>1225</v>
      </c>
      <c r="F191" s="950">
        <v>1</v>
      </c>
      <c r="G191" s="951">
        <v>51</v>
      </c>
      <c r="H191" s="951">
        <v>50.14</v>
      </c>
      <c r="I191" s="18"/>
    </row>
    <row r="192" spans="1:9">
      <c r="A192" s="943">
        <v>2</v>
      </c>
      <c r="B192" s="944">
        <v>510.1</v>
      </c>
      <c r="C192" s="944" t="s">
        <v>331</v>
      </c>
      <c r="D192" s="943" t="s">
        <v>17</v>
      </c>
      <c r="E192" s="945">
        <v>350</v>
      </c>
      <c r="F192" s="945">
        <v>1</v>
      </c>
      <c r="G192" s="946">
        <v>80</v>
      </c>
      <c r="H192" s="946">
        <v>79.709999999999994</v>
      </c>
    </row>
    <row r="193" spans="1:9" s="26" customFormat="1">
      <c r="A193" s="947">
        <v>2</v>
      </c>
      <c r="B193" s="948">
        <v>511.1</v>
      </c>
      <c r="C193" s="948" t="s">
        <v>332</v>
      </c>
      <c r="D193" s="947" t="s">
        <v>17</v>
      </c>
      <c r="E193" s="949">
        <v>5550</v>
      </c>
      <c r="F193" s="950">
        <v>4</v>
      </c>
      <c r="G193" s="951">
        <v>52</v>
      </c>
      <c r="H193" s="951">
        <v>53.38</v>
      </c>
      <c r="I193" s="18"/>
    </row>
    <row r="194" spans="1:9">
      <c r="A194" s="943">
        <v>2</v>
      </c>
      <c r="B194" s="944">
        <v>512.1</v>
      </c>
      <c r="C194" s="944" t="s">
        <v>333</v>
      </c>
      <c r="D194" s="943" t="s">
        <v>17</v>
      </c>
      <c r="E194" s="945">
        <v>155</v>
      </c>
      <c r="F194" s="945">
        <v>3</v>
      </c>
      <c r="G194" s="946">
        <v>75</v>
      </c>
      <c r="H194" s="946">
        <v>74.03</v>
      </c>
    </row>
    <row r="195" spans="1:9" s="26" customFormat="1">
      <c r="A195" s="947">
        <v>2</v>
      </c>
      <c r="B195" s="948">
        <v>514</v>
      </c>
      <c r="C195" s="948" t="s">
        <v>38</v>
      </c>
      <c r="D195" s="947" t="s">
        <v>2</v>
      </c>
      <c r="E195" s="950">
        <v>524</v>
      </c>
      <c r="F195" s="950">
        <v>7</v>
      </c>
      <c r="G195" s="951">
        <v>650</v>
      </c>
      <c r="H195" s="951">
        <v>676.33</v>
      </c>
      <c r="I195" s="18"/>
    </row>
    <row r="196" spans="1:9">
      <c r="A196" s="943">
        <v>2</v>
      </c>
      <c r="B196" s="944">
        <v>515</v>
      </c>
      <c r="C196" s="944" t="s">
        <v>45</v>
      </c>
      <c r="D196" s="943" t="s">
        <v>2</v>
      </c>
      <c r="E196" s="945">
        <v>151</v>
      </c>
      <c r="F196" s="945">
        <v>4</v>
      </c>
      <c r="G196" s="946">
        <v>790</v>
      </c>
      <c r="H196" s="946">
        <v>820.48</v>
      </c>
    </row>
    <row r="197" spans="1:9" s="26" customFormat="1">
      <c r="A197" s="947">
        <v>2</v>
      </c>
      <c r="B197" s="948">
        <v>516</v>
      </c>
      <c r="C197" s="948" t="s">
        <v>47</v>
      </c>
      <c r="D197" s="947" t="s">
        <v>2</v>
      </c>
      <c r="E197" s="950">
        <v>371</v>
      </c>
      <c r="F197" s="950">
        <v>4</v>
      </c>
      <c r="G197" s="951">
        <v>475</v>
      </c>
      <c r="H197" s="951">
        <v>478.61</v>
      </c>
      <c r="I197" s="18"/>
    </row>
    <row r="198" spans="1:9">
      <c r="A198" s="943">
        <v>2</v>
      </c>
      <c r="B198" s="944">
        <v>517</v>
      </c>
      <c r="C198" s="944" t="s">
        <v>334</v>
      </c>
      <c r="D198" s="943" t="s">
        <v>2</v>
      </c>
      <c r="E198" s="945">
        <v>10</v>
      </c>
      <c r="F198" s="945">
        <v>2</v>
      </c>
      <c r="G198" s="946">
        <v>685</v>
      </c>
      <c r="H198" s="946">
        <v>672</v>
      </c>
    </row>
    <row r="199" spans="1:9" s="26" customFormat="1">
      <c r="A199" s="947">
        <v>2</v>
      </c>
      <c r="B199" s="948">
        <v>517.01</v>
      </c>
      <c r="C199" s="948" t="s">
        <v>335</v>
      </c>
      <c r="D199" s="947" t="s">
        <v>2</v>
      </c>
      <c r="E199" s="950">
        <v>200</v>
      </c>
      <c r="F199" s="950">
        <v>1</v>
      </c>
      <c r="G199" s="951">
        <v>533.5</v>
      </c>
      <c r="H199" s="951">
        <v>579.25</v>
      </c>
      <c r="I199" s="18"/>
    </row>
    <row r="200" spans="1:9">
      <c r="A200" s="943">
        <v>2</v>
      </c>
      <c r="B200" s="944">
        <v>522</v>
      </c>
      <c r="C200" s="944" t="s">
        <v>2401</v>
      </c>
      <c r="D200" s="943" t="s">
        <v>17</v>
      </c>
      <c r="E200" s="952">
        <v>32330</v>
      </c>
      <c r="F200" s="945">
        <v>1</v>
      </c>
      <c r="G200" s="946">
        <v>50</v>
      </c>
      <c r="H200" s="946">
        <v>50</v>
      </c>
    </row>
    <row r="201" spans="1:9" s="26" customFormat="1">
      <c r="A201" s="947">
        <v>2</v>
      </c>
      <c r="B201" s="948">
        <v>570</v>
      </c>
      <c r="C201" s="948" t="s">
        <v>337</v>
      </c>
      <c r="D201" s="947" t="s">
        <v>17</v>
      </c>
      <c r="E201" s="950">
        <v>40</v>
      </c>
      <c r="F201" s="950">
        <v>1</v>
      </c>
      <c r="G201" s="951">
        <v>55</v>
      </c>
      <c r="H201" s="951">
        <v>55</v>
      </c>
      <c r="I201" s="18"/>
    </row>
    <row r="202" spans="1:9">
      <c r="A202" s="943">
        <v>2</v>
      </c>
      <c r="B202" s="944">
        <v>570.20000000000005</v>
      </c>
      <c r="C202" s="944" t="s">
        <v>338</v>
      </c>
      <c r="D202" s="943" t="s">
        <v>17</v>
      </c>
      <c r="E202" s="952">
        <v>3995</v>
      </c>
      <c r="F202" s="945">
        <v>3</v>
      </c>
      <c r="G202" s="946">
        <v>21.5</v>
      </c>
      <c r="H202" s="946">
        <v>22.85</v>
      </c>
    </row>
    <row r="203" spans="1:9" s="26" customFormat="1">
      <c r="A203" s="947">
        <v>2</v>
      </c>
      <c r="B203" s="948">
        <v>570.29999999999995</v>
      </c>
      <c r="C203" s="948" t="s">
        <v>339</v>
      </c>
      <c r="D203" s="947" t="s">
        <v>17</v>
      </c>
      <c r="E203" s="950">
        <v>880</v>
      </c>
      <c r="F203" s="950">
        <v>1</v>
      </c>
      <c r="G203" s="951">
        <v>39</v>
      </c>
      <c r="H203" s="951">
        <v>37.78</v>
      </c>
      <c r="I203" s="18"/>
    </row>
    <row r="204" spans="1:9">
      <c r="A204" s="943">
        <v>2</v>
      </c>
      <c r="B204" s="944">
        <v>580</v>
      </c>
      <c r="C204" s="944" t="s">
        <v>56</v>
      </c>
      <c r="D204" s="943" t="s">
        <v>17</v>
      </c>
      <c r="E204" s="952">
        <v>66851</v>
      </c>
      <c r="F204" s="945">
        <v>10</v>
      </c>
      <c r="G204" s="946">
        <v>42</v>
      </c>
      <c r="H204" s="946">
        <v>41.09</v>
      </c>
    </row>
    <row r="205" spans="1:9" s="26" customFormat="1">
      <c r="A205" s="947">
        <v>2</v>
      </c>
      <c r="B205" s="948">
        <v>580.1</v>
      </c>
      <c r="C205" s="948" t="s">
        <v>1397</v>
      </c>
      <c r="D205" s="947" t="s">
        <v>17</v>
      </c>
      <c r="E205" s="949">
        <v>5760</v>
      </c>
      <c r="F205" s="950">
        <v>1</v>
      </c>
      <c r="G205" s="951">
        <v>34</v>
      </c>
      <c r="H205" s="951">
        <v>32.630000000000003</v>
      </c>
      <c r="I205" s="18"/>
    </row>
    <row r="206" spans="1:9">
      <c r="A206" s="943">
        <v>2</v>
      </c>
      <c r="B206" s="944">
        <v>581</v>
      </c>
      <c r="C206" s="944" t="s">
        <v>340</v>
      </c>
      <c r="D206" s="943" t="s">
        <v>2</v>
      </c>
      <c r="E206" s="945">
        <v>86</v>
      </c>
      <c r="F206" s="945">
        <v>4</v>
      </c>
      <c r="G206" s="946">
        <v>287.5</v>
      </c>
      <c r="H206" s="946">
        <v>254.5</v>
      </c>
    </row>
    <row r="207" spans="1:9" s="26" customFormat="1">
      <c r="A207" s="947">
        <v>2</v>
      </c>
      <c r="B207" s="948">
        <v>582</v>
      </c>
      <c r="C207" s="948" t="s">
        <v>341</v>
      </c>
      <c r="D207" s="947" t="s">
        <v>2</v>
      </c>
      <c r="E207" s="950">
        <v>246</v>
      </c>
      <c r="F207" s="950">
        <v>1</v>
      </c>
      <c r="G207" s="951">
        <v>220</v>
      </c>
      <c r="H207" s="951">
        <v>199.83</v>
      </c>
      <c r="I207" s="18"/>
    </row>
    <row r="208" spans="1:9">
      <c r="A208" s="943">
        <v>2</v>
      </c>
      <c r="B208" s="944">
        <v>583</v>
      </c>
      <c r="C208" s="944" t="s">
        <v>342</v>
      </c>
      <c r="D208" s="943" t="s">
        <v>17</v>
      </c>
      <c r="E208" s="952">
        <v>45605</v>
      </c>
      <c r="F208" s="945">
        <v>7</v>
      </c>
      <c r="G208" s="946">
        <v>40</v>
      </c>
      <c r="H208" s="946">
        <v>39.15</v>
      </c>
    </row>
    <row r="209" spans="1:9" s="26" customFormat="1">
      <c r="A209" s="947">
        <v>2</v>
      </c>
      <c r="B209" s="948">
        <v>594</v>
      </c>
      <c r="C209" s="948" t="s">
        <v>346</v>
      </c>
      <c r="D209" s="947" t="s">
        <v>17</v>
      </c>
      <c r="E209" s="949">
        <v>38684</v>
      </c>
      <c r="F209" s="950">
        <v>8</v>
      </c>
      <c r="G209" s="951">
        <v>8.85</v>
      </c>
      <c r="H209" s="951">
        <v>8.34</v>
      </c>
      <c r="I209" s="18"/>
    </row>
    <row r="210" spans="1:9">
      <c r="A210" s="943">
        <v>2</v>
      </c>
      <c r="B210" s="944">
        <v>595</v>
      </c>
      <c r="C210" s="944" t="s">
        <v>347</v>
      </c>
      <c r="D210" s="943" t="s">
        <v>2</v>
      </c>
      <c r="E210" s="945">
        <v>18</v>
      </c>
      <c r="F210" s="945">
        <v>2</v>
      </c>
      <c r="G210" s="946">
        <v>50</v>
      </c>
      <c r="H210" s="946">
        <v>40.5</v>
      </c>
    </row>
    <row r="211" spans="1:9" s="26" customFormat="1">
      <c r="A211" s="947">
        <v>2</v>
      </c>
      <c r="B211" s="948">
        <v>596</v>
      </c>
      <c r="C211" s="948" t="s">
        <v>348</v>
      </c>
      <c r="D211" s="947" t="s">
        <v>2</v>
      </c>
      <c r="E211" s="950">
        <v>210</v>
      </c>
      <c r="F211" s="950">
        <v>2</v>
      </c>
      <c r="G211" s="951">
        <v>50</v>
      </c>
      <c r="H211" s="951">
        <v>61.14</v>
      </c>
      <c r="I211" s="18"/>
    </row>
    <row r="212" spans="1:9">
      <c r="A212" s="943">
        <v>2</v>
      </c>
      <c r="B212" s="944">
        <v>597</v>
      </c>
      <c r="C212" s="944" t="s">
        <v>349</v>
      </c>
      <c r="D212" s="943" t="s">
        <v>17</v>
      </c>
      <c r="E212" s="952">
        <v>34412</v>
      </c>
      <c r="F212" s="945">
        <v>8</v>
      </c>
      <c r="G212" s="946">
        <v>7</v>
      </c>
      <c r="H212" s="946">
        <v>7.18</v>
      </c>
    </row>
    <row r="213" spans="1:9" s="26" customFormat="1">
      <c r="A213" s="947">
        <v>2</v>
      </c>
      <c r="B213" s="948">
        <v>620.12</v>
      </c>
      <c r="C213" s="948" t="s">
        <v>1252</v>
      </c>
      <c r="D213" s="947" t="s">
        <v>17</v>
      </c>
      <c r="E213" s="949">
        <v>12300</v>
      </c>
      <c r="F213" s="950">
        <v>5</v>
      </c>
      <c r="G213" s="951">
        <v>35</v>
      </c>
      <c r="H213" s="951">
        <v>34.909999999999997</v>
      </c>
      <c r="I213" s="18"/>
    </row>
    <row r="214" spans="1:9">
      <c r="A214" s="943">
        <v>2</v>
      </c>
      <c r="B214" s="944">
        <v>620.13</v>
      </c>
      <c r="C214" s="944" t="s">
        <v>1398</v>
      </c>
      <c r="D214" s="943" t="s">
        <v>17</v>
      </c>
      <c r="E214" s="952">
        <v>20950</v>
      </c>
      <c r="F214" s="945">
        <v>3</v>
      </c>
      <c r="G214" s="946">
        <v>40</v>
      </c>
      <c r="H214" s="946">
        <v>36.69</v>
      </c>
    </row>
    <row r="215" spans="1:9" s="26" customFormat="1">
      <c r="A215" s="947">
        <v>2</v>
      </c>
      <c r="B215" s="948">
        <v>620.13099999999997</v>
      </c>
      <c r="C215" s="948" t="s">
        <v>1399</v>
      </c>
      <c r="D215" s="947" t="s">
        <v>17</v>
      </c>
      <c r="E215" s="949">
        <v>4200</v>
      </c>
      <c r="F215" s="950">
        <v>1</v>
      </c>
      <c r="G215" s="951">
        <v>45.5</v>
      </c>
      <c r="H215" s="951">
        <v>46.17</v>
      </c>
      <c r="I215" s="18"/>
    </row>
    <row r="216" spans="1:9">
      <c r="A216" s="943">
        <v>2</v>
      </c>
      <c r="B216" s="944">
        <v>620.32000000000005</v>
      </c>
      <c r="C216" s="944" t="s">
        <v>1253</v>
      </c>
      <c r="D216" s="943" t="s">
        <v>17</v>
      </c>
      <c r="E216" s="952">
        <v>1280</v>
      </c>
      <c r="F216" s="945">
        <v>2</v>
      </c>
      <c r="G216" s="946">
        <v>35</v>
      </c>
      <c r="H216" s="946">
        <v>36.1</v>
      </c>
    </row>
    <row r="217" spans="1:9" s="26" customFormat="1">
      <c r="A217" s="947">
        <v>2</v>
      </c>
      <c r="B217" s="948">
        <v>620.33000000000004</v>
      </c>
      <c r="C217" s="948" t="s">
        <v>1400</v>
      </c>
      <c r="D217" s="947" t="s">
        <v>17</v>
      </c>
      <c r="E217" s="950">
        <v>30</v>
      </c>
      <c r="F217" s="950">
        <v>1</v>
      </c>
      <c r="G217" s="951">
        <v>37</v>
      </c>
      <c r="H217" s="951">
        <v>37</v>
      </c>
      <c r="I217" s="18"/>
    </row>
    <row r="218" spans="1:9">
      <c r="A218" s="943">
        <v>2</v>
      </c>
      <c r="B218" s="944">
        <v>621.12</v>
      </c>
      <c r="C218" s="944" t="s">
        <v>1401</v>
      </c>
      <c r="D218" s="943" t="s">
        <v>17</v>
      </c>
      <c r="E218" s="952">
        <v>14450</v>
      </c>
      <c r="F218" s="945">
        <v>2</v>
      </c>
      <c r="G218" s="946">
        <v>47.5</v>
      </c>
      <c r="H218" s="946">
        <v>48.83</v>
      </c>
    </row>
    <row r="219" spans="1:9" s="26" customFormat="1">
      <c r="A219" s="947">
        <v>2</v>
      </c>
      <c r="B219" s="948">
        <v>627.1</v>
      </c>
      <c r="C219" s="948" t="s">
        <v>1403</v>
      </c>
      <c r="D219" s="947" t="s">
        <v>2</v>
      </c>
      <c r="E219" s="950">
        <v>92</v>
      </c>
      <c r="F219" s="950">
        <v>5</v>
      </c>
      <c r="G219" s="951">
        <v>2500</v>
      </c>
      <c r="H219" s="951">
        <v>2480.2399999999998</v>
      </c>
      <c r="I219" s="18"/>
    </row>
    <row r="220" spans="1:9">
      <c r="A220" s="943">
        <v>2</v>
      </c>
      <c r="B220" s="944">
        <v>627.72</v>
      </c>
      <c r="C220" s="944" t="s">
        <v>1404</v>
      </c>
      <c r="D220" s="943" t="s">
        <v>2</v>
      </c>
      <c r="E220" s="945">
        <v>32</v>
      </c>
      <c r="F220" s="945">
        <v>1</v>
      </c>
      <c r="G220" s="946">
        <v>44000</v>
      </c>
      <c r="H220" s="946">
        <v>44000</v>
      </c>
    </row>
    <row r="221" spans="1:9" s="26" customFormat="1">
      <c r="A221" s="947">
        <v>2</v>
      </c>
      <c r="B221" s="948">
        <v>627.82000000000005</v>
      </c>
      <c r="C221" s="948" t="s">
        <v>1406</v>
      </c>
      <c r="D221" s="947" t="s">
        <v>2</v>
      </c>
      <c r="E221" s="950">
        <v>80</v>
      </c>
      <c r="F221" s="950">
        <v>5</v>
      </c>
      <c r="G221" s="951">
        <v>5725</v>
      </c>
      <c r="H221" s="951">
        <v>5673.29</v>
      </c>
      <c r="I221" s="18"/>
    </row>
    <row r="222" spans="1:9">
      <c r="A222" s="943">
        <v>2</v>
      </c>
      <c r="B222" s="944">
        <v>627.83000000000004</v>
      </c>
      <c r="C222" s="944" t="s">
        <v>1407</v>
      </c>
      <c r="D222" s="943" t="s">
        <v>2</v>
      </c>
      <c r="E222" s="945">
        <v>84</v>
      </c>
      <c r="F222" s="945">
        <v>3</v>
      </c>
      <c r="G222" s="946">
        <v>5750</v>
      </c>
      <c r="H222" s="946">
        <v>5678.74</v>
      </c>
    </row>
    <row r="223" spans="1:9" s="26" customFormat="1">
      <c r="A223" s="947">
        <v>2</v>
      </c>
      <c r="B223" s="948">
        <v>627.91999999999996</v>
      </c>
      <c r="C223" s="948" t="s">
        <v>1408</v>
      </c>
      <c r="D223" s="947" t="s">
        <v>2</v>
      </c>
      <c r="E223" s="950">
        <v>14</v>
      </c>
      <c r="F223" s="950">
        <v>2</v>
      </c>
      <c r="G223" s="951">
        <v>5775</v>
      </c>
      <c r="H223" s="951">
        <v>5883.75</v>
      </c>
      <c r="I223" s="18"/>
    </row>
    <row r="224" spans="1:9">
      <c r="A224" s="943">
        <v>2</v>
      </c>
      <c r="B224" s="944">
        <v>627.92999999999995</v>
      </c>
      <c r="C224" s="944" t="s">
        <v>1409</v>
      </c>
      <c r="D224" s="943" t="s">
        <v>2</v>
      </c>
      <c r="E224" s="945">
        <v>90</v>
      </c>
      <c r="F224" s="945">
        <v>1</v>
      </c>
      <c r="G224" s="946">
        <v>5775</v>
      </c>
      <c r="H224" s="946">
        <v>5775</v>
      </c>
    </row>
    <row r="225" spans="1:9" s="26" customFormat="1">
      <c r="A225" s="947">
        <v>2</v>
      </c>
      <c r="B225" s="948">
        <v>628.21</v>
      </c>
      <c r="C225" s="948" t="s">
        <v>1410</v>
      </c>
      <c r="D225" s="947" t="s">
        <v>2</v>
      </c>
      <c r="E225" s="950">
        <v>184</v>
      </c>
      <c r="F225" s="950">
        <v>6</v>
      </c>
      <c r="G225" s="951">
        <v>2200</v>
      </c>
      <c r="H225" s="951">
        <v>2191.4499999999998</v>
      </c>
      <c r="I225" s="18"/>
    </row>
    <row r="226" spans="1:9">
      <c r="A226" s="943">
        <v>2</v>
      </c>
      <c r="B226" s="944">
        <v>628.22</v>
      </c>
      <c r="C226" s="944" t="s">
        <v>1411</v>
      </c>
      <c r="D226" s="943" t="s">
        <v>2</v>
      </c>
      <c r="E226" s="945">
        <v>18</v>
      </c>
      <c r="F226" s="945">
        <v>2</v>
      </c>
      <c r="G226" s="946">
        <v>10657.5</v>
      </c>
      <c r="H226" s="946">
        <v>9685.83</v>
      </c>
    </row>
    <row r="227" spans="1:9" s="26" customFormat="1">
      <c r="A227" s="947">
        <v>2</v>
      </c>
      <c r="B227" s="948">
        <v>628.24</v>
      </c>
      <c r="C227" s="948" t="s">
        <v>1413</v>
      </c>
      <c r="D227" s="947" t="s">
        <v>2</v>
      </c>
      <c r="E227" s="950">
        <v>72</v>
      </c>
      <c r="F227" s="950">
        <v>2</v>
      </c>
      <c r="G227" s="951">
        <v>6500</v>
      </c>
      <c r="H227" s="951">
        <v>6386.67</v>
      </c>
      <c r="I227" s="18"/>
    </row>
    <row r="228" spans="1:9">
      <c r="A228" s="943">
        <v>2</v>
      </c>
      <c r="B228" s="944">
        <v>628.30399999999997</v>
      </c>
      <c r="C228" s="944" t="s">
        <v>2412</v>
      </c>
      <c r="D228" s="943" t="s">
        <v>2</v>
      </c>
      <c r="E228" s="945">
        <v>10</v>
      </c>
      <c r="F228" s="945">
        <v>2</v>
      </c>
      <c r="G228" s="946">
        <v>10000</v>
      </c>
      <c r="H228" s="946">
        <v>9660</v>
      </c>
    </row>
    <row r="229" spans="1:9" s="26" customFormat="1">
      <c r="A229" s="947">
        <v>2</v>
      </c>
      <c r="B229" s="948">
        <v>628.30499999999995</v>
      </c>
      <c r="C229" s="948" t="s">
        <v>2413</v>
      </c>
      <c r="D229" s="947" t="s">
        <v>2</v>
      </c>
      <c r="E229" s="950">
        <v>46</v>
      </c>
      <c r="F229" s="950">
        <v>3</v>
      </c>
      <c r="G229" s="951">
        <v>9000</v>
      </c>
      <c r="H229" s="951">
        <v>9426.85</v>
      </c>
      <c r="I229" s="18"/>
    </row>
    <row r="230" spans="1:9">
      <c r="A230" s="943">
        <v>2</v>
      </c>
      <c r="B230" s="944">
        <v>628.31200000000001</v>
      </c>
      <c r="C230" s="944" t="s">
        <v>2414</v>
      </c>
      <c r="D230" s="943" t="s">
        <v>2</v>
      </c>
      <c r="E230" s="945">
        <v>4</v>
      </c>
      <c r="F230" s="945">
        <v>1</v>
      </c>
      <c r="G230" s="946">
        <v>29500</v>
      </c>
      <c r="H230" s="946">
        <v>30000</v>
      </c>
    </row>
    <row r="231" spans="1:9" s="26" customFormat="1">
      <c r="A231" s="947">
        <v>2</v>
      </c>
      <c r="B231" s="948">
        <v>628.31299999999999</v>
      </c>
      <c r="C231" s="948" t="s">
        <v>2415</v>
      </c>
      <c r="D231" s="947" t="s">
        <v>2</v>
      </c>
      <c r="E231" s="950">
        <v>2</v>
      </c>
      <c r="F231" s="950">
        <v>1</v>
      </c>
      <c r="G231" s="951">
        <v>52500</v>
      </c>
      <c r="H231" s="951">
        <v>52500</v>
      </c>
      <c r="I231" s="18"/>
    </row>
    <row r="232" spans="1:9">
      <c r="A232" s="943">
        <v>2</v>
      </c>
      <c r="B232" s="944">
        <v>628.31500000000005</v>
      </c>
      <c r="C232" s="944" t="s">
        <v>2417</v>
      </c>
      <c r="D232" s="943" t="s">
        <v>2</v>
      </c>
      <c r="E232" s="945">
        <v>80</v>
      </c>
      <c r="F232" s="945">
        <v>4</v>
      </c>
      <c r="G232" s="946">
        <v>7427.5</v>
      </c>
      <c r="H232" s="946">
        <v>8150.42</v>
      </c>
    </row>
    <row r="233" spans="1:9" s="26" customFormat="1">
      <c r="A233" s="947">
        <v>2</v>
      </c>
      <c r="B233" s="948">
        <v>628.4</v>
      </c>
      <c r="C233" s="948" t="s">
        <v>3901</v>
      </c>
      <c r="D233" s="947" t="s">
        <v>2</v>
      </c>
      <c r="E233" s="950">
        <v>182</v>
      </c>
      <c r="F233" s="950">
        <v>9</v>
      </c>
      <c r="G233" s="951">
        <v>2050</v>
      </c>
      <c r="H233" s="951">
        <v>2165.15</v>
      </c>
      <c r="I233" s="18"/>
    </row>
    <row r="234" spans="1:9">
      <c r="A234" s="943">
        <v>2</v>
      </c>
      <c r="B234" s="944">
        <v>629.1</v>
      </c>
      <c r="C234" s="944" t="s">
        <v>353</v>
      </c>
      <c r="D234" s="943" t="s">
        <v>17</v>
      </c>
      <c r="E234" s="945">
        <v>738</v>
      </c>
      <c r="F234" s="945">
        <v>2</v>
      </c>
      <c r="G234" s="946">
        <v>267.5</v>
      </c>
      <c r="H234" s="946">
        <v>272</v>
      </c>
    </row>
    <row r="235" spans="1:9" s="26" customFormat="1">
      <c r="A235" s="947">
        <v>2</v>
      </c>
      <c r="B235" s="948">
        <v>629.4</v>
      </c>
      <c r="C235" s="948" t="s">
        <v>355</v>
      </c>
      <c r="D235" s="947" t="s">
        <v>17</v>
      </c>
      <c r="E235" s="949">
        <v>7740</v>
      </c>
      <c r="F235" s="950">
        <v>1</v>
      </c>
      <c r="G235" s="951">
        <v>637.5</v>
      </c>
      <c r="H235" s="951">
        <v>637.5</v>
      </c>
      <c r="I235" s="18"/>
    </row>
    <row r="236" spans="1:9">
      <c r="A236" s="943">
        <v>2</v>
      </c>
      <c r="B236" s="944">
        <v>630</v>
      </c>
      <c r="C236" s="944" t="s">
        <v>356</v>
      </c>
      <c r="D236" s="943" t="s">
        <v>17</v>
      </c>
      <c r="E236" s="952">
        <v>8740</v>
      </c>
      <c r="F236" s="945">
        <v>2</v>
      </c>
      <c r="G236" s="946">
        <v>60</v>
      </c>
      <c r="H236" s="946">
        <v>102.83</v>
      </c>
    </row>
    <row r="237" spans="1:9" s="26" customFormat="1">
      <c r="A237" s="947">
        <v>2</v>
      </c>
      <c r="B237" s="948">
        <v>630.1</v>
      </c>
      <c r="C237" s="948" t="s">
        <v>357</v>
      </c>
      <c r="D237" s="947" t="s">
        <v>17</v>
      </c>
      <c r="E237" s="949">
        <v>1100</v>
      </c>
      <c r="F237" s="950">
        <v>1</v>
      </c>
      <c r="G237" s="951">
        <v>3</v>
      </c>
      <c r="H237" s="951">
        <v>2.71</v>
      </c>
      <c r="I237" s="18"/>
    </row>
    <row r="238" spans="1:9">
      <c r="A238" s="943">
        <v>2</v>
      </c>
      <c r="B238" s="944">
        <v>630.20000000000005</v>
      </c>
      <c r="C238" s="944" t="s">
        <v>358</v>
      </c>
      <c r="D238" s="943" t="s">
        <v>17</v>
      </c>
      <c r="E238" s="952">
        <v>58584</v>
      </c>
      <c r="F238" s="945">
        <v>9</v>
      </c>
      <c r="G238" s="946">
        <v>5</v>
      </c>
      <c r="H238" s="946">
        <v>4.76</v>
      </c>
    </row>
    <row r="239" spans="1:9" s="26" customFormat="1">
      <c r="A239" s="947">
        <v>2</v>
      </c>
      <c r="B239" s="948">
        <v>632</v>
      </c>
      <c r="C239" s="948" t="s">
        <v>359</v>
      </c>
      <c r="D239" s="947" t="s">
        <v>2</v>
      </c>
      <c r="E239" s="949">
        <v>1620</v>
      </c>
      <c r="F239" s="950">
        <v>2</v>
      </c>
      <c r="G239" s="951">
        <v>125.5</v>
      </c>
      <c r="H239" s="951">
        <v>126.65</v>
      </c>
      <c r="I239" s="18"/>
    </row>
    <row r="240" spans="1:9">
      <c r="A240" s="943">
        <v>2</v>
      </c>
      <c r="B240" s="944">
        <v>632.4</v>
      </c>
      <c r="C240" s="944" t="s">
        <v>361</v>
      </c>
      <c r="D240" s="943" t="s">
        <v>2</v>
      </c>
      <c r="E240" s="945">
        <v>6</v>
      </c>
      <c r="F240" s="945">
        <v>1</v>
      </c>
      <c r="G240" s="946">
        <v>25</v>
      </c>
      <c r="H240" s="946">
        <v>25</v>
      </c>
    </row>
    <row r="241" spans="1:9" s="26" customFormat="1">
      <c r="A241" s="947">
        <v>2</v>
      </c>
      <c r="B241" s="948">
        <v>633</v>
      </c>
      <c r="C241" s="948" t="s">
        <v>362</v>
      </c>
      <c r="D241" s="947" t="s">
        <v>2</v>
      </c>
      <c r="E241" s="949">
        <v>1520</v>
      </c>
      <c r="F241" s="950">
        <v>3</v>
      </c>
      <c r="G241" s="951">
        <v>25</v>
      </c>
      <c r="H241" s="951">
        <v>24.56</v>
      </c>
      <c r="I241" s="18"/>
    </row>
    <row r="242" spans="1:9">
      <c r="A242" s="943">
        <v>2</v>
      </c>
      <c r="B242" s="944">
        <v>633.1</v>
      </c>
      <c r="C242" s="944" t="s">
        <v>363</v>
      </c>
      <c r="D242" s="943" t="s">
        <v>2</v>
      </c>
      <c r="E242" s="945">
        <v>180</v>
      </c>
      <c r="F242" s="945">
        <v>2</v>
      </c>
      <c r="G242" s="946">
        <v>31</v>
      </c>
      <c r="H242" s="946">
        <v>32.22</v>
      </c>
    </row>
    <row r="243" spans="1:9" s="26" customFormat="1">
      <c r="A243" s="947">
        <v>2</v>
      </c>
      <c r="B243" s="948">
        <v>634</v>
      </c>
      <c r="C243" s="948" t="s">
        <v>364</v>
      </c>
      <c r="D243" s="947" t="s">
        <v>2</v>
      </c>
      <c r="E243" s="950">
        <v>720</v>
      </c>
      <c r="F243" s="950">
        <v>3</v>
      </c>
      <c r="G243" s="951">
        <v>205</v>
      </c>
      <c r="H243" s="951">
        <v>189.1</v>
      </c>
      <c r="I243" s="18"/>
    </row>
    <row r="244" spans="1:9">
      <c r="A244" s="943">
        <v>2</v>
      </c>
      <c r="B244" s="944">
        <v>634.1</v>
      </c>
      <c r="C244" s="944" t="s">
        <v>365</v>
      </c>
      <c r="D244" s="943" t="s">
        <v>2</v>
      </c>
      <c r="E244" s="945">
        <v>60</v>
      </c>
      <c r="F244" s="945">
        <v>1</v>
      </c>
      <c r="G244" s="946">
        <v>312.5</v>
      </c>
      <c r="H244" s="946">
        <v>350</v>
      </c>
    </row>
    <row r="245" spans="1:9" s="26" customFormat="1">
      <c r="A245" s="947">
        <v>2</v>
      </c>
      <c r="B245" s="948">
        <v>644.048</v>
      </c>
      <c r="C245" s="948" t="s">
        <v>2428</v>
      </c>
      <c r="D245" s="947" t="s">
        <v>17</v>
      </c>
      <c r="E245" s="949">
        <v>1200</v>
      </c>
      <c r="F245" s="950">
        <v>1</v>
      </c>
      <c r="G245" s="951">
        <v>55</v>
      </c>
      <c r="H245" s="951">
        <v>56.25</v>
      </c>
      <c r="I245" s="18"/>
    </row>
    <row r="246" spans="1:9">
      <c r="A246" s="943">
        <v>2</v>
      </c>
      <c r="B246" s="944">
        <v>645.048</v>
      </c>
      <c r="C246" s="944" t="s">
        <v>373</v>
      </c>
      <c r="D246" s="943" t="s">
        <v>17</v>
      </c>
      <c r="E246" s="945">
        <v>480</v>
      </c>
      <c r="F246" s="945">
        <v>1</v>
      </c>
      <c r="G246" s="946">
        <v>81.5</v>
      </c>
      <c r="H246" s="946">
        <v>87.16</v>
      </c>
    </row>
    <row r="247" spans="1:9" s="26" customFormat="1">
      <c r="A247" s="947">
        <v>2</v>
      </c>
      <c r="B247" s="948">
        <v>645.14800000000002</v>
      </c>
      <c r="C247" s="948" t="s">
        <v>375</v>
      </c>
      <c r="D247" s="947" t="s">
        <v>17</v>
      </c>
      <c r="E247" s="950">
        <v>390</v>
      </c>
      <c r="F247" s="950">
        <v>1</v>
      </c>
      <c r="G247" s="951">
        <v>76.5</v>
      </c>
      <c r="H247" s="951">
        <v>76.83</v>
      </c>
      <c r="I247" s="18"/>
    </row>
    <row r="248" spans="1:9">
      <c r="A248" s="943">
        <v>2</v>
      </c>
      <c r="B248" s="944">
        <v>645.17200000000003</v>
      </c>
      <c r="C248" s="944" t="s">
        <v>376</v>
      </c>
      <c r="D248" s="943" t="s">
        <v>17</v>
      </c>
      <c r="E248" s="952">
        <v>1500</v>
      </c>
      <c r="F248" s="945">
        <v>1</v>
      </c>
      <c r="G248" s="946">
        <v>90</v>
      </c>
      <c r="H248" s="946">
        <v>90</v>
      </c>
    </row>
    <row r="249" spans="1:9" s="26" customFormat="1">
      <c r="A249" s="947">
        <v>2</v>
      </c>
      <c r="B249" s="948">
        <v>647.096</v>
      </c>
      <c r="C249" s="948" t="s">
        <v>2453</v>
      </c>
      <c r="D249" s="947" t="s">
        <v>17</v>
      </c>
      <c r="E249" s="949">
        <v>1050</v>
      </c>
      <c r="F249" s="950">
        <v>1</v>
      </c>
      <c r="G249" s="951">
        <v>100</v>
      </c>
      <c r="H249" s="951">
        <v>99.43</v>
      </c>
      <c r="I249" s="18"/>
    </row>
    <row r="250" spans="1:9">
      <c r="A250" s="943">
        <v>2</v>
      </c>
      <c r="B250" s="944">
        <v>652.072</v>
      </c>
      <c r="C250" s="944" t="s">
        <v>381</v>
      </c>
      <c r="D250" s="943" t="s">
        <v>2</v>
      </c>
      <c r="E250" s="945">
        <v>12</v>
      </c>
      <c r="F250" s="945">
        <v>1</v>
      </c>
      <c r="G250" s="946">
        <v>605</v>
      </c>
      <c r="H250" s="946">
        <v>575</v>
      </c>
    </row>
    <row r="251" spans="1:9" s="26" customFormat="1">
      <c r="A251" s="947">
        <v>2</v>
      </c>
      <c r="B251" s="948">
        <v>653.072</v>
      </c>
      <c r="C251" s="948" t="s">
        <v>383</v>
      </c>
      <c r="D251" s="947" t="s">
        <v>2</v>
      </c>
      <c r="E251" s="950">
        <v>15</v>
      </c>
      <c r="F251" s="950">
        <v>1</v>
      </c>
      <c r="G251" s="951">
        <v>610</v>
      </c>
      <c r="H251" s="951">
        <v>620</v>
      </c>
      <c r="I251" s="18"/>
    </row>
    <row r="252" spans="1:9">
      <c r="A252" s="943">
        <v>2</v>
      </c>
      <c r="B252" s="944">
        <v>657</v>
      </c>
      <c r="C252" s="944" t="s">
        <v>387</v>
      </c>
      <c r="D252" s="943" t="s">
        <v>17</v>
      </c>
      <c r="E252" s="952">
        <v>6060</v>
      </c>
      <c r="F252" s="945">
        <v>3</v>
      </c>
      <c r="G252" s="946">
        <v>32</v>
      </c>
      <c r="H252" s="946">
        <v>28.88</v>
      </c>
    </row>
    <row r="253" spans="1:9" s="26" customFormat="1">
      <c r="A253" s="947">
        <v>2</v>
      </c>
      <c r="B253" s="948">
        <v>657.5</v>
      </c>
      <c r="C253" s="948" t="s">
        <v>388</v>
      </c>
      <c r="D253" s="947" t="s">
        <v>17</v>
      </c>
      <c r="E253" s="949">
        <v>4000</v>
      </c>
      <c r="F253" s="950">
        <v>1</v>
      </c>
      <c r="G253" s="951">
        <v>41</v>
      </c>
      <c r="H253" s="951">
        <v>41.13</v>
      </c>
      <c r="I253" s="18"/>
    </row>
    <row r="254" spans="1:9">
      <c r="A254" s="943">
        <v>2</v>
      </c>
      <c r="B254" s="944">
        <v>665</v>
      </c>
      <c r="C254" s="944" t="s">
        <v>390</v>
      </c>
      <c r="D254" s="943" t="s">
        <v>17</v>
      </c>
      <c r="E254" s="952">
        <v>2180</v>
      </c>
      <c r="F254" s="945">
        <v>2</v>
      </c>
      <c r="G254" s="946">
        <v>3</v>
      </c>
      <c r="H254" s="946">
        <v>2.93</v>
      </c>
    </row>
    <row r="255" spans="1:9" s="26" customFormat="1">
      <c r="A255" s="947">
        <v>2</v>
      </c>
      <c r="B255" s="948">
        <v>666</v>
      </c>
      <c r="C255" s="948" t="s">
        <v>391</v>
      </c>
      <c r="D255" s="947" t="s">
        <v>17</v>
      </c>
      <c r="E255" s="950">
        <v>70</v>
      </c>
      <c r="F255" s="950">
        <v>2</v>
      </c>
      <c r="G255" s="951">
        <v>126</v>
      </c>
      <c r="H255" s="951">
        <v>107.33</v>
      </c>
      <c r="I255" s="18"/>
    </row>
    <row r="256" spans="1:9">
      <c r="A256" s="943">
        <v>2</v>
      </c>
      <c r="B256" s="944">
        <v>669</v>
      </c>
      <c r="C256" s="944" t="s">
        <v>393</v>
      </c>
      <c r="D256" s="943" t="s">
        <v>17</v>
      </c>
      <c r="E256" s="952">
        <v>5625</v>
      </c>
      <c r="F256" s="945">
        <v>2</v>
      </c>
      <c r="G256" s="946">
        <v>5.75</v>
      </c>
      <c r="H256" s="946">
        <v>4.2699999999999996</v>
      </c>
    </row>
    <row r="257" spans="1:9" s="26" customFormat="1">
      <c r="A257" s="947">
        <v>2</v>
      </c>
      <c r="B257" s="948">
        <v>670</v>
      </c>
      <c r="C257" s="948" t="s">
        <v>394</v>
      </c>
      <c r="D257" s="947" t="s">
        <v>17</v>
      </c>
      <c r="E257" s="949">
        <v>1680</v>
      </c>
      <c r="F257" s="950">
        <v>1</v>
      </c>
      <c r="G257" s="951">
        <v>92.5</v>
      </c>
      <c r="H257" s="951">
        <v>89.59</v>
      </c>
      <c r="I257" s="18"/>
    </row>
    <row r="258" spans="1:9">
      <c r="A258" s="943">
        <v>2</v>
      </c>
      <c r="B258" s="944">
        <v>672</v>
      </c>
      <c r="C258" s="944" t="s">
        <v>395</v>
      </c>
      <c r="D258" s="943" t="s">
        <v>2</v>
      </c>
      <c r="E258" s="945">
        <v>10</v>
      </c>
      <c r="F258" s="945">
        <v>2</v>
      </c>
      <c r="G258" s="946">
        <v>3000</v>
      </c>
      <c r="H258" s="946">
        <v>3020</v>
      </c>
    </row>
    <row r="259" spans="1:9" s="26" customFormat="1">
      <c r="A259" s="947">
        <v>2</v>
      </c>
      <c r="B259" s="948">
        <v>691</v>
      </c>
      <c r="C259" s="948" t="s">
        <v>399</v>
      </c>
      <c r="D259" s="947" t="s">
        <v>17</v>
      </c>
      <c r="E259" s="950">
        <v>100</v>
      </c>
      <c r="F259" s="950">
        <v>1</v>
      </c>
      <c r="G259" s="951">
        <v>205</v>
      </c>
      <c r="H259" s="951">
        <v>205</v>
      </c>
      <c r="I259" s="18"/>
    </row>
    <row r="260" spans="1:9">
      <c r="A260" s="943">
        <v>2</v>
      </c>
      <c r="B260" s="944">
        <v>697</v>
      </c>
      <c r="C260" s="944" t="s">
        <v>400</v>
      </c>
      <c r="D260" s="943" t="s">
        <v>17</v>
      </c>
      <c r="E260" s="952">
        <v>3137</v>
      </c>
      <c r="F260" s="945">
        <v>3</v>
      </c>
      <c r="G260" s="946">
        <v>10.5</v>
      </c>
      <c r="H260" s="946">
        <v>9.1300000000000008</v>
      </c>
    </row>
    <row r="261" spans="1:9" s="26" customFormat="1">
      <c r="A261" s="947">
        <v>2</v>
      </c>
      <c r="B261" s="948">
        <v>697.1</v>
      </c>
      <c r="C261" s="948" t="s">
        <v>401</v>
      </c>
      <c r="D261" s="947" t="s">
        <v>2</v>
      </c>
      <c r="E261" s="949">
        <v>2281</v>
      </c>
      <c r="F261" s="950">
        <v>10</v>
      </c>
      <c r="G261" s="951">
        <v>225</v>
      </c>
      <c r="H261" s="951">
        <v>225.16</v>
      </c>
      <c r="I261" s="18"/>
    </row>
    <row r="262" spans="1:9">
      <c r="A262" s="943">
        <v>2</v>
      </c>
      <c r="B262" s="944">
        <v>698.1</v>
      </c>
      <c r="C262" s="944" t="s">
        <v>403</v>
      </c>
      <c r="D262" s="943" t="s">
        <v>1</v>
      </c>
      <c r="E262" s="952">
        <v>40000</v>
      </c>
      <c r="F262" s="945">
        <v>1</v>
      </c>
      <c r="G262" s="946">
        <v>5</v>
      </c>
      <c r="H262" s="946">
        <v>3.94</v>
      </c>
    </row>
    <row r="263" spans="1:9" s="26" customFormat="1">
      <c r="A263" s="947">
        <v>2</v>
      </c>
      <c r="B263" s="948">
        <v>698.2</v>
      </c>
      <c r="C263" s="948" t="s">
        <v>63</v>
      </c>
      <c r="D263" s="947" t="s">
        <v>1</v>
      </c>
      <c r="E263" s="949">
        <v>5250</v>
      </c>
      <c r="F263" s="950">
        <v>1</v>
      </c>
      <c r="G263" s="951">
        <v>9.5</v>
      </c>
      <c r="H263" s="951">
        <v>8.67</v>
      </c>
      <c r="I263" s="18"/>
    </row>
    <row r="264" spans="1:9">
      <c r="A264" s="943">
        <v>2</v>
      </c>
      <c r="B264" s="944">
        <v>698.3</v>
      </c>
      <c r="C264" s="944" t="s">
        <v>404</v>
      </c>
      <c r="D264" s="943" t="s">
        <v>1</v>
      </c>
      <c r="E264" s="945">
        <v>80</v>
      </c>
      <c r="F264" s="945">
        <v>1</v>
      </c>
      <c r="G264" s="946">
        <v>11</v>
      </c>
      <c r="H264" s="946">
        <v>11</v>
      </c>
    </row>
    <row r="265" spans="1:9" s="26" customFormat="1">
      <c r="A265" s="947">
        <v>2</v>
      </c>
      <c r="B265" s="948">
        <v>698.4</v>
      </c>
      <c r="C265" s="948" t="s">
        <v>405</v>
      </c>
      <c r="D265" s="947" t="s">
        <v>1</v>
      </c>
      <c r="E265" s="949">
        <v>1250</v>
      </c>
      <c r="F265" s="950">
        <v>1</v>
      </c>
      <c r="G265" s="951">
        <v>8</v>
      </c>
      <c r="H265" s="951">
        <v>8.1999999999999993</v>
      </c>
      <c r="I265" s="18"/>
    </row>
    <row r="266" spans="1:9">
      <c r="A266" s="943">
        <v>2</v>
      </c>
      <c r="B266" s="944">
        <v>701</v>
      </c>
      <c r="C266" s="944" t="s">
        <v>406</v>
      </c>
      <c r="D266" s="943" t="s">
        <v>1</v>
      </c>
      <c r="E266" s="952">
        <v>62986</v>
      </c>
      <c r="F266" s="945">
        <v>12</v>
      </c>
      <c r="G266" s="946">
        <v>85</v>
      </c>
      <c r="H266" s="946">
        <v>86.51</v>
      </c>
    </row>
    <row r="267" spans="1:9" s="26" customFormat="1">
      <c r="A267" s="947">
        <v>2</v>
      </c>
      <c r="B267" s="948">
        <v>701.1</v>
      </c>
      <c r="C267" s="948" t="s">
        <v>407</v>
      </c>
      <c r="D267" s="947" t="s">
        <v>1</v>
      </c>
      <c r="E267" s="949">
        <v>18297</v>
      </c>
      <c r="F267" s="950">
        <v>9</v>
      </c>
      <c r="G267" s="951">
        <v>100</v>
      </c>
      <c r="H267" s="951">
        <v>96.68</v>
      </c>
      <c r="I267" s="18"/>
    </row>
    <row r="268" spans="1:9">
      <c r="A268" s="943">
        <v>2</v>
      </c>
      <c r="B268" s="944">
        <v>701.2</v>
      </c>
      <c r="C268" s="944" t="s">
        <v>1422</v>
      </c>
      <c r="D268" s="943" t="s">
        <v>1</v>
      </c>
      <c r="E268" s="952">
        <v>20120</v>
      </c>
      <c r="F268" s="945">
        <v>12</v>
      </c>
      <c r="G268" s="946">
        <v>135</v>
      </c>
      <c r="H268" s="946">
        <v>135.06</v>
      </c>
    </row>
    <row r="269" spans="1:9" s="26" customFormat="1">
      <c r="A269" s="947">
        <v>2</v>
      </c>
      <c r="B269" s="948">
        <v>702</v>
      </c>
      <c r="C269" s="948" t="s">
        <v>1423</v>
      </c>
      <c r="D269" s="947" t="s">
        <v>7</v>
      </c>
      <c r="E269" s="949">
        <v>14032</v>
      </c>
      <c r="F269" s="950">
        <v>12</v>
      </c>
      <c r="G269" s="951">
        <v>290</v>
      </c>
      <c r="H269" s="951">
        <v>290.92</v>
      </c>
      <c r="I269" s="18"/>
    </row>
    <row r="270" spans="1:9">
      <c r="A270" s="943">
        <v>2</v>
      </c>
      <c r="B270" s="944">
        <v>703.1</v>
      </c>
      <c r="C270" s="944" t="s">
        <v>408</v>
      </c>
      <c r="D270" s="943" t="s">
        <v>2</v>
      </c>
      <c r="E270" s="945">
        <v>30</v>
      </c>
      <c r="F270" s="945">
        <v>1</v>
      </c>
      <c r="G270" s="946">
        <v>500</v>
      </c>
      <c r="H270" s="946">
        <v>433.33</v>
      </c>
    </row>
    <row r="271" spans="1:9" s="26" customFormat="1">
      <c r="A271" s="947">
        <v>2</v>
      </c>
      <c r="B271" s="948">
        <v>706.1</v>
      </c>
      <c r="C271" s="948" t="s">
        <v>411</v>
      </c>
      <c r="D271" s="947" t="s">
        <v>1</v>
      </c>
      <c r="E271" s="950">
        <v>50</v>
      </c>
      <c r="F271" s="950">
        <v>1</v>
      </c>
      <c r="G271" s="951">
        <v>550</v>
      </c>
      <c r="H271" s="951">
        <v>565</v>
      </c>
      <c r="I271" s="18"/>
    </row>
    <row r="272" spans="1:9">
      <c r="A272" s="943">
        <v>2</v>
      </c>
      <c r="B272" s="944">
        <v>707.1</v>
      </c>
      <c r="C272" s="944" t="s">
        <v>60</v>
      </c>
      <c r="D272" s="943" t="s">
        <v>2</v>
      </c>
      <c r="E272" s="945">
        <v>14</v>
      </c>
      <c r="F272" s="945">
        <v>1</v>
      </c>
      <c r="G272" s="946">
        <v>6000</v>
      </c>
      <c r="H272" s="946">
        <v>5331.43</v>
      </c>
    </row>
    <row r="273" spans="1:9" s="26" customFormat="1">
      <c r="A273" s="947">
        <v>2</v>
      </c>
      <c r="B273" s="948">
        <v>707.2</v>
      </c>
      <c r="C273" s="948" t="s">
        <v>415</v>
      </c>
      <c r="D273" s="947" t="s">
        <v>2</v>
      </c>
      <c r="E273" s="950">
        <v>21</v>
      </c>
      <c r="F273" s="950">
        <v>1</v>
      </c>
      <c r="G273" s="951">
        <v>4000</v>
      </c>
      <c r="H273" s="951">
        <v>3789.29</v>
      </c>
      <c r="I273" s="18"/>
    </row>
    <row r="274" spans="1:9">
      <c r="A274" s="943">
        <v>2</v>
      </c>
      <c r="B274" s="944">
        <v>707.6</v>
      </c>
      <c r="C274" s="944" t="s">
        <v>2513</v>
      </c>
      <c r="D274" s="943" t="s">
        <v>2</v>
      </c>
      <c r="E274" s="945">
        <v>4</v>
      </c>
      <c r="F274" s="945">
        <v>1</v>
      </c>
      <c r="G274" s="946">
        <v>3625</v>
      </c>
      <c r="H274" s="946">
        <v>3770.72</v>
      </c>
    </row>
    <row r="275" spans="1:9" s="26" customFormat="1">
      <c r="A275" s="947">
        <v>2</v>
      </c>
      <c r="B275" s="948">
        <v>710.4</v>
      </c>
      <c r="C275" s="948" t="s">
        <v>417</v>
      </c>
      <c r="D275" s="947" t="s">
        <v>2</v>
      </c>
      <c r="E275" s="950">
        <v>386</v>
      </c>
      <c r="F275" s="950">
        <v>4</v>
      </c>
      <c r="G275" s="951">
        <v>750</v>
      </c>
      <c r="H275" s="951">
        <v>754.47</v>
      </c>
      <c r="I275" s="18"/>
    </row>
    <row r="276" spans="1:9">
      <c r="A276" s="943">
        <v>2</v>
      </c>
      <c r="B276" s="944">
        <v>711</v>
      </c>
      <c r="C276" s="944" t="s">
        <v>418</v>
      </c>
      <c r="D276" s="943" t="s">
        <v>2</v>
      </c>
      <c r="E276" s="945">
        <v>133</v>
      </c>
      <c r="F276" s="945">
        <v>4</v>
      </c>
      <c r="G276" s="946">
        <v>800</v>
      </c>
      <c r="H276" s="946">
        <v>780.28</v>
      </c>
    </row>
    <row r="277" spans="1:9" s="26" customFormat="1">
      <c r="A277" s="947">
        <v>2</v>
      </c>
      <c r="B277" s="948">
        <v>711.1</v>
      </c>
      <c r="C277" s="948" t="s">
        <v>419</v>
      </c>
      <c r="D277" s="947" t="s">
        <v>2</v>
      </c>
      <c r="E277" s="950">
        <v>25</v>
      </c>
      <c r="F277" s="950">
        <v>1</v>
      </c>
      <c r="G277" s="951">
        <v>800</v>
      </c>
      <c r="H277" s="951">
        <v>720</v>
      </c>
      <c r="I277" s="18"/>
    </row>
    <row r="278" spans="1:9">
      <c r="A278" s="943">
        <v>2</v>
      </c>
      <c r="B278" s="944">
        <v>715</v>
      </c>
      <c r="C278" s="944" t="s">
        <v>422</v>
      </c>
      <c r="D278" s="943" t="s">
        <v>2</v>
      </c>
      <c r="E278" s="945">
        <v>21</v>
      </c>
      <c r="F278" s="945">
        <v>4</v>
      </c>
      <c r="G278" s="946">
        <v>250</v>
      </c>
      <c r="H278" s="946">
        <v>220.83</v>
      </c>
    </row>
    <row r="279" spans="1:9" s="26" customFormat="1">
      <c r="A279" s="947">
        <v>2</v>
      </c>
      <c r="B279" s="948">
        <v>715.1</v>
      </c>
      <c r="C279" s="948" t="s">
        <v>423</v>
      </c>
      <c r="D279" s="947" t="s">
        <v>2</v>
      </c>
      <c r="E279" s="950">
        <v>18</v>
      </c>
      <c r="F279" s="950">
        <v>2</v>
      </c>
      <c r="G279" s="951">
        <v>275</v>
      </c>
      <c r="H279" s="951">
        <v>263</v>
      </c>
      <c r="I279" s="18"/>
    </row>
    <row r="280" spans="1:9">
      <c r="A280" s="943">
        <v>2</v>
      </c>
      <c r="B280" s="944">
        <v>734.52</v>
      </c>
      <c r="C280" s="944" t="s">
        <v>623</v>
      </c>
      <c r="D280" s="943" t="s">
        <v>2</v>
      </c>
      <c r="E280" s="945">
        <v>2</v>
      </c>
      <c r="F280" s="945">
        <v>1</v>
      </c>
      <c r="G280" s="946">
        <v>250</v>
      </c>
      <c r="H280" s="946">
        <v>225</v>
      </c>
    </row>
    <row r="281" spans="1:9" s="26" customFormat="1">
      <c r="A281" s="947">
        <v>2</v>
      </c>
      <c r="B281" s="948">
        <v>740</v>
      </c>
      <c r="C281" s="948" t="s">
        <v>4023</v>
      </c>
      <c r="D281" s="947" t="s">
        <v>428</v>
      </c>
      <c r="E281" s="949">
        <v>1644</v>
      </c>
      <c r="F281" s="950">
        <v>16</v>
      </c>
      <c r="G281" s="951">
        <v>3200</v>
      </c>
      <c r="H281" s="951">
        <v>3204.39</v>
      </c>
      <c r="I281" s="18"/>
    </row>
    <row r="282" spans="1:9">
      <c r="A282" s="943">
        <v>2</v>
      </c>
      <c r="B282" s="944">
        <v>745</v>
      </c>
      <c r="C282" s="944" t="s">
        <v>1426</v>
      </c>
      <c r="D282" s="943" t="s">
        <v>2</v>
      </c>
      <c r="E282" s="945">
        <v>11</v>
      </c>
      <c r="F282" s="945">
        <v>2</v>
      </c>
      <c r="G282" s="946">
        <v>35000</v>
      </c>
      <c r="H282" s="946">
        <v>36454.550000000003</v>
      </c>
    </row>
    <row r="283" spans="1:9" s="26" customFormat="1">
      <c r="A283" s="947">
        <v>2</v>
      </c>
      <c r="B283" s="948">
        <v>745.1</v>
      </c>
      <c r="C283" s="948" t="s">
        <v>2526</v>
      </c>
      <c r="D283" s="947" t="s">
        <v>22</v>
      </c>
      <c r="E283" s="950">
        <v>5</v>
      </c>
      <c r="F283" s="950">
        <v>1</v>
      </c>
      <c r="G283" s="951">
        <v>13000</v>
      </c>
      <c r="H283" s="951">
        <v>12600</v>
      </c>
      <c r="I283" s="18"/>
    </row>
    <row r="284" spans="1:9">
      <c r="A284" s="943">
        <v>2</v>
      </c>
      <c r="B284" s="944">
        <v>748</v>
      </c>
      <c r="C284" s="944" t="s">
        <v>430</v>
      </c>
      <c r="D284" s="943" t="s">
        <v>22</v>
      </c>
      <c r="E284" s="945">
        <v>36</v>
      </c>
      <c r="F284" s="945">
        <v>11</v>
      </c>
      <c r="G284" s="946">
        <v>98000</v>
      </c>
      <c r="H284" s="946">
        <v>96400.14</v>
      </c>
    </row>
    <row r="285" spans="1:9" s="26" customFormat="1">
      <c r="A285" s="947">
        <v>2</v>
      </c>
      <c r="B285" s="948">
        <v>748.1</v>
      </c>
      <c r="C285" s="948" t="s">
        <v>431</v>
      </c>
      <c r="D285" s="947" t="s">
        <v>2</v>
      </c>
      <c r="E285" s="950">
        <v>78</v>
      </c>
      <c r="F285" s="950">
        <v>9</v>
      </c>
      <c r="G285" s="951">
        <v>600</v>
      </c>
      <c r="H285" s="951">
        <v>623.1</v>
      </c>
      <c r="I285" s="18"/>
    </row>
    <row r="286" spans="1:9">
      <c r="A286" s="943">
        <v>2</v>
      </c>
      <c r="B286" s="944">
        <v>751</v>
      </c>
      <c r="C286" s="944" t="s">
        <v>3902</v>
      </c>
      <c r="D286" s="943" t="s">
        <v>4</v>
      </c>
      <c r="E286" s="952">
        <v>26580</v>
      </c>
      <c r="F286" s="945">
        <v>14</v>
      </c>
      <c r="G286" s="946">
        <v>81</v>
      </c>
      <c r="H286" s="946">
        <v>81.09</v>
      </c>
    </row>
    <row r="287" spans="1:9" s="26" customFormat="1">
      <c r="A287" s="947">
        <v>2</v>
      </c>
      <c r="B287" s="948">
        <v>751.1</v>
      </c>
      <c r="C287" s="948" t="s">
        <v>4004</v>
      </c>
      <c r="D287" s="947" t="s">
        <v>4</v>
      </c>
      <c r="E287" s="949">
        <v>9916</v>
      </c>
      <c r="F287" s="950">
        <v>6</v>
      </c>
      <c r="G287" s="951">
        <v>75.5</v>
      </c>
      <c r="H287" s="951">
        <v>78.52</v>
      </c>
      <c r="I287" s="18"/>
    </row>
    <row r="288" spans="1:9">
      <c r="A288" s="943">
        <v>2</v>
      </c>
      <c r="B288" s="944">
        <v>751.7</v>
      </c>
      <c r="C288" s="944" t="s">
        <v>4005</v>
      </c>
      <c r="D288" s="943" t="s">
        <v>4</v>
      </c>
      <c r="E288" s="945">
        <v>50</v>
      </c>
      <c r="F288" s="945">
        <v>1</v>
      </c>
      <c r="G288" s="946">
        <v>120</v>
      </c>
      <c r="H288" s="946">
        <v>130</v>
      </c>
    </row>
    <row r="289" spans="1:9" s="26" customFormat="1">
      <c r="A289" s="947">
        <v>2</v>
      </c>
      <c r="B289" s="948">
        <v>755.35</v>
      </c>
      <c r="C289" s="948" t="s">
        <v>1428</v>
      </c>
      <c r="D289" s="947" t="s">
        <v>22</v>
      </c>
      <c r="E289" s="950">
        <v>11</v>
      </c>
      <c r="F289" s="950">
        <v>3</v>
      </c>
      <c r="G289" s="951">
        <v>15000</v>
      </c>
      <c r="H289" s="951">
        <v>13022.73</v>
      </c>
      <c r="I289" s="18"/>
    </row>
    <row r="290" spans="1:9">
      <c r="A290" s="943">
        <v>2</v>
      </c>
      <c r="B290" s="944">
        <v>755.75</v>
      </c>
      <c r="C290" s="944" t="s">
        <v>1430</v>
      </c>
      <c r="D290" s="943" t="s">
        <v>24</v>
      </c>
      <c r="E290" s="945">
        <v>456</v>
      </c>
      <c r="F290" s="945">
        <v>3</v>
      </c>
      <c r="G290" s="946">
        <v>172.5</v>
      </c>
      <c r="H290" s="946">
        <v>196.66</v>
      </c>
    </row>
    <row r="291" spans="1:9" s="26" customFormat="1">
      <c r="A291" s="947">
        <v>2</v>
      </c>
      <c r="B291" s="948">
        <v>755.76</v>
      </c>
      <c r="C291" s="948" t="s">
        <v>1431</v>
      </c>
      <c r="D291" s="947" t="s">
        <v>22</v>
      </c>
      <c r="E291" s="950">
        <v>6</v>
      </c>
      <c r="F291" s="950">
        <v>2</v>
      </c>
      <c r="G291" s="951">
        <v>6000</v>
      </c>
      <c r="H291" s="951">
        <v>5991.67</v>
      </c>
      <c r="I291" s="18"/>
    </row>
    <row r="292" spans="1:9">
      <c r="A292" s="943">
        <v>2</v>
      </c>
      <c r="B292" s="944">
        <v>756</v>
      </c>
      <c r="C292" s="944" t="s">
        <v>432</v>
      </c>
      <c r="D292" s="943" t="s">
        <v>22</v>
      </c>
      <c r="E292" s="945">
        <v>34</v>
      </c>
      <c r="F292" s="945">
        <v>9</v>
      </c>
      <c r="G292" s="946">
        <v>8000</v>
      </c>
      <c r="H292" s="946">
        <v>6829.41</v>
      </c>
    </row>
    <row r="293" spans="1:9" s="26" customFormat="1">
      <c r="A293" s="947">
        <v>2</v>
      </c>
      <c r="B293" s="948">
        <v>765</v>
      </c>
      <c r="C293" s="948" t="s">
        <v>34</v>
      </c>
      <c r="D293" s="947" t="s">
        <v>1</v>
      </c>
      <c r="E293" s="949">
        <v>278483</v>
      </c>
      <c r="F293" s="950">
        <v>12</v>
      </c>
      <c r="G293" s="951">
        <v>2.2000000000000002</v>
      </c>
      <c r="H293" s="951">
        <v>2.11</v>
      </c>
      <c r="I293" s="18"/>
    </row>
    <row r="294" spans="1:9">
      <c r="A294" s="943">
        <v>2</v>
      </c>
      <c r="B294" s="944">
        <v>767.12099999999998</v>
      </c>
      <c r="C294" s="944" t="s">
        <v>1436</v>
      </c>
      <c r="D294" s="943" t="s">
        <v>17</v>
      </c>
      <c r="E294" s="952">
        <v>153920</v>
      </c>
      <c r="F294" s="945">
        <v>12</v>
      </c>
      <c r="G294" s="946">
        <v>8.25</v>
      </c>
      <c r="H294" s="946">
        <v>8.1999999999999993</v>
      </c>
    </row>
    <row r="295" spans="1:9" s="26" customFormat="1">
      <c r="A295" s="947">
        <v>2</v>
      </c>
      <c r="B295" s="948">
        <v>767.4</v>
      </c>
      <c r="C295" s="948" t="s">
        <v>440</v>
      </c>
      <c r="D295" s="947" t="s">
        <v>4</v>
      </c>
      <c r="E295" s="950">
        <v>20</v>
      </c>
      <c r="F295" s="950">
        <v>1</v>
      </c>
      <c r="G295" s="951">
        <v>100</v>
      </c>
      <c r="H295" s="951">
        <v>106</v>
      </c>
      <c r="I295" s="18"/>
    </row>
    <row r="296" spans="1:9">
      <c r="A296" s="943">
        <v>2</v>
      </c>
      <c r="B296" s="944">
        <v>767.6</v>
      </c>
      <c r="C296" s="944" t="s">
        <v>441</v>
      </c>
      <c r="D296" s="943" t="s">
        <v>4</v>
      </c>
      <c r="E296" s="945">
        <v>380</v>
      </c>
      <c r="F296" s="945">
        <v>4</v>
      </c>
      <c r="G296" s="946">
        <v>85</v>
      </c>
      <c r="H296" s="946">
        <v>83.47</v>
      </c>
    </row>
    <row r="297" spans="1:9" s="26" customFormat="1">
      <c r="A297" s="947">
        <v>2</v>
      </c>
      <c r="B297" s="948">
        <v>767.9</v>
      </c>
      <c r="C297" s="948" t="s">
        <v>1437</v>
      </c>
      <c r="D297" s="947" t="s">
        <v>1</v>
      </c>
      <c r="E297" s="949">
        <v>5050</v>
      </c>
      <c r="F297" s="950">
        <v>3</v>
      </c>
      <c r="G297" s="951">
        <v>8.25</v>
      </c>
      <c r="H297" s="951">
        <v>10.45</v>
      </c>
      <c r="I297" s="18"/>
    </row>
    <row r="298" spans="1:9">
      <c r="A298" s="943">
        <v>2</v>
      </c>
      <c r="B298" s="944">
        <v>769</v>
      </c>
      <c r="C298" s="944" t="s">
        <v>443</v>
      </c>
      <c r="D298" s="943" t="s">
        <v>17</v>
      </c>
      <c r="E298" s="952">
        <v>61298</v>
      </c>
      <c r="F298" s="945">
        <v>9</v>
      </c>
      <c r="G298" s="946">
        <v>12</v>
      </c>
      <c r="H298" s="946">
        <v>10.99</v>
      </c>
    </row>
    <row r="299" spans="1:9" s="26" customFormat="1">
      <c r="A299" s="947">
        <v>2</v>
      </c>
      <c r="B299" s="948">
        <v>772.03599999999994</v>
      </c>
      <c r="C299" s="948" t="s">
        <v>4011</v>
      </c>
      <c r="D299" s="947" t="s">
        <v>2</v>
      </c>
      <c r="E299" s="950">
        <v>90</v>
      </c>
      <c r="F299" s="950">
        <v>1</v>
      </c>
      <c r="G299" s="951">
        <v>430</v>
      </c>
      <c r="H299" s="951">
        <v>403.4</v>
      </c>
      <c r="I299" s="18"/>
    </row>
    <row r="300" spans="1:9">
      <c r="A300" s="943">
        <v>2</v>
      </c>
      <c r="B300" s="944">
        <v>773.22400000000005</v>
      </c>
      <c r="C300" s="944" t="s">
        <v>1471</v>
      </c>
      <c r="D300" s="943" t="s">
        <v>2</v>
      </c>
      <c r="E300" s="945">
        <v>6</v>
      </c>
      <c r="F300" s="945">
        <v>1</v>
      </c>
      <c r="G300" s="946">
        <v>850</v>
      </c>
      <c r="H300" s="946">
        <v>875</v>
      </c>
    </row>
    <row r="301" spans="1:9" s="26" customFormat="1">
      <c r="A301" s="947">
        <v>2</v>
      </c>
      <c r="B301" s="948">
        <v>775.14700000000005</v>
      </c>
      <c r="C301" s="948" t="s">
        <v>1438</v>
      </c>
      <c r="D301" s="947" t="s">
        <v>2</v>
      </c>
      <c r="E301" s="950">
        <v>14</v>
      </c>
      <c r="F301" s="950">
        <v>1</v>
      </c>
      <c r="G301" s="951">
        <v>800</v>
      </c>
      <c r="H301" s="951">
        <v>833.57</v>
      </c>
      <c r="I301" s="18"/>
    </row>
    <row r="302" spans="1:9">
      <c r="A302" s="943">
        <v>2</v>
      </c>
      <c r="B302" s="944">
        <v>777.673</v>
      </c>
      <c r="C302" s="944" t="s">
        <v>4006</v>
      </c>
      <c r="D302" s="943" t="s">
        <v>2</v>
      </c>
      <c r="E302" s="945">
        <v>14</v>
      </c>
      <c r="F302" s="945">
        <v>1</v>
      </c>
      <c r="G302" s="946">
        <v>800</v>
      </c>
      <c r="H302" s="946">
        <v>832.14</v>
      </c>
    </row>
    <row r="303" spans="1:9" s="26" customFormat="1">
      <c r="A303" s="947">
        <v>2</v>
      </c>
      <c r="B303" s="948">
        <v>778.38300000000004</v>
      </c>
      <c r="C303" s="948" t="s">
        <v>2674</v>
      </c>
      <c r="D303" s="947" t="s">
        <v>2</v>
      </c>
      <c r="E303" s="950">
        <v>105</v>
      </c>
      <c r="F303" s="950">
        <v>2</v>
      </c>
      <c r="G303" s="951">
        <v>579</v>
      </c>
      <c r="H303" s="951">
        <v>661.73</v>
      </c>
      <c r="I303" s="18"/>
    </row>
    <row r="304" spans="1:9">
      <c r="A304" s="943">
        <v>2</v>
      </c>
      <c r="B304" s="944">
        <v>781.57799999999997</v>
      </c>
      <c r="C304" s="944" t="s">
        <v>4050</v>
      </c>
      <c r="D304" s="943" t="s">
        <v>2</v>
      </c>
      <c r="E304" s="945">
        <v>16</v>
      </c>
      <c r="F304" s="945">
        <v>1</v>
      </c>
      <c r="G304" s="946">
        <v>800</v>
      </c>
      <c r="H304" s="946">
        <v>790</v>
      </c>
    </row>
    <row r="305" spans="1:9" s="26" customFormat="1">
      <c r="A305" s="947">
        <v>2</v>
      </c>
      <c r="B305" s="948">
        <v>783.04300000000001</v>
      </c>
      <c r="C305" s="948" t="s">
        <v>4007</v>
      </c>
      <c r="D305" s="947" t="s">
        <v>2</v>
      </c>
      <c r="E305" s="950">
        <v>15</v>
      </c>
      <c r="F305" s="950">
        <v>1</v>
      </c>
      <c r="G305" s="951">
        <v>900</v>
      </c>
      <c r="H305" s="951">
        <v>861</v>
      </c>
      <c r="I305" s="18"/>
    </row>
    <row r="306" spans="1:9">
      <c r="A306" s="943">
        <v>2</v>
      </c>
      <c r="B306" s="944">
        <v>790.63099999999997</v>
      </c>
      <c r="C306" s="944" t="s">
        <v>4026</v>
      </c>
      <c r="D306" s="943" t="s">
        <v>2</v>
      </c>
      <c r="E306" s="945">
        <v>120</v>
      </c>
      <c r="F306" s="945">
        <v>1</v>
      </c>
      <c r="G306" s="946">
        <v>67.5</v>
      </c>
      <c r="H306" s="946">
        <v>69.17</v>
      </c>
    </row>
    <row r="307" spans="1:9" s="26" customFormat="1">
      <c r="A307" s="947">
        <v>2</v>
      </c>
      <c r="B307" s="948">
        <v>791.03300000000002</v>
      </c>
      <c r="C307" s="948" t="s">
        <v>4016</v>
      </c>
      <c r="D307" s="947" t="s">
        <v>2</v>
      </c>
      <c r="E307" s="950">
        <v>72</v>
      </c>
      <c r="F307" s="950">
        <v>1</v>
      </c>
      <c r="G307" s="951">
        <v>78</v>
      </c>
      <c r="H307" s="951">
        <v>80.17</v>
      </c>
      <c r="I307" s="18"/>
    </row>
    <row r="308" spans="1:9">
      <c r="A308" s="943">
        <v>2</v>
      </c>
      <c r="B308" s="944">
        <v>793.44500000000005</v>
      </c>
      <c r="C308" s="944" t="s">
        <v>4060</v>
      </c>
      <c r="D308" s="943" t="s">
        <v>2</v>
      </c>
      <c r="E308" s="945">
        <v>84</v>
      </c>
      <c r="F308" s="945">
        <v>1</v>
      </c>
      <c r="G308" s="946">
        <v>60</v>
      </c>
      <c r="H308" s="946">
        <v>60</v>
      </c>
    </row>
    <row r="309" spans="1:9" s="26" customFormat="1">
      <c r="A309" s="947">
        <v>2</v>
      </c>
      <c r="B309" s="948">
        <v>794.803</v>
      </c>
      <c r="C309" s="948" t="s">
        <v>4017</v>
      </c>
      <c r="D309" s="947" t="s">
        <v>2</v>
      </c>
      <c r="E309" s="950">
        <v>60</v>
      </c>
      <c r="F309" s="950">
        <v>2</v>
      </c>
      <c r="G309" s="951">
        <v>50</v>
      </c>
      <c r="H309" s="951">
        <v>60.17</v>
      </c>
      <c r="I309" s="18"/>
    </row>
    <row r="310" spans="1:9">
      <c r="A310" s="943">
        <v>2</v>
      </c>
      <c r="B310" s="944">
        <v>795.00900000000001</v>
      </c>
      <c r="C310" s="944" t="s">
        <v>4018</v>
      </c>
      <c r="D310" s="943" t="s">
        <v>2</v>
      </c>
      <c r="E310" s="945">
        <v>75</v>
      </c>
      <c r="F310" s="945">
        <v>1</v>
      </c>
      <c r="G310" s="946">
        <v>79.5</v>
      </c>
      <c r="H310" s="946">
        <v>77.8</v>
      </c>
    </row>
    <row r="311" spans="1:9" s="26" customFormat="1">
      <c r="A311" s="947">
        <v>2</v>
      </c>
      <c r="B311" s="948">
        <v>801.32</v>
      </c>
      <c r="C311" s="948" t="s">
        <v>483</v>
      </c>
      <c r="D311" s="947" t="s">
        <v>17</v>
      </c>
      <c r="E311" s="949">
        <v>2975</v>
      </c>
      <c r="F311" s="950">
        <v>1</v>
      </c>
      <c r="G311" s="951">
        <v>100</v>
      </c>
      <c r="H311" s="951">
        <v>91.29</v>
      </c>
      <c r="I311" s="18"/>
    </row>
    <row r="312" spans="1:9">
      <c r="A312" s="943">
        <v>2</v>
      </c>
      <c r="B312" s="944">
        <v>804.2</v>
      </c>
      <c r="C312" s="944" t="s">
        <v>487</v>
      </c>
      <c r="D312" s="943" t="s">
        <v>17</v>
      </c>
      <c r="E312" s="952">
        <v>1950</v>
      </c>
      <c r="F312" s="945">
        <v>2</v>
      </c>
      <c r="G312" s="946">
        <v>41.5</v>
      </c>
      <c r="H312" s="946">
        <v>40.6</v>
      </c>
    </row>
    <row r="313" spans="1:9" s="26" customFormat="1">
      <c r="A313" s="947">
        <v>2</v>
      </c>
      <c r="B313" s="948">
        <v>804.3</v>
      </c>
      <c r="C313" s="948" t="s">
        <v>488</v>
      </c>
      <c r="D313" s="947" t="s">
        <v>17</v>
      </c>
      <c r="E313" s="949">
        <v>41280</v>
      </c>
      <c r="F313" s="950">
        <v>5</v>
      </c>
      <c r="G313" s="951">
        <v>55</v>
      </c>
      <c r="H313" s="951">
        <v>57.57</v>
      </c>
      <c r="I313" s="18"/>
    </row>
    <row r="314" spans="1:9">
      <c r="A314" s="943">
        <v>2</v>
      </c>
      <c r="B314" s="944">
        <v>806.3</v>
      </c>
      <c r="C314" s="944" t="s">
        <v>491</v>
      </c>
      <c r="D314" s="943" t="s">
        <v>17</v>
      </c>
      <c r="E314" s="945">
        <v>400</v>
      </c>
      <c r="F314" s="945">
        <v>1</v>
      </c>
      <c r="G314" s="946">
        <v>75</v>
      </c>
      <c r="H314" s="946">
        <v>70</v>
      </c>
    </row>
    <row r="315" spans="1:9" s="26" customFormat="1">
      <c r="A315" s="947">
        <v>2</v>
      </c>
      <c r="B315" s="948">
        <v>811.22</v>
      </c>
      <c r="C315" s="948" t="s">
        <v>496</v>
      </c>
      <c r="D315" s="947" t="s">
        <v>2</v>
      </c>
      <c r="E315" s="950">
        <v>205</v>
      </c>
      <c r="F315" s="950">
        <v>5</v>
      </c>
      <c r="G315" s="951">
        <v>1500</v>
      </c>
      <c r="H315" s="951">
        <v>1448.53</v>
      </c>
      <c r="I315" s="18"/>
    </row>
    <row r="316" spans="1:9">
      <c r="A316" s="943">
        <v>2</v>
      </c>
      <c r="B316" s="944">
        <v>811.23</v>
      </c>
      <c r="C316" s="944" t="s">
        <v>497</v>
      </c>
      <c r="D316" s="943" t="s">
        <v>2</v>
      </c>
      <c r="E316" s="945">
        <v>30</v>
      </c>
      <c r="F316" s="945">
        <v>1</v>
      </c>
      <c r="G316" s="946">
        <v>1900</v>
      </c>
      <c r="H316" s="946">
        <v>1951.67</v>
      </c>
    </row>
    <row r="317" spans="1:9" s="26" customFormat="1">
      <c r="A317" s="947">
        <v>2</v>
      </c>
      <c r="B317" s="948">
        <v>811.31</v>
      </c>
      <c r="C317" s="948" t="s">
        <v>501</v>
      </c>
      <c r="D317" s="947" t="s">
        <v>2</v>
      </c>
      <c r="E317" s="950">
        <v>271</v>
      </c>
      <c r="F317" s="950">
        <v>5</v>
      </c>
      <c r="G317" s="951">
        <v>1200</v>
      </c>
      <c r="H317" s="951">
        <v>1267.8900000000001</v>
      </c>
      <c r="I317" s="18"/>
    </row>
    <row r="318" spans="1:9">
      <c r="A318" s="943">
        <v>2</v>
      </c>
      <c r="B318" s="944">
        <v>811.37</v>
      </c>
      <c r="C318" s="944" t="s">
        <v>504</v>
      </c>
      <c r="D318" s="943" t="s">
        <v>2</v>
      </c>
      <c r="E318" s="945">
        <v>4</v>
      </c>
      <c r="F318" s="945">
        <v>1</v>
      </c>
      <c r="G318" s="946">
        <v>675</v>
      </c>
      <c r="H318" s="946">
        <v>675</v>
      </c>
    </row>
    <row r="319" spans="1:9" s="26" customFormat="1">
      <c r="A319" s="947">
        <v>2</v>
      </c>
      <c r="B319" s="948">
        <v>811.38</v>
      </c>
      <c r="C319" s="948" t="s">
        <v>3090</v>
      </c>
      <c r="D319" s="947" t="s">
        <v>2</v>
      </c>
      <c r="E319" s="950">
        <v>20</v>
      </c>
      <c r="F319" s="950">
        <v>1</v>
      </c>
      <c r="G319" s="951">
        <v>712.5</v>
      </c>
      <c r="H319" s="951">
        <v>652.75</v>
      </c>
      <c r="I319" s="18"/>
    </row>
    <row r="320" spans="1:9">
      <c r="A320" s="943">
        <v>2</v>
      </c>
      <c r="B320" s="944">
        <v>811.39</v>
      </c>
      <c r="C320" s="944" t="s">
        <v>505</v>
      </c>
      <c r="D320" s="943" t="s">
        <v>2</v>
      </c>
      <c r="E320" s="945">
        <v>36</v>
      </c>
      <c r="F320" s="945">
        <v>2</v>
      </c>
      <c r="G320" s="946">
        <v>345</v>
      </c>
      <c r="H320" s="946">
        <v>315.63</v>
      </c>
    </row>
    <row r="321" spans="1:9" s="26" customFormat="1">
      <c r="A321" s="947">
        <v>2</v>
      </c>
      <c r="B321" s="948">
        <v>812.09</v>
      </c>
      <c r="C321" s="948" t="s">
        <v>506</v>
      </c>
      <c r="D321" s="947" t="s">
        <v>2</v>
      </c>
      <c r="E321" s="950">
        <v>336</v>
      </c>
      <c r="F321" s="950">
        <v>1</v>
      </c>
      <c r="G321" s="951">
        <v>1650</v>
      </c>
      <c r="H321" s="951">
        <v>1512.5</v>
      </c>
      <c r="I321" s="18"/>
    </row>
    <row r="322" spans="1:9">
      <c r="A322" s="943">
        <v>2</v>
      </c>
      <c r="B322" s="944">
        <v>812.1</v>
      </c>
      <c r="C322" s="944" t="s">
        <v>507</v>
      </c>
      <c r="D322" s="943" t="s">
        <v>2</v>
      </c>
      <c r="E322" s="945">
        <v>33</v>
      </c>
      <c r="F322" s="945">
        <v>1</v>
      </c>
      <c r="G322" s="946">
        <v>2550</v>
      </c>
      <c r="H322" s="946">
        <v>2366.67</v>
      </c>
    </row>
    <row r="323" spans="1:9" s="26" customFormat="1">
      <c r="A323" s="947">
        <v>2</v>
      </c>
      <c r="B323" s="948">
        <v>812.13</v>
      </c>
      <c r="C323" s="948" t="s">
        <v>508</v>
      </c>
      <c r="D323" s="947" t="s">
        <v>2</v>
      </c>
      <c r="E323" s="950">
        <v>76</v>
      </c>
      <c r="F323" s="950">
        <v>1</v>
      </c>
      <c r="G323" s="951">
        <v>4200</v>
      </c>
      <c r="H323" s="951">
        <v>3925</v>
      </c>
      <c r="I323" s="18"/>
    </row>
    <row r="324" spans="1:9">
      <c r="A324" s="943">
        <v>2</v>
      </c>
      <c r="B324" s="944">
        <v>813.3</v>
      </c>
      <c r="C324" s="944" t="s">
        <v>511</v>
      </c>
      <c r="D324" s="943" t="s">
        <v>17</v>
      </c>
      <c r="E324" s="952">
        <v>15600</v>
      </c>
      <c r="F324" s="945">
        <v>2</v>
      </c>
      <c r="G324" s="946">
        <v>2.16</v>
      </c>
      <c r="H324" s="946">
        <v>2.16</v>
      </c>
    </row>
    <row r="325" spans="1:9" s="26" customFormat="1">
      <c r="A325" s="947">
        <v>2</v>
      </c>
      <c r="B325" s="948">
        <v>813.31</v>
      </c>
      <c r="C325" s="948" t="s">
        <v>512</v>
      </c>
      <c r="D325" s="947" t="s">
        <v>17</v>
      </c>
      <c r="E325" s="949">
        <v>4200</v>
      </c>
      <c r="F325" s="950">
        <v>1</v>
      </c>
      <c r="G325" s="951">
        <v>3</v>
      </c>
      <c r="H325" s="951">
        <v>2.82</v>
      </c>
      <c r="I325" s="18"/>
    </row>
    <row r="326" spans="1:9">
      <c r="A326" s="943">
        <v>2</v>
      </c>
      <c r="B326" s="944">
        <v>813.32</v>
      </c>
      <c r="C326" s="944" t="s">
        <v>513</v>
      </c>
      <c r="D326" s="943" t="s">
        <v>17</v>
      </c>
      <c r="E326" s="952">
        <v>36500</v>
      </c>
      <c r="F326" s="945">
        <v>1</v>
      </c>
      <c r="G326" s="946">
        <v>2.8</v>
      </c>
      <c r="H326" s="946">
        <v>2.75</v>
      </c>
    </row>
    <row r="327" spans="1:9" s="26" customFormat="1">
      <c r="A327" s="947">
        <v>2</v>
      </c>
      <c r="B327" s="948">
        <v>813.71</v>
      </c>
      <c r="C327" s="948" t="s">
        <v>3136</v>
      </c>
      <c r="D327" s="947" t="s">
        <v>2</v>
      </c>
      <c r="E327" s="950">
        <v>27</v>
      </c>
      <c r="F327" s="950">
        <v>1</v>
      </c>
      <c r="G327" s="951">
        <v>137.5</v>
      </c>
      <c r="H327" s="951">
        <v>131.66999999999999</v>
      </c>
      <c r="I327" s="18"/>
    </row>
    <row r="328" spans="1:9">
      <c r="A328" s="943">
        <v>2</v>
      </c>
      <c r="B328" s="944">
        <v>813.8</v>
      </c>
      <c r="C328" s="944" t="s">
        <v>1445</v>
      </c>
      <c r="D328" s="943" t="s">
        <v>22</v>
      </c>
      <c r="E328" s="945">
        <v>8</v>
      </c>
      <c r="F328" s="945">
        <v>2</v>
      </c>
      <c r="G328" s="946">
        <v>5000</v>
      </c>
      <c r="H328" s="946">
        <v>5150</v>
      </c>
    </row>
    <row r="329" spans="1:9" s="26" customFormat="1">
      <c r="A329" s="947">
        <v>2</v>
      </c>
      <c r="B329" s="948">
        <v>813.81</v>
      </c>
      <c r="C329" s="948" t="s">
        <v>525</v>
      </c>
      <c r="D329" s="947" t="s">
        <v>22</v>
      </c>
      <c r="E329" s="950">
        <v>5</v>
      </c>
      <c r="F329" s="950">
        <v>1</v>
      </c>
      <c r="G329" s="951">
        <v>6750</v>
      </c>
      <c r="H329" s="951">
        <v>6300</v>
      </c>
      <c r="I329" s="18"/>
    </row>
    <row r="330" spans="1:9">
      <c r="A330" s="943">
        <v>2</v>
      </c>
      <c r="B330" s="944">
        <v>815.1</v>
      </c>
      <c r="C330" s="944" t="s">
        <v>526</v>
      </c>
      <c r="D330" s="943" t="s">
        <v>22</v>
      </c>
      <c r="E330" s="945">
        <v>12</v>
      </c>
      <c r="F330" s="945">
        <v>2</v>
      </c>
      <c r="G330" s="946">
        <v>300000</v>
      </c>
      <c r="H330" s="946">
        <v>280166.67</v>
      </c>
    </row>
    <row r="331" spans="1:9" s="26" customFormat="1">
      <c r="A331" s="947">
        <v>2</v>
      </c>
      <c r="B331" s="948">
        <v>816.01</v>
      </c>
      <c r="C331" s="948" t="s">
        <v>531</v>
      </c>
      <c r="D331" s="947" t="s">
        <v>22</v>
      </c>
      <c r="E331" s="950">
        <v>9</v>
      </c>
      <c r="F331" s="950">
        <v>3</v>
      </c>
      <c r="G331" s="951">
        <v>285000</v>
      </c>
      <c r="H331" s="951">
        <v>281974.44</v>
      </c>
      <c r="I331" s="18"/>
    </row>
    <row r="332" spans="1:9">
      <c r="A332" s="943">
        <v>2</v>
      </c>
      <c r="B332" s="944">
        <v>816.02</v>
      </c>
      <c r="C332" s="944" t="s">
        <v>532</v>
      </c>
      <c r="D332" s="943" t="s">
        <v>22</v>
      </c>
      <c r="E332" s="945">
        <v>13</v>
      </c>
      <c r="F332" s="945">
        <v>3</v>
      </c>
      <c r="G332" s="946">
        <v>300000</v>
      </c>
      <c r="H332" s="946">
        <v>298153.84999999998</v>
      </c>
    </row>
    <row r="333" spans="1:9" s="26" customFormat="1">
      <c r="A333" s="947">
        <v>2</v>
      </c>
      <c r="B333" s="948">
        <v>816.03</v>
      </c>
      <c r="C333" s="948" t="s">
        <v>533</v>
      </c>
      <c r="D333" s="947" t="s">
        <v>22</v>
      </c>
      <c r="E333" s="950">
        <v>8</v>
      </c>
      <c r="F333" s="950">
        <v>2</v>
      </c>
      <c r="G333" s="951">
        <v>287000</v>
      </c>
      <c r="H333" s="951">
        <v>289875</v>
      </c>
      <c r="I333" s="18"/>
    </row>
    <row r="334" spans="1:9">
      <c r="A334" s="943">
        <v>2</v>
      </c>
      <c r="B334" s="944">
        <v>816.8</v>
      </c>
      <c r="C334" s="944" t="s">
        <v>534</v>
      </c>
      <c r="D334" s="943" t="s">
        <v>22</v>
      </c>
      <c r="E334" s="945">
        <v>10</v>
      </c>
      <c r="F334" s="945">
        <v>2</v>
      </c>
      <c r="G334" s="946">
        <v>12000</v>
      </c>
      <c r="H334" s="946">
        <v>12050</v>
      </c>
    </row>
    <row r="335" spans="1:9" s="26" customFormat="1">
      <c r="A335" s="947">
        <v>2</v>
      </c>
      <c r="B335" s="948">
        <v>816.81</v>
      </c>
      <c r="C335" s="948" t="s">
        <v>535</v>
      </c>
      <c r="D335" s="947" t="s">
        <v>22</v>
      </c>
      <c r="E335" s="950">
        <v>4</v>
      </c>
      <c r="F335" s="950">
        <v>1</v>
      </c>
      <c r="G335" s="951">
        <v>169500</v>
      </c>
      <c r="H335" s="951">
        <v>172250</v>
      </c>
      <c r="I335" s="18"/>
    </row>
    <row r="336" spans="1:9">
      <c r="A336" s="943">
        <v>2</v>
      </c>
      <c r="B336" s="944">
        <v>816.9</v>
      </c>
      <c r="C336" s="944" t="s">
        <v>536</v>
      </c>
      <c r="D336" s="943" t="s">
        <v>22</v>
      </c>
      <c r="E336" s="945">
        <v>5</v>
      </c>
      <c r="F336" s="945">
        <v>1</v>
      </c>
      <c r="G336" s="946">
        <v>9000</v>
      </c>
      <c r="H336" s="946">
        <v>8400</v>
      </c>
    </row>
    <row r="337" spans="1:9" s="26" customFormat="1">
      <c r="A337" s="947">
        <v>2</v>
      </c>
      <c r="B337" s="948">
        <v>819.83100000000002</v>
      </c>
      <c r="C337" s="948" t="s">
        <v>540</v>
      </c>
      <c r="D337" s="947" t="s">
        <v>17</v>
      </c>
      <c r="E337" s="949">
        <v>4500</v>
      </c>
      <c r="F337" s="950">
        <v>1</v>
      </c>
      <c r="G337" s="951">
        <v>15.4</v>
      </c>
      <c r="H337" s="951">
        <v>14.87</v>
      </c>
      <c r="I337" s="18"/>
    </row>
    <row r="338" spans="1:9">
      <c r="A338" s="943">
        <v>2</v>
      </c>
      <c r="B338" s="944">
        <v>820.1</v>
      </c>
      <c r="C338" s="944" t="s">
        <v>541</v>
      </c>
      <c r="D338" s="943" t="s">
        <v>22</v>
      </c>
      <c r="E338" s="945">
        <v>8</v>
      </c>
      <c r="F338" s="945">
        <v>1</v>
      </c>
      <c r="G338" s="946">
        <v>290000</v>
      </c>
      <c r="H338" s="946">
        <v>276875</v>
      </c>
    </row>
    <row r="339" spans="1:9" s="26" customFormat="1">
      <c r="A339" s="947">
        <v>2</v>
      </c>
      <c r="B339" s="948">
        <v>821.11</v>
      </c>
      <c r="C339" s="948" t="s">
        <v>3221</v>
      </c>
      <c r="D339" s="947" t="s">
        <v>2</v>
      </c>
      <c r="E339" s="950">
        <v>95</v>
      </c>
      <c r="F339" s="950">
        <v>1</v>
      </c>
      <c r="G339" s="951">
        <v>6000</v>
      </c>
      <c r="H339" s="951">
        <v>6230</v>
      </c>
      <c r="I339" s="18"/>
    </row>
    <row r="340" spans="1:9">
      <c r="A340" s="943">
        <v>2</v>
      </c>
      <c r="B340" s="944">
        <v>823.61</v>
      </c>
      <c r="C340" s="944" t="s">
        <v>545</v>
      </c>
      <c r="D340" s="943" t="s">
        <v>22</v>
      </c>
      <c r="E340" s="945">
        <v>4</v>
      </c>
      <c r="F340" s="945">
        <v>1</v>
      </c>
      <c r="G340" s="946">
        <v>25000</v>
      </c>
      <c r="H340" s="946">
        <v>26500</v>
      </c>
    </row>
    <row r="341" spans="1:9" s="26" customFormat="1">
      <c r="A341" s="947">
        <v>2</v>
      </c>
      <c r="B341" s="948">
        <v>823.7</v>
      </c>
      <c r="C341" s="948" t="s">
        <v>547</v>
      </c>
      <c r="D341" s="947" t="s">
        <v>2</v>
      </c>
      <c r="E341" s="950">
        <v>10</v>
      </c>
      <c r="F341" s="950">
        <v>2</v>
      </c>
      <c r="G341" s="951">
        <v>2500</v>
      </c>
      <c r="H341" s="951">
        <v>2300</v>
      </c>
      <c r="I341" s="18"/>
    </row>
    <row r="342" spans="1:9">
      <c r="A342" s="943">
        <v>2</v>
      </c>
      <c r="B342" s="944">
        <v>824.4</v>
      </c>
      <c r="C342" s="944" t="s">
        <v>3290</v>
      </c>
      <c r="D342" s="943" t="s">
        <v>22</v>
      </c>
      <c r="E342" s="945">
        <v>4</v>
      </c>
      <c r="F342" s="945">
        <v>1</v>
      </c>
      <c r="G342" s="946">
        <v>9825</v>
      </c>
      <c r="H342" s="946">
        <v>8912.5</v>
      </c>
    </row>
    <row r="343" spans="1:9" s="26" customFormat="1">
      <c r="A343" s="947">
        <v>2</v>
      </c>
      <c r="B343" s="948">
        <v>824.51</v>
      </c>
      <c r="C343" s="948" t="s">
        <v>550</v>
      </c>
      <c r="D343" s="947" t="s">
        <v>22</v>
      </c>
      <c r="E343" s="950">
        <v>4</v>
      </c>
      <c r="F343" s="950">
        <v>1</v>
      </c>
      <c r="G343" s="951">
        <v>4550</v>
      </c>
      <c r="H343" s="951">
        <v>4900</v>
      </c>
      <c r="I343" s="18"/>
    </row>
    <row r="344" spans="1:9">
      <c r="A344" s="943">
        <v>2</v>
      </c>
      <c r="B344" s="944">
        <v>827.21</v>
      </c>
      <c r="C344" s="944" t="s">
        <v>551</v>
      </c>
      <c r="D344" s="943" t="s">
        <v>2</v>
      </c>
      <c r="E344" s="945">
        <v>10</v>
      </c>
      <c r="F344" s="945">
        <v>1</v>
      </c>
      <c r="G344" s="946">
        <v>255</v>
      </c>
      <c r="H344" s="946">
        <v>255</v>
      </c>
    </row>
    <row r="345" spans="1:9" s="26" customFormat="1">
      <c r="A345" s="947">
        <v>2</v>
      </c>
      <c r="B345" s="948">
        <v>828.01</v>
      </c>
      <c r="C345" s="948" t="s">
        <v>1521</v>
      </c>
      <c r="D345" s="947" t="s">
        <v>3</v>
      </c>
      <c r="E345" s="950">
        <v>940</v>
      </c>
      <c r="F345" s="950">
        <v>2</v>
      </c>
      <c r="G345" s="951">
        <v>25</v>
      </c>
      <c r="H345" s="951">
        <v>24</v>
      </c>
      <c r="I345" s="18"/>
    </row>
    <row r="346" spans="1:9">
      <c r="A346" s="943">
        <v>2</v>
      </c>
      <c r="B346" s="944">
        <v>828.1</v>
      </c>
      <c r="C346" s="944" t="s">
        <v>553</v>
      </c>
      <c r="D346" s="943" t="s">
        <v>3</v>
      </c>
      <c r="E346" s="945">
        <v>400</v>
      </c>
      <c r="F346" s="945">
        <v>1</v>
      </c>
      <c r="G346" s="946">
        <v>30</v>
      </c>
      <c r="H346" s="946">
        <v>30</v>
      </c>
    </row>
    <row r="347" spans="1:9" s="26" customFormat="1">
      <c r="A347" s="947">
        <v>2</v>
      </c>
      <c r="B347" s="948">
        <v>829</v>
      </c>
      <c r="C347" s="948" t="s">
        <v>554</v>
      </c>
      <c r="D347" s="947" t="s">
        <v>3</v>
      </c>
      <c r="E347" s="949">
        <v>2220</v>
      </c>
      <c r="F347" s="950">
        <v>2</v>
      </c>
      <c r="G347" s="951">
        <v>30</v>
      </c>
      <c r="H347" s="951">
        <v>36</v>
      </c>
      <c r="I347" s="18"/>
    </row>
    <row r="348" spans="1:9">
      <c r="A348" s="943">
        <v>2</v>
      </c>
      <c r="B348" s="944">
        <v>831</v>
      </c>
      <c r="C348" s="944" t="s">
        <v>555</v>
      </c>
      <c r="D348" s="943" t="s">
        <v>3</v>
      </c>
      <c r="E348" s="952">
        <v>2780</v>
      </c>
      <c r="F348" s="945">
        <v>5</v>
      </c>
      <c r="G348" s="946">
        <v>39.799999999999997</v>
      </c>
      <c r="H348" s="946">
        <v>38.479999999999997</v>
      </c>
    </row>
    <row r="349" spans="1:9" s="26" customFormat="1">
      <c r="A349" s="947">
        <v>2</v>
      </c>
      <c r="B349" s="948">
        <v>832</v>
      </c>
      <c r="C349" s="948" t="s">
        <v>556</v>
      </c>
      <c r="D349" s="947" t="s">
        <v>3</v>
      </c>
      <c r="E349" s="954">
        <v>21753.75</v>
      </c>
      <c r="F349" s="950">
        <v>14</v>
      </c>
      <c r="G349" s="951">
        <v>15.2</v>
      </c>
      <c r="H349" s="951">
        <v>15.73</v>
      </c>
      <c r="I349" s="18"/>
    </row>
    <row r="350" spans="1:9">
      <c r="A350" s="943">
        <v>2</v>
      </c>
      <c r="B350" s="944">
        <v>833.5</v>
      </c>
      <c r="C350" s="944" t="s">
        <v>557</v>
      </c>
      <c r="D350" s="943" t="s">
        <v>2</v>
      </c>
      <c r="E350" s="952">
        <v>4320</v>
      </c>
      <c r="F350" s="945">
        <v>2</v>
      </c>
      <c r="G350" s="946">
        <v>11</v>
      </c>
      <c r="H350" s="946">
        <v>12.48</v>
      </c>
    </row>
    <row r="351" spans="1:9" s="26" customFormat="1">
      <c r="A351" s="947">
        <v>2</v>
      </c>
      <c r="B351" s="948">
        <v>833.7</v>
      </c>
      <c r="C351" s="948" t="s">
        <v>558</v>
      </c>
      <c r="D351" s="947" t="s">
        <v>2</v>
      </c>
      <c r="E351" s="950">
        <v>406</v>
      </c>
      <c r="F351" s="950">
        <v>5</v>
      </c>
      <c r="G351" s="951">
        <v>95</v>
      </c>
      <c r="H351" s="951">
        <v>92.93</v>
      </c>
      <c r="I351" s="18"/>
    </row>
    <row r="352" spans="1:9">
      <c r="A352" s="943">
        <v>2</v>
      </c>
      <c r="B352" s="944">
        <v>834</v>
      </c>
      <c r="C352" s="944" t="s">
        <v>559</v>
      </c>
      <c r="D352" s="943" t="s">
        <v>2</v>
      </c>
      <c r="E352" s="945">
        <v>80</v>
      </c>
      <c r="F352" s="945">
        <v>2</v>
      </c>
      <c r="G352" s="946">
        <v>235</v>
      </c>
      <c r="H352" s="946">
        <v>219.91</v>
      </c>
    </row>
    <row r="353" spans="1:9" s="26" customFormat="1">
      <c r="A353" s="947">
        <v>2</v>
      </c>
      <c r="B353" s="948">
        <v>834.17</v>
      </c>
      <c r="C353" s="948" t="s">
        <v>560</v>
      </c>
      <c r="D353" s="947" t="s">
        <v>2</v>
      </c>
      <c r="E353" s="950">
        <v>108</v>
      </c>
      <c r="F353" s="950">
        <v>2</v>
      </c>
      <c r="G353" s="951">
        <v>92.5</v>
      </c>
      <c r="H353" s="951">
        <v>100</v>
      </c>
      <c r="I353" s="18"/>
    </row>
    <row r="354" spans="1:9">
      <c r="A354" s="943">
        <v>2</v>
      </c>
      <c r="B354" s="944">
        <v>834.18</v>
      </c>
      <c r="C354" s="944" t="s">
        <v>561</v>
      </c>
      <c r="D354" s="943" t="s">
        <v>2</v>
      </c>
      <c r="E354" s="945">
        <v>104</v>
      </c>
      <c r="F354" s="945">
        <v>2</v>
      </c>
      <c r="G354" s="946">
        <v>92.5</v>
      </c>
      <c r="H354" s="946">
        <v>83.33</v>
      </c>
    </row>
    <row r="355" spans="1:9" s="26" customFormat="1">
      <c r="A355" s="947">
        <v>2</v>
      </c>
      <c r="B355" s="948">
        <v>836.5</v>
      </c>
      <c r="C355" s="948" t="s">
        <v>562</v>
      </c>
      <c r="D355" s="947" t="s">
        <v>2</v>
      </c>
      <c r="E355" s="950">
        <v>420</v>
      </c>
      <c r="F355" s="950">
        <v>1</v>
      </c>
      <c r="G355" s="951">
        <v>70.5</v>
      </c>
      <c r="H355" s="951">
        <v>69.989999999999995</v>
      </c>
      <c r="I355" s="18"/>
    </row>
    <row r="356" spans="1:9">
      <c r="A356" s="943">
        <v>2</v>
      </c>
      <c r="B356" s="944">
        <v>840.101</v>
      </c>
      <c r="C356" s="944" t="s">
        <v>1446</v>
      </c>
      <c r="D356" s="943" t="s">
        <v>22</v>
      </c>
      <c r="E356" s="945">
        <v>2</v>
      </c>
      <c r="F356" s="945">
        <v>1</v>
      </c>
      <c r="G356" s="946">
        <v>130000</v>
      </c>
      <c r="H356" s="946">
        <v>130000</v>
      </c>
    </row>
    <row r="357" spans="1:9" s="26" customFormat="1">
      <c r="A357" s="947">
        <v>2</v>
      </c>
      <c r="B357" s="948">
        <v>840.10199999999998</v>
      </c>
      <c r="C357" s="948" t="s">
        <v>563</v>
      </c>
      <c r="D357" s="947" t="s">
        <v>22</v>
      </c>
      <c r="E357" s="950">
        <v>2</v>
      </c>
      <c r="F357" s="950">
        <v>1</v>
      </c>
      <c r="G357" s="951">
        <v>130000</v>
      </c>
      <c r="H357" s="951">
        <v>130000</v>
      </c>
      <c r="I357" s="18"/>
    </row>
    <row r="358" spans="1:9">
      <c r="A358" s="943">
        <v>2</v>
      </c>
      <c r="B358" s="944">
        <v>841.1</v>
      </c>
      <c r="C358" s="944" t="s">
        <v>566</v>
      </c>
      <c r="D358" s="943" t="s">
        <v>2</v>
      </c>
      <c r="E358" s="945">
        <v>124</v>
      </c>
      <c r="F358" s="945">
        <v>5</v>
      </c>
      <c r="G358" s="946">
        <v>3000</v>
      </c>
      <c r="H358" s="946">
        <v>2940.23</v>
      </c>
    </row>
    <row r="359" spans="1:9" s="26" customFormat="1">
      <c r="A359" s="947">
        <v>2</v>
      </c>
      <c r="B359" s="948">
        <v>841.2</v>
      </c>
      <c r="C359" s="948" t="s">
        <v>567</v>
      </c>
      <c r="D359" s="947" t="s">
        <v>2</v>
      </c>
      <c r="E359" s="950">
        <v>38</v>
      </c>
      <c r="F359" s="950">
        <v>2</v>
      </c>
      <c r="G359" s="951">
        <v>2875</v>
      </c>
      <c r="H359" s="951">
        <v>2554.17</v>
      </c>
      <c r="I359" s="18"/>
    </row>
    <row r="360" spans="1:9">
      <c r="A360" s="943">
        <v>2</v>
      </c>
      <c r="B360" s="944">
        <v>841.6</v>
      </c>
      <c r="C360" s="944" t="s">
        <v>569</v>
      </c>
      <c r="D360" s="943" t="s">
        <v>2</v>
      </c>
      <c r="E360" s="945">
        <v>10</v>
      </c>
      <c r="F360" s="945">
        <v>1</v>
      </c>
      <c r="G360" s="946">
        <v>1650</v>
      </c>
      <c r="H360" s="946">
        <v>1650</v>
      </c>
    </row>
    <row r="361" spans="1:9" s="26" customFormat="1">
      <c r="A361" s="947">
        <v>2</v>
      </c>
      <c r="B361" s="948">
        <v>844.101</v>
      </c>
      <c r="C361" s="948" t="s">
        <v>572</v>
      </c>
      <c r="D361" s="947" t="s">
        <v>22</v>
      </c>
      <c r="E361" s="950">
        <v>2</v>
      </c>
      <c r="F361" s="950">
        <v>1</v>
      </c>
      <c r="G361" s="951">
        <v>8700</v>
      </c>
      <c r="H361" s="951">
        <v>8700</v>
      </c>
      <c r="I361" s="18"/>
    </row>
    <row r="362" spans="1:9">
      <c r="A362" s="943">
        <v>2</v>
      </c>
      <c r="B362" s="944">
        <v>844.10199999999998</v>
      </c>
      <c r="C362" s="944" t="s">
        <v>573</v>
      </c>
      <c r="D362" s="943" t="s">
        <v>22</v>
      </c>
      <c r="E362" s="945">
        <v>2</v>
      </c>
      <c r="F362" s="945">
        <v>1</v>
      </c>
      <c r="G362" s="946">
        <v>8700</v>
      </c>
      <c r="H362" s="946">
        <v>8700</v>
      </c>
    </row>
    <row r="363" spans="1:9" s="26" customFormat="1">
      <c r="A363" s="947">
        <v>2</v>
      </c>
      <c r="B363" s="948">
        <v>844.10299999999995</v>
      </c>
      <c r="C363" s="948" t="s">
        <v>574</v>
      </c>
      <c r="D363" s="947" t="s">
        <v>22</v>
      </c>
      <c r="E363" s="950">
        <v>2</v>
      </c>
      <c r="F363" s="950">
        <v>1</v>
      </c>
      <c r="G363" s="951">
        <v>8700</v>
      </c>
      <c r="H363" s="951">
        <v>8700</v>
      </c>
      <c r="I363" s="18"/>
    </row>
    <row r="364" spans="1:9">
      <c r="A364" s="943">
        <v>2</v>
      </c>
      <c r="B364" s="944">
        <v>846.1</v>
      </c>
      <c r="C364" s="944" t="s">
        <v>577</v>
      </c>
      <c r="D364" s="943" t="s">
        <v>2</v>
      </c>
      <c r="E364" s="945">
        <v>4</v>
      </c>
      <c r="F364" s="945">
        <v>1</v>
      </c>
      <c r="G364" s="946">
        <v>4850</v>
      </c>
      <c r="H364" s="946">
        <v>4850</v>
      </c>
    </row>
    <row r="365" spans="1:9" s="26" customFormat="1">
      <c r="A365" s="947">
        <v>2</v>
      </c>
      <c r="B365" s="948">
        <v>847.1</v>
      </c>
      <c r="C365" s="948" t="s">
        <v>578</v>
      </c>
      <c r="D365" s="947" t="s">
        <v>2</v>
      </c>
      <c r="E365" s="949">
        <v>3050</v>
      </c>
      <c r="F365" s="950">
        <v>14</v>
      </c>
      <c r="G365" s="951">
        <v>250</v>
      </c>
      <c r="H365" s="951">
        <v>250.09</v>
      </c>
      <c r="I365" s="18"/>
    </row>
    <row r="366" spans="1:9">
      <c r="A366" s="943">
        <v>2</v>
      </c>
      <c r="B366" s="944">
        <v>848.1</v>
      </c>
      <c r="C366" s="944" t="s">
        <v>579</v>
      </c>
      <c r="D366" s="943" t="s">
        <v>2</v>
      </c>
      <c r="E366" s="945">
        <v>326</v>
      </c>
      <c r="F366" s="945">
        <v>8</v>
      </c>
      <c r="G366" s="946">
        <v>445</v>
      </c>
      <c r="H366" s="946">
        <v>448.42</v>
      </c>
    </row>
    <row r="367" spans="1:9" s="26" customFormat="1">
      <c r="A367" s="947">
        <v>2</v>
      </c>
      <c r="B367" s="948">
        <v>850.41</v>
      </c>
      <c r="C367" s="948" t="s">
        <v>580</v>
      </c>
      <c r="D367" s="947" t="s">
        <v>24</v>
      </c>
      <c r="E367" s="949">
        <v>26694</v>
      </c>
      <c r="F367" s="950">
        <v>11</v>
      </c>
      <c r="G367" s="951">
        <v>70</v>
      </c>
      <c r="H367" s="951">
        <v>73.430000000000007</v>
      </c>
      <c r="I367" s="18"/>
    </row>
    <row r="368" spans="1:9">
      <c r="A368" s="943">
        <v>2</v>
      </c>
      <c r="B368" s="944">
        <v>851.1</v>
      </c>
      <c r="C368" s="944" t="s">
        <v>581</v>
      </c>
      <c r="D368" s="943" t="s">
        <v>42</v>
      </c>
      <c r="E368" s="952">
        <v>10920</v>
      </c>
      <c r="F368" s="945">
        <v>14</v>
      </c>
      <c r="G368" s="946">
        <v>150</v>
      </c>
      <c r="H368" s="946">
        <v>508.59</v>
      </c>
    </row>
    <row r="369" spans="1:9" s="26" customFormat="1">
      <c r="A369" s="947">
        <v>2</v>
      </c>
      <c r="B369" s="948">
        <v>852</v>
      </c>
      <c r="C369" s="948" t="s">
        <v>49</v>
      </c>
      <c r="D369" s="947" t="s">
        <v>3</v>
      </c>
      <c r="E369" s="949">
        <v>72193</v>
      </c>
      <c r="F369" s="950">
        <v>25</v>
      </c>
      <c r="G369" s="951">
        <v>25</v>
      </c>
      <c r="H369" s="951">
        <v>25.73</v>
      </c>
      <c r="I369" s="18"/>
    </row>
    <row r="370" spans="1:9">
      <c r="A370" s="943">
        <v>2</v>
      </c>
      <c r="B370" s="944">
        <v>853.1</v>
      </c>
      <c r="C370" s="944" t="s">
        <v>582</v>
      </c>
      <c r="D370" s="943" t="s">
        <v>2</v>
      </c>
      <c r="E370" s="945">
        <v>555</v>
      </c>
      <c r="F370" s="945">
        <v>14</v>
      </c>
      <c r="G370" s="946">
        <v>200</v>
      </c>
      <c r="H370" s="946">
        <v>194.3</v>
      </c>
    </row>
    <row r="371" spans="1:9" s="26" customFormat="1">
      <c r="A371" s="947">
        <v>2</v>
      </c>
      <c r="B371" s="948">
        <v>853.2</v>
      </c>
      <c r="C371" s="948" t="s">
        <v>1453</v>
      </c>
      <c r="D371" s="947" t="s">
        <v>17</v>
      </c>
      <c r="E371" s="949">
        <v>2000</v>
      </c>
      <c r="F371" s="950">
        <v>4</v>
      </c>
      <c r="G371" s="951">
        <v>75</v>
      </c>
      <c r="H371" s="951">
        <v>72</v>
      </c>
      <c r="I371" s="18"/>
    </row>
    <row r="372" spans="1:9">
      <c r="A372" s="943">
        <v>2</v>
      </c>
      <c r="B372" s="944">
        <v>853.21</v>
      </c>
      <c r="C372" s="944" t="s">
        <v>583</v>
      </c>
      <c r="D372" s="943" t="s">
        <v>17</v>
      </c>
      <c r="E372" s="952">
        <v>38730</v>
      </c>
      <c r="F372" s="945">
        <v>10</v>
      </c>
      <c r="G372" s="946">
        <v>20</v>
      </c>
      <c r="H372" s="946">
        <v>18.59</v>
      </c>
    </row>
    <row r="373" spans="1:9" s="26" customFormat="1">
      <c r="A373" s="947">
        <v>2</v>
      </c>
      <c r="B373" s="948">
        <v>853.23</v>
      </c>
      <c r="C373" s="948" t="s">
        <v>584</v>
      </c>
      <c r="D373" s="947" t="s">
        <v>17</v>
      </c>
      <c r="E373" s="949">
        <v>20772</v>
      </c>
      <c r="F373" s="950">
        <v>4</v>
      </c>
      <c r="G373" s="951">
        <v>70</v>
      </c>
      <c r="H373" s="951">
        <v>64.56</v>
      </c>
      <c r="I373" s="18"/>
    </row>
    <row r="374" spans="1:9">
      <c r="A374" s="943">
        <v>2</v>
      </c>
      <c r="B374" s="944">
        <v>853.33</v>
      </c>
      <c r="C374" s="944" t="s">
        <v>587</v>
      </c>
      <c r="D374" s="943" t="s">
        <v>17</v>
      </c>
      <c r="E374" s="952">
        <v>28920</v>
      </c>
      <c r="F374" s="945">
        <v>5</v>
      </c>
      <c r="G374" s="946">
        <v>95</v>
      </c>
      <c r="H374" s="946">
        <v>121.66</v>
      </c>
    </row>
    <row r="375" spans="1:9" s="26" customFormat="1">
      <c r="A375" s="947">
        <v>2</v>
      </c>
      <c r="B375" s="948">
        <v>853.40300000000002</v>
      </c>
      <c r="C375" s="948" t="s">
        <v>588</v>
      </c>
      <c r="D375" s="947" t="s">
        <v>42</v>
      </c>
      <c r="E375" s="949">
        <v>10576</v>
      </c>
      <c r="F375" s="950">
        <v>17</v>
      </c>
      <c r="G375" s="951">
        <v>185</v>
      </c>
      <c r="H375" s="951">
        <v>161.85</v>
      </c>
      <c r="I375" s="18"/>
    </row>
    <row r="376" spans="1:9">
      <c r="A376" s="943">
        <v>2</v>
      </c>
      <c r="B376" s="944">
        <v>853.8</v>
      </c>
      <c r="C376" s="944" t="s">
        <v>589</v>
      </c>
      <c r="D376" s="943" t="s">
        <v>42</v>
      </c>
      <c r="E376" s="952">
        <v>3550</v>
      </c>
      <c r="F376" s="945">
        <v>9</v>
      </c>
      <c r="G376" s="946">
        <v>105</v>
      </c>
      <c r="H376" s="946">
        <v>116.24</v>
      </c>
    </row>
    <row r="377" spans="1:9" s="26" customFormat="1">
      <c r="A377" s="947">
        <v>2</v>
      </c>
      <c r="B377" s="948">
        <v>854.01599999999996</v>
      </c>
      <c r="C377" s="948" t="s">
        <v>591</v>
      </c>
      <c r="D377" s="947" t="s">
        <v>17</v>
      </c>
      <c r="E377" s="949">
        <v>3493758</v>
      </c>
      <c r="F377" s="950">
        <v>11</v>
      </c>
      <c r="G377" s="951">
        <v>0.42</v>
      </c>
      <c r="H377" s="951">
        <v>0.45</v>
      </c>
      <c r="I377" s="18"/>
    </row>
    <row r="378" spans="1:9">
      <c r="A378" s="943">
        <v>2</v>
      </c>
      <c r="B378" s="944">
        <v>854.03599999999994</v>
      </c>
      <c r="C378" s="944" t="s">
        <v>592</v>
      </c>
      <c r="D378" s="943" t="s">
        <v>17</v>
      </c>
      <c r="E378" s="952">
        <v>372350</v>
      </c>
      <c r="F378" s="945">
        <v>17</v>
      </c>
      <c r="G378" s="946">
        <v>3</v>
      </c>
      <c r="H378" s="946">
        <v>2.63</v>
      </c>
    </row>
    <row r="379" spans="1:9" s="26" customFormat="1">
      <c r="A379" s="947">
        <v>2</v>
      </c>
      <c r="B379" s="948">
        <v>854.1</v>
      </c>
      <c r="C379" s="948" t="s">
        <v>593</v>
      </c>
      <c r="D379" s="947" t="s">
        <v>3</v>
      </c>
      <c r="E379" s="949">
        <v>104578</v>
      </c>
      <c r="F379" s="950">
        <v>12</v>
      </c>
      <c r="G379" s="951">
        <v>2.73</v>
      </c>
      <c r="H379" s="951">
        <v>2.5299999999999998</v>
      </c>
      <c r="I379" s="18"/>
    </row>
    <row r="380" spans="1:9">
      <c r="A380" s="943">
        <v>2</v>
      </c>
      <c r="B380" s="944">
        <v>854.6</v>
      </c>
      <c r="C380" s="944" t="s">
        <v>1454</v>
      </c>
      <c r="D380" s="943" t="s">
        <v>42</v>
      </c>
      <c r="E380" s="952">
        <v>5040</v>
      </c>
      <c r="F380" s="945">
        <v>10</v>
      </c>
      <c r="G380" s="946">
        <v>25</v>
      </c>
      <c r="H380" s="946">
        <v>23.75</v>
      </c>
    </row>
    <row r="381" spans="1:9" s="26" customFormat="1">
      <c r="A381" s="947">
        <v>2</v>
      </c>
      <c r="B381" s="948">
        <v>856</v>
      </c>
      <c r="C381" s="948" t="s">
        <v>595</v>
      </c>
      <c r="D381" s="947" t="s">
        <v>42</v>
      </c>
      <c r="E381" s="949">
        <v>20460</v>
      </c>
      <c r="F381" s="950">
        <v>20</v>
      </c>
      <c r="G381" s="951">
        <v>12</v>
      </c>
      <c r="H381" s="951">
        <v>10.68</v>
      </c>
      <c r="I381" s="18"/>
    </row>
    <row r="382" spans="1:9">
      <c r="A382" s="943">
        <v>2</v>
      </c>
      <c r="B382" s="944">
        <v>856.12</v>
      </c>
      <c r="C382" s="944" t="s">
        <v>596</v>
      </c>
      <c r="D382" s="943" t="s">
        <v>42</v>
      </c>
      <c r="E382" s="952">
        <v>58074</v>
      </c>
      <c r="F382" s="945">
        <v>24</v>
      </c>
      <c r="G382" s="946">
        <v>25</v>
      </c>
      <c r="H382" s="946">
        <v>25.09</v>
      </c>
    </row>
    <row r="383" spans="1:9" s="26" customFormat="1">
      <c r="A383" s="947">
        <v>2</v>
      </c>
      <c r="B383" s="948">
        <v>859</v>
      </c>
      <c r="C383" s="948" t="s">
        <v>28</v>
      </c>
      <c r="D383" s="947" t="s">
        <v>42</v>
      </c>
      <c r="E383" s="949">
        <v>1304116</v>
      </c>
      <c r="F383" s="950">
        <v>20</v>
      </c>
      <c r="G383" s="951">
        <v>0.35</v>
      </c>
      <c r="H383" s="951">
        <v>0.3</v>
      </c>
      <c r="I383" s="18"/>
    </row>
    <row r="384" spans="1:9">
      <c r="A384" s="943">
        <v>2</v>
      </c>
      <c r="B384" s="944">
        <v>859.1</v>
      </c>
      <c r="C384" s="944" t="s">
        <v>1455</v>
      </c>
      <c r="D384" s="943" t="s">
        <v>42</v>
      </c>
      <c r="E384" s="952">
        <v>45935</v>
      </c>
      <c r="F384" s="945">
        <v>17</v>
      </c>
      <c r="G384" s="946">
        <v>4.75</v>
      </c>
      <c r="H384" s="946">
        <v>4.6399999999999997</v>
      </c>
    </row>
    <row r="385" spans="1:9" s="26" customFormat="1">
      <c r="A385" s="947">
        <v>2</v>
      </c>
      <c r="B385" s="948">
        <v>860.10599999999999</v>
      </c>
      <c r="C385" s="948" t="s">
        <v>597</v>
      </c>
      <c r="D385" s="947" t="s">
        <v>17</v>
      </c>
      <c r="E385" s="949">
        <v>1203700</v>
      </c>
      <c r="F385" s="950">
        <v>2</v>
      </c>
      <c r="G385" s="951">
        <v>0.5</v>
      </c>
      <c r="H385" s="951">
        <v>1.49</v>
      </c>
      <c r="I385" s="18"/>
    </row>
    <row r="386" spans="1:9">
      <c r="A386" s="943">
        <v>2</v>
      </c>
      <c r="B386" s="944">
        <v>860.11199999999997</v>
      </c>
      <c r="C386" s="944" t="s">
        <v>598</v>
      </c>
      <c r="D386" s="943" t="s">
        <v>17</v>
      </c>
      <c r="E386" s="952">
        <v>3272</v>
      </c>
      <c r="F386" s="945">
        <v>2</v>
      </c>
      <c r="G386" s="946">
        <v>4</v>
      </c>
      <c r="H386" s="946">
        <v>6.99</v>
      </c>
    </row>
    <row r="387" spans="1:9" s="26" customFormat="1">
      <c r="A387" s="947">
        <v>2</v>
      </c>
      <c r="B387" s="948">
        <v>861.10599999999999</v>
      </c>
      <c r="C387" s="948" t="s">
        <v>599</v>
      </c>
      <c r="D387" s="947" t="s">
        <v>17</v>
      </c>
      <c r="E387" s="949">
        <v>1003700</v>
      </c>
      <c r="F387" s="950">
        <v>2</v>
      </c>
      <c r="G387" s="951">
        <v>0.5</v>
      </c>
      <c r="H387" s="951">
        <v>1.49</v>
      </c>
      <c r="I387" s="18"/>
    </row>
    <row r="388" spans="1:9">
      <c r="A388" s="943">
        <v>2</v>
      </c>
      <c r="B388" s="944">
        <v>864</v>
      </c>
      <c r="C388" s="944" t="s">
        <v>601</v>
      </c>
      <c r="D388" s="943" t="s">
        <v>3</v>
      </c>
      <c r="E388" s="945">
        <v>660</v>
      </c>
      <c r="F388" s="945">
        <v>1</v>
      </c>
      <c r="G388" s="946">
        <v>3.28</v>
      </c>
      <c r="H388" s="946">
        <v>3.2</v>
      </c>
    </row>
    <row r="389" spans="1:9" s="26" customFormat="1">
      <c r="A389" s="947">
        <v>2</v>
      </c>
      <c r="B389" s="948">
        <v>864.02</v>
      </c>
      <c r="C389" s="948" t="s">
        <v>603</v>
      </c>
      <c r="D389" s="947" t="s">
        <v>3</v>
      </c>
      <c r="E389" s="949">
        <v>3302</v>
      </c>
      <c r="F389" s="950">
        <v>4</v>
      </c>
      <c r="G389" s="951">
        <v>63</v>
      </c>
      <c r="H389" s="951">
        <v>63.73</v>
      </c>
      <c r="I389" s="18"/>
    </row>
    <row r="390" spans="1:9">
      <c r="A390" s="943">
        <v>2</v>
      </c>
      <c r="B390" s="944">
        <v>864.04</v>
      </c>
      <c r="C390" s="944" t="s">
        <v>1456</v>
      </c>
      <c r="D390" s="943" t="s">
        <v>3</v>
      </c>
      <c r="E390" s="952">
        <v>42417</v>
      </c>
      <c r="F390" s="945">
        <v>10</v>
      </c>
      <c r="G390" s="946">
        <v>13.5</v>
      </c>
      <c r="H390" s="946">
        <v>12.23</v>
      </c>
    </row>
    <row r="391" spans="1:9" s="26" customFormat="1">
      <c r="A391" s="947">
        <v>2</v>
      </c>
      <c r="B391" s="948">
        <v>864.31</v>
      </c>
      <c r="C391" s="948" t="s">
        <v>605</v>
      </c>
      <c r="D391" s="947" t="s">
        <v>2</v>
      </c>
      <c r="E391" s="949">
        <v>4864</v>
      </c>
      <c r="F391" s="950">
        <v>2</v>
      </c>
      <c r="G391" s="951">
        <v>34</v>
      </c>
      <c r="H391" s="951">
        <v>32.78</v>
      </c>
      <c r="I391" s="18"/>
    </row>
    <row r="392" spans="1:9">
      <c r="A392" s="943">
        <v>2</v>
      </c>
      <c r="B392" s="944">
        <v>864.32</v>
      </c>
      <c r="C392" s="944" t="s">
        <v>606</v>
      </c>
      <c r="D392" s="943" t="s">
        <v>2</v>
      </c>
      <c r="E392" s="945">
        <v>450</v>
      </c>
      <c r="F392" s="945">
        <v>1</v>
      </c>
      <c r="G392" s="946">
        <v>31</v>
      </c>
      <c r="H392" s="946">
        <v>31.33</v>
      </c>
    </row>
    <row r="393" spans="1:9" s="26" customFormat="1">
      <c r="A393" s="947">
        <v>2</v>
      </c>
      <c r="B393" s="948">
        <v>864.33</v>
      </c>
      <c r="C393" s="948" t="s">
        <v>607</v>
      </c>
      <c r="D393" s="947" t="s">
        <v>2</v>
      </c>
      <c r="E393" s="949">
        <v>1742</v>
      </c>
      <c r="F393" s="950">
        <v>2</v>
      </c>
      <c r="G393" s="951">
        <v>34</v>
      </c>
      <c r="H393" s="951">
        <v>33.229999999999997</v>
      </c>
      <c r="I393" s="18"/>
    </row>
    <row r="394" spans="1:9">
      <c r="A394" s="943">
        <v>2</v>
      </c>
      <c r="B394" s="944">
        <v>864.34</v>
      </c>
      <c r="C394" s="944" t="s">
        <v>608</v>
      </c>
      <c r="D394" s="943" t="s">
        <v>2</v>
      </c>
      <c r="E394" s="952">
        <v>2124</v>
      </c>
      <c r="F394" s="945">
        <v>3</v>
      </c>
      <c r="G394" s="946">
        <v>36.21</v>
      </c>
      <c r="H394" s="946">
        <v>166.54</v>
      </c>
    </row>
    <row r="395" spans="1:9" s="26" customFormat="1">
      <c r="A395" s="947">
        <v>2</v>
      </c>
      <c r="B395" s="948">
        <v>866.10599999999999</v>
      </c>
      <c r="C395" s="948" t="s">
        <v>25</v>
      </c>
      <c r="D395" s="947" t="s">
        <v>17</v>
      </c>
      <c r="E395" s="949">
        <v>61360</v>
      </c>
      <c r="F395" s="950">
        <v>4</v>
      </c>
      <c r="G395" s="951">
        <v>1.53</v>
      </c>
      <c r="H395" s="951">
        <v>1.45</v>
      </c>
      <c r="I395" s="18"/>
    </row>
    <row r="396" spans="1:9">
      <c r="A396" s="943">
        <v>2</v>
      </c>
      <c r="B396" s="944">
        <v>866.11199999999997</v>
      </c>
      <c r="C396" s="944" t="s">
        <v>610</v>
      </c>
      <c r="D396" s="943" t="s">
        <v>17</v>
      </c>
      <c r="E396" s="952">
        <v>53624</v>
      </c>
      <c r="F396" s="945">
        <v>5</v>
      </c>
      <c r="G396" s="946">
        <v>6.46</v>
      </c>
      <c r="H396" s="946">
        <v>6.42</v>
      </c>
    </row>
    <row r="397" spans="1:9" s="26" customFormat="1">
      <c r="A397" s="947">
        <v>2</v>
      </c>
      <c r="B397" s="948">
        <v>866.20600000000002</v>
      </c>
      <c r="C397" s="948" t="s">
        <v>611</v>
      </c>
      <c r="D397" s="947" t="s">
        <v>17</v>
      </c>
      <c r="E397" s="949">
        <v>96350</v>
      </c>
      <c r="F397" s="950">
        <v>8</v>
      </c>
      <c r="G397" s="951">
        <v>5</v>
      </c>
      <c r="H397" s="951">
        <v>4.4400000000000004</v>
      </c>
      <c r="I397" s="18"/>
    </row>
    <row r="398" spans="1:9">
      <c r="A398" s="943">
        <v>2</v>
      </c>
      <c r="B398" s="944">
        <v>866.21199999999999</v>
      </c>
      <c r="C398" s="944" t="s">
        <v>612</v>
      </c>
      <c r="D398" s="943" t="s">
        <v>17</v>
      </c>
      <c r="E398" s="952">
        <v>12600</v>
      </c>
      <c r="F398" s="945">
        <v>2</v>
      </c>
      <c r="G398" s="946">
        <v>12</v>
      </c>
      <c r="H398" s="946">
        <v>10.32</v>
      </c>
    </row>
    <row r="399" spans="1:9" s="26" customFormat="1">
      <c r="A399" s="947">
        <v>2</v>
      </c>
      <c r="B399" s="948">
        <v>867.10599999999999</v>
      </c>
      <c r="C399" s="948" t="s">
        <v>613</v>
      </c>
      <c r="D399" s="947" t="s">
        <v>17</v>
      </c>
      <c r="E399" s="949">
        <v>62215</v>
      </c>
      <c r="F399" s="950">
        <v>4</v>
      </c>
      <c r="G399" s="951">
        <v>1.53</v>
      </c>
      <c r="H399" s="951">
        <v>1.45</v>
      </c>
      <c r="I399" s="18"/>
    </row>
    <row r="400" spans="1:9">
      <c r="A400" s="943">
        <v>2</v>
      </c>
      <c r="B400" s="944">
        <v>867.11199999999997</v>
      </c>
      <c r="C400" s="944" t="s">
        <v>50</v>
      </c>
      <c r="D400" s="943" t="s">
        <v>17</v>
      </c>
      <c r="E400" s="952">
        <v>4800</v>
      </c>
      <c r="F400" s="945">
        <v>2</v>
      </c>
      <c r="G400" s="946">
        <v>5.68</v>
      </c>
      <c r="H400" s="946">
        <v>5.4</v>
      </c>
    </row>
    <row r="401" spans="1:9" s="26" customFormat="1">
      <c r="A401" s="947">
        <v>2</v>
      </c>
      <c r="B401" s="948">
        <v>867.20600000000002</v>
      </c>
      <c r="C401" s="948" t="s">
        <v>614</v>
      </c>
      <c r="D401" s="947" t="s">
        <v>17</v>
      </c>
      <c r="E401" s="949">
        <v>73274</v>
      </c>
      <c r="F401" s="950">
        <v>8</v>
      </c>
      <c r="G401" s="951">
        <v>5</v>
      </c>
      <c r="H401" s="951">
        <v>4.3</v>
      </c>
      <c r="I401" s="18"/>
    </row>
    <row r="402" spans="1:9">
      <c r="A402" s="943">
        <v>2</v>
      </c>
      <c r="B402" s="944">
        <v>867.21199999999999</v>
      </c>
      <c r="C402" s="944" t="s">
        <v>1523</v>
      </c>
      <c r="D402" s="943" t="s">
        <v>17</v>
      </c>
      <c r="E402" s="952">
        <v>2580</v>
      </c>
      <c r="F402" s="945">
        <v>2</v>
      </c>
      <c r="G402" s="946">
        <v>11</v>
      </c>
      <c r="H402" s="946">
        <v>9.77</v>
      </c>
    </row>
    <row r="403" spans="1:9" s="26" customFormat="1">
      <c r="A403" s="947">
        <v>2</v>
      </c>
      <c r="B403" s="948">
        <v>874</v>
      </c>
      <c r="C403" s="948" t="s">
        <v>23</v>
      </c>
      <c r="D403" s="947" t="s">
        <v>2</v>
      </c>
      <c r="E403" s="950">
        <v>551</v>
      </c>
      <c r="F403" s="950">
        <v>7</v>
      </c>
      <c r="G403" s="951">
        <v>110</v>
      </c>
      <c r="H403" s="951">
        <v>106.09</v>
      </c>
      <c r="I403" s="18"/>
    </row>
    <row r="404" spans="1:9">
      <c r="A404" s="943">
        <v>2</v>
      </c>
      <c r="B404" s="944">
        <v>874.1</v>
      </c>
      <c r="C404" s="944" t="s">
        <v>617</v>
      </c>
      <c r="D404" s="943" t="s">
        <v>2</v>
      </c>
      <c r="E404" s="945">
        <v>16</v>
      </c>
      <c r="F404" s="945">
        <v>1</v>
      </c>
      <c r="G404" s="946">
        <v>225</v>
      </c>
      <c r="H404" s="946">
        <v>225</v>
      </c>
    </row>
    <row r="405" spans="1:9" s="26" customFormat="1">
      <c r="A405" s="947">
        <v>2</v>
      </c>
      <c r="B405" s="948">
        <v>874.2</v>
      </c>
      <c r="C405" s="948" t="s">
        <v>618</v>
      </c>
      <c r="D405" s="947" t="s">
        <v>2</v>
      </c>
      <c r="E405" s="950">
        <v>295</v>
      </c>
      <c r="F405" s="950">
        <v>7</v>
      </c>
      <c r="G405" s="951">
        <v>200</v>
      </c>
      <c r="H405" s="951">
        <v>183.95</v>
      </c>
      <c r="I405" s="18"/>
    </row>
    <row r="406" spans="1:9">
      <c r="A406" s="943">
        <v>2</v>
      </c>
      <c r="B406" s="944">
        <v>874.4</v>
      </c>
      <c r="C406" s="944" t="s">
        <v>620</v>
      </c>
      <c r="D406" s="943" t="s">
        <v>2</v>
      </c>
      <c r="E406" s="945">
        <v>732</v>
      </c>
      <c r="F406" s="945">
        <v>5</v>
      </c>
      <c r="G406" s="946">
        <v>40</v>
      </c>
      <c r="H406" s="946">
        <v>38.659999999999997</v>
      </c>
    </row>
    <row r="407" spans="1:9" s="26" customFormat="1">
      <c r="A407" s="947">
        <v>2</v>
      </c>
      <c r="B407" s="948">
        <v>874.7</v>
      </c>
      <c r="C407" s="948" t="s">
        <v>46</v>
      </c>
      <c r="D407" s="947" t="s">
        <v>2</v>
      </c>
      <c r="E407" s="950">
        <v>3</v>
      </c>
      <c r="F407" s="950">
        <v>2</v>
      </c>
      <c r="G407" s="951">
        <v>125</v>
      </c>
      <c r="H407" s="951">
        <v>125</v>
      </c>
      <c r="I407" s="18"/>
    </row>
    <row r="408" spans="1:9">
      <c r="A408" s="943">
        <v>2</v>
      </c>
      <c r="B408" s="944">
        <v>877</v>
      </c>
      <c r="C408" s="944" t="s">
        <v>621</v>
      </c>
      <c r="D408" s="943" t="s">
        <v>2</v>
      </c>
      <c r="E408" s="945">
        <v>20</v>
      </c>
      <c r="F408" s="945">
        <v>1</v>
      </c>
      <c r="G408" s="946">
        <v>97.5</v>
      </c>
      <c r="H408" s="946">
        <v>97.5</v>
      </c>
    </row>
    <row r="409" spans="1:9" s="26" customFormat="1">
      <c r="A409" s="947">
        <v>2</v>
      </c>
      <c r="B409" s="948">
        <v>877.1</v>
      </c>
      <c r="C409" s="948" t="s">
        <v>622</v>
      </c>
      <c r="D409" s="947" t="s">
        <v>2</v>
      </c>
      <c r="E409" s="950">
        <v>265</v>
      </c>
      <c r="F409" s="950">
        <v>4</v>
      </c>
      <c r="G409" s="951">
        <v>40</v>
      </c>
      <c r="H409" s="951">
        <v>38.1</v>
      </c>
      <c r="I409" s="18"/>
    </row>
    <row r="410" spans="1:9">
      <c r="A410" s="943">
        <v>2</v>
      </c>
      <c r="B410" s="944">
        <v>877.2</v>
      </c>
      <c r="C410" s="944" t="s">
        <v>623</v>
      </c>
      <c r="D410" s="943" t="s">
        <v>2</v>
      </c>
      <c r="E410" s="945">
        <v>10</v>
      </c>
      <c r="F410" s="945">
        <v>1</v>
      </c>
      <c r="G410" s="946">
        <v>65</v>
      </c>
      <c r="H410" s="946">
        <v>65</v>
      </c>
    </row>
    <row r="411" spans="1:9" s="26" customFormat="1">
      <c r="A411" s="947">
        <v>2</v>
      </c>
      <c r="B411" s="948">
        <v>901</v>
      </c>
      <c r="C411" s="948" t="s">
        <v>624</v>
      </c>
      <c r="D411" s="947" t="s">
        <v>4</v>
      </c>
      <c r="E411" s="950">
        <v>2</v>
      </c>
      <c r="F411" s="950">
        <v>1</v>
      </c>
      <c r="G411" s="951">
        <v>1750</v>
      </c>
      <c r="H411" s="951">
        <v>1750</v>
      </c>
      <c r="I411" s="18"/>
    </row>
    <row r="412" spans="1:9">
      <c r="A412" s="943">
        <v>2</v>
      </c>
      <c r="B412" s="944">
        <v>903</v>
      </c>
      <c r="C412" s="944" t="s">
        <v>626</v>
      </c>
      <c r="D412" s="943" t="s">
        <v>4</v>
      </c>
      <c r="E412" s="945">
        <v>390</v>
      </c>
      <c r="F412" s="945">
        <v>4</v>
      </c>
      <c r="G412" s="946">
        <v>350</v>
      </c>
      <c r="H412" s="946">
        <v>363.57</v>
      </c>
    </row>
    <row r="413" spans="1:9" s="26" customFormat="1">
      <c r="A413" s="947">
        <v>2</v>
      </c>
      <c r="B413" s="948">
        <v>904</v>
      </c>
      <c r="C413" s="948" t="s">
        <v>627</v>
      </c>
      <c r="D413" s="947" t="s">
        <v>4</v>
      </c>
      <c r="E413" s="950">
        <v>36</v>
      </c>
      <c r="F413" s="950">
        <v>2</v>
      </c>
      <c r="G413" s="951">
        <v>1207.5</v>
      </c>
      <c r="H413" s="951">
        <v>1172.17</v>
      </c>
      <c r="I413" s="18"/>
    </row>
    <row r="414" spans="1:9">
      <c r="A414" s="943">
        <v>2</v>
      </c>
      <c r="B414" s="944">
        <v>904.3</v>
      </c>
      <c r="C414" s="944" t="s">
        <v>628</v>
      </c>
      <c r="D414" s="943" t="s">
        <v>4</v>
      </c>
      <c r="E414" s="945">
        <v>45</v>
      </c>
      <c r="F414" s="945">
        <v>1</v>
      </c>
      <c r="G414" s="946">
        <v>4162.5</v>
      </c>
      <c r="H414" s="946">
        <v>4085</v>
      </c>
    </row>
    <row r="415" spans="1:9" s="26" customFormat="1">
      <c r="A415" s="947">
        <v>2</v>
      </c>
      <c r="B415" s="948">
        <v>904.4</v>
      </c>
      <c r="C415" s="948" t="s">
        <v>629</v>
      </c>
      <c r="D415" s="947" t="s">
        <v>4</v>
      </c>
      <c r="E415" s="950">
        <v>45</v>
      </c>
      <c r="F415" s="950">
        <v>1</v>
      </c>
      <c r="G415" s="951">
        <v>3977.5</v>
      </c>
      <c r="H415" s="951">
        <v>3905</v>
      </c>
      <c r="I415" s="18"/>
    </row>
    <row r="416" spans="1:9">
      <c r="A416" s="943">
        <v>2</v>
      </c>
      <c r="B416" s="944">
        <v>905</v>
      </c>
      <c r="C416" s="944" t="s">
        <v>630</v>
      </c>
      <c r="D416" s="943" t="s">
        <v>4</v>
      </c>
      <c r="E416" s="945">
        <v>811</v>
      </c>
      <c r="F416" s="945">
        <v>6</v>
      </c>
      <c r="G416" s="946">
        <v>4755</v>
      </c>
      <c r="H416" s="946">
        <v>4972.6499999999996</v>
      </c>
    </row>
    <row r="417" spans="1:9" s="26" customFormat="1">
      <c r="A417" s="947">
        <v>2</v>
      </c>
      <c r="B417" s="948">
        <v>905.2</v>
      </c>
      <c r="C417" s="948" t="s">
        <v>631</v>
      </c>
      <c r="D417" s="947" t="s">
        <v>4</v>
      </c>
      <c r="E417" s="950">
        <v>828</v>
      </c>
      <c r="F417" s="950">
        <v>2</v>
      </c>
      <c r="G417" s="951">
        <v>4134.5</v>
      </c>
      <c r="H417" s="951">
        <v>3505.96</v>
      </c>
      <c r="I417" s="18"/>
    </row>
    <row r="418" spans="1:9">
      <c r="A418" s="943">
        <v>2</v>
      </c>
      <c r="B418" s="944">
        <v>909.2</v>
      </c>
      <c r="C418" s="944" t="s">
        <v>635</v>
      </c>
      <c r="D418" s="943" t="s">
        <v>3</v>
      </c>
      <c r="E418" s="952">
        <v>6200</v>
      </c>
      <c r="F418" s="945">
        <v>5</v>
      </c>
      <c r="G418" s="946">
        <v>72.5</v>
      </c>
      <c r="H418" s="946">
        <v>96.11</v>
      </c>
    </row>
    <row r="419" spans="1:9" s="26" customFormat="1">
      <c r="A419" s="947">
        <v>2</v>
      </c>
      <c r="B419" s="948">
        <v>910</v>
      </c>
      <c r="C419" s="948" t="s">
        <v>636</v>
      </c>
      <c r="D419" s="947" t="s">
        <v>100</v>
      </c>
      <c r="E419" s="949">
        <v>1000</v>
      </c>
      <c r="F419" s="950">
        <v>1</v>
      </c>
      <c r="G419" s="951">
        <v>3.45</v>
      </c>
      <c r="H419" s="951">
        <v>3.45</v>
      </c>
      <c r="I419" s="18"/>
    </row>
    <row r="420" spans="1:9">
      <c r="A420" s="943">
        <v>2</v>
      </c>
      <c r="B420" s="944">
        <v>910.1</v>
      </c>
      <c r="C420" s="944" t="s">
        <v>637</v>
      </c>
      <c r="D420" s="943" t="s">
        <v>100</v>
      </c>
      <c r="E420" s="952">
        <v>83610</v>
      </c>
      <c r="F420" s="945">
        <v>12</v>
      </c>
      <c r="G420" s="946">
        <v>5</v>
      </c>
      <c r="H420" s="946">
        <v>4.96</v>
      </c>
    </row>
    <row r="421" spans="1:9" s="26" customFormat="1">
      <c r="A421" s="947">
        <v>2</v>
      </c>
      <c r="B421" s="948">
        <v>910.4</v>
      </c>
      <c r="C421" s="948" t="s">
        <v>639</v>
      </c>
      <c r="D421" s="947" t="s">
        <v>2</v>
      </c>
      <c r="E421" s="950">
        <v>150</v>
      </c>
      <c r="F421" s="950">
        <v>1</v>
      </c>
      <c r="G421" s="951">
        <v>60</v>
      </c>
      <c r="H421" s="951">
        <v>65</v>
      </c>
      <c r="I421" s="18"/>
    </row>
    <row r="422" spans="1:9">
      <c r="A422" s="943">
        <v>2</v>
      </c>
      <c r="B422" s="944">
        <v>912</v>
      </c>
      <c r="C422" s="944" t="s">
        <v>641</v>
      </c>
      <c r="D422" s="943" t="s">
        <v>2</v>
      </c>
      <c r="E422" s="945">
        <v>470</v>
      </c>
      <c r="F422" s="945">
        <v>4</v>
      </c>
      <c r="G422" s="946">
        <v>67.5</v>
      </c>
      <c r="H422" s="946">
        <v>70.5</v>
      </c>
    </row>
    <row r="423" spans="1:9" s="26" customFormat="1">
      <c r="A423" s="947">
        <v>2</v>
      </c>
      <c r="B423" s="948">
        <v>912.1</v>
      </c>
      <c r="C423" s="948" t="s">
        <v>641</v>
      </c>
      <c r="D423" s="947" t="s">
        <v>17</v>
      </c>
      <c r="E423" s="950">
        <v>480</v>
      </c>
      <c r="F423" s="950">
        <v>2</v>
      </c>
      <c r="G423" s="951">
        <v>107.34</v>
      </c>
      <c r="H423" s="951">
        <v>110.78</v>
      </c>
      <c r="I423" s="18"/>
    </row>
    <row r="424" spans="1:9">
      <c r="A424" s="943">
        <v>2</v>
      </c>
      <c r="B424" s="944">
        <v>961.20100000000002</v>
      </c>
      <c r="C424" s="944" t="s">
        <v>660</v>
      </c>
      <c r="D424" s="943" t="s">
        <v>22</v>
      </c>
      <c r="E424" s="945">
        <v>9</v>
      </c>
      <c r="F424" s="945">
        <v>3</v>
      </c>
      <c r="G424" s="946">
        <v>637000</v>
      </c>
      <c r="H424" s="946">
        <v>628388.89</v>
      </c>
    </row>
    <row r="425" spans="1:9" s="26" customFormat="1">
      <c r="A425" s="947">
        <v>2</v>
      </c>
      <c r="B425" s="948">
        <v>961.202</v>
      </c>
      <c r="C425" s="948" t="s">
        <v>660</v>
      </c>
      <c r="D425" s="947" t="s">
        <v>22</v>
      </c>
      <c r="E425" s="950">
        <v>9</v>
      </c>
      <c r="F425" s="950">
        <v>3</v>
      </c>
      <c r="G425" s="951">
        <v>535000</v>
      </c>
      <c r="H425" s="951">
        <v>535916.22</v>
      </c>
      <c r="I425" s="18"/>
    </row>
    <row r="426" spans="1:9">
      <c r="A426" s="943">
        <v>2</v>
      </c>
      <c r="B426" s="944">
        <v>961.20299999999997</v>
      </c>
      <c r="C426" s="944" t="s">
        <v>661</v>
      </c>
      <c r="D426" s="943" t="s">
        <v>22</v>
      </c>
      <c r="E426" s="945">
        <v>8</v>
      </c>
      <c r="F426" s="945">
        <v>3</v>
      </c>
      <c r="G426" s="946">
        <v>650005</v>
      </c>
      <c r="H426" s="946">
        <v>625243.75</v>
      </c>
    </row>
    <row r="427" spans="1:9" s="26" customFormat="1">
      <c r="A427" s="947">
        <v>2</v>
      </c>
      <c r="B427" s="948">
        <v>961.20399999999995</v>
      </c>
      <c r="C427" s="948" t="s">
        <v>660</v>
      </c>
      <c r="D427" s="947" t="s">
        <v>22</v>
      </c>
      <c r="E427" s="950">
        <v>7</v>
      </c>
      <c r="F427" s="950">
        <v>2</v>
      </c>
      <c r="G427" s="951">
        <v>550000</v>
      </c>
      <c r="H427" s="951">
        <v>600694.29</v>
      </c>
      <c r="I427" s="18"/>
    </row>
    <row r="428" spans="1:9">
      <c r="A428" s="943">
        <v>2</v>
      </c>
      <c r="B428" s="944">
        <v>961.20500000000004</v>
      </c>
      <c r="C428" s="944" t="s">
        <v>662</v>
      </c>
      <c r="D428" s="943" t="s">
        <v>22</v>
      </c>
      <c r="E428" s="945">
        <v>7</v>
      </c>
      <c r="F428" s="945">
        <v>2</v>
      </c>
      <c r="G428" s="946">
        <v>570000</v>
      </c>
      <c r="H428" s="946">
        <v>615461.43000000005</v>
      </c>
    </row>
    <row r="429" spans="1:9" s="26" customFormat="1">
      <c r="A429" s="947">
        <v>2</v>
      </c>
      <c r="B429" s="948">
        <v>961.20600000000002</v>
      </c>
      <c r="C429" s="948" t="s">
        <v>662</v>
      </c>
      <c r="D429" s="947" t="s">
        <v>22</v>
      </c>
      <c r="E429" s="950">
        <v>3</v>
      </c>
      <c r="F429" s="950">
        <v>1</v>
      </c>
      <c r="G429" s="951">
        <v>470000</v>
      </c>
      <c r="H429" s="951">
        <v>414140</v>
      </c>
      <c r="I429" s="18"/>
    </row>
    <row r="430" spans="1:9">
      <c r="A430" s="943">
        <v>2</v>
      </c>
      <c r="B430" s="944">
        <v>961.20699999999999</v>
      </c>
      <c r="C430" s="944" t="s">
        <v>662</v>
      </c>
      <c r="D430" s="943" t="s">
        <v>22</v>
      </c>
      <c r="E430" s="945">
        <v>3</v>
      </c>
      <c r="F430" s="945">
        <v>1</v>
      </c>
      <c r="G430" s="946">
        <v>435000</v>
      </c>
      <c r="H430" s="946">
        <v>391210</v>
      </c>
    </row>
    <row r="431" spans="1:9" s="26" customFormat="1">
      <c r="A431" s="947">
        <v>2</v>
      </c>
      <c r="B431" s="948">
        <v>964.1</v>
      </c>
      <c r="C431" s="948" t="s">
        <v>663</v>
      </c>
      <c r="D431" s="947" t="s">
        <v>3</v>
      </c>
      <c r="E431" s="949">
        <v>66032</v>
      </c>
      <c r="F431" s="950">
        <v>8</v>
      </c>
      <c r="G431" s="951">
        <v>4</v>
      </c>
      <c r="H431" s="951">
        <v>4.3899999999999997</v>
      </c>
      <c r="I431" s="18"/>
    </row>
    <row r="432" spans="1:9">
      <c r="A432" s="943">
        <v>2</v>
      </c>
      <c r="B432" s="944">
        <v>964.7</v>
      </c>
      <c r="C432" s="944" t="s">
        <v>664</v>
      </c>
      <c r="D432" s="943" t="s">
        <v>3</v>
      </c>
      <c r="E432" s="952">
        <v>3000</v>
      </c>
      <c r="F432" s="945">
        <v>2</v>
      </c>
      <c r="G432" s="946">
        <v>129</v>
      </c>
      <c r="H432" s="946">
        <v>96</v>
      </c>
    </row>
    <row r="433" spans="1:9" s="26" customFormat="1">
      <c r="A433" s="947">
        <v>2</v>
      </c>
      <c r="B433" s="948">
        <v>965</v>
      </c>
      <c r="C433" s="948" t="s">
        <v>665</v>
      </c>
      <c r="D433" s="947" t="s">
        <v>3</v>
      </c>
      <c r="E433" s="949">
        <v>24600</v>
      </c>
      <c r="F433" s="950">
        <v>1</v>
      </c>
      <c r="G433" s="951">
        <v>12.23</v>
      </c>
      <c r="H433" s="951">
        <v>13.15</v>
      </c>
      <c r="I433" s="18"/>
    </row>
    <row r="434" spans="1:9">
      <c r="A434" s="943">
        <v>2</v>
      </c>
      <c r="B434" s="944">
        <v>966</v>
      </c>
      <c r="C434" s="944" t="s">
        <v>1466</v>
      </c>
      <c r="D434" s="943" t="s">
        <v>3</v>
      </c>
      <c r="E434" s="952">
        <v>11700</v>
      </c>
      <c r="F434" s="945">
        <v>2</v>
      </c>
      <c r="G434" s="946">
        <v>3.5</v>
      </c>
      <c r="H434" s="946">
        <v>4.97</v>
      </c>
    </row>
    <row r="435" spans="1:9" s="26" customFormat="1">
      <c r="A435" s="947">
        <v>2</v>
      </c>
      <c r="B435" s="948">
        <v>972</v>
      </c>
      <c r="C435" s="948" t="s">
        <v>669</v>
      </c>
      <c r="D435" s="947" t="s">
        <v>17</v>
      </c>
      <c r="E435" s="950">
        <v>620</v>
      </c>
      <c r="F435" s="950">
        <v>1</v>
      </c>
      <c r="G435" s="951">
        <v>850</v>
      </c>
      <c r="H435" s="951">
        <v>850</v>
      </c>
      <c r="I435" s="18"/>
    </row>
    <row r="436" spans="1:9">
      <c r="A436" s="943">
        <v>2</v>
      </c>
      <c r="B436" s="944">
        <v>974.1</v>
      </c>
      <c r="C436" s="944" t="s">
        <v>3586</v>
      </c>
      <c r="D436" s="943" t="s">
        <v>17</v>
      </c>
      <c r="E436" s="945">
        <v>860</v>
      </c>
      <c r="F436" s="945">
        <v>1</v>
      </c>
      <c r="G436" s="946">
        <v>432.5</v>
      </c>
      <c r="H436" s="946">
        <v>441.25</v>
      </c>
    </row>
    <row r="437" spans="1:9" s="26" customFormat="1">
      <c r="A437" s="947">
        <v>2</v>
      </c>
      <c r="B437" s="948">
        <v>983</v>
      </c>
      <c r="C437" s="948" t="s">
        <v>671</v>
      </c>
      <c r="D437" s="947" t="s">
        <v>7</v>
      </c>
      <c r="E437" s="949">
        <v>1200</v>
      </c>
      <c r="F437" s="950">
        <v>1</v>
      </c>
      <c r="G437" s="951">
        <v>100</v>
      </c>
      <c r="H437" s="951">
        <v>97.5</v>
      </c>
      <c r="I437" s="18"/>
    </row>
    <row r="438" spans="1:9">
      <c r="A438" s="943">
        <v>2</v>
      </c>
      <c r="B438" s="944">
        <v>983.11</v>
      </c>
      <c r="C438" s="944" t="s">
        <v>673</v>
      </c>
      <c r="D438" s="943" t="s">
        <v>7</v>
      </c>
      <c r="E438" s="952">
        <v>2800</v>
      </c>
      <c r="F438" s="945">
        <v>1</v>
      </c>
      <c r="G438" s="946">
        <v>103.5</v>
      </c>
      <c r="H438" s="946">
        <v>113</v>
      </c>
    </row>
    <row r="439" spans="1:9" s="26" customFormat="1">
      <c r="A439" s="947">
        <v>2</v>
      </c>
      <c r="B439" s="948">
        <v>986</v>
      </c>
      <c r="C439" s="948" t="s">
        <v>675</v>
      </c>
      <c r="D439" s="947" t="s">
        <v>7</v>
      </c>
      <c r="E439" s="949">
        <v>1830</v>
      </c>
      <c r="F439" s="950">
        <v>3</v>
      </c>
      <c r="G439" s="951">
        <v>100</v>
      </c>
      <c r="H439" s="951">
        <v>102.03</v>
      </c>
      <c r="I439" s="18"/>
    </row>
    <row r="440" spans="1:9">
      <c r="A440" s="943">
        <v>2</v>
      </c>
      <c r="B440" s="944">
        <v>987</v>
      </c>
      <c r="C440" s="944" t="s">
        <v>1433</v>
      </c>
      <c r="D440" s="943" t="s">
        <v>1</v>
      </c>
      <c r="E440" s="952">
        <v>1700</v>
      </c>
      <c r="F440" s="945">
        <v>2</v>
      </c>
      <c r="G440" s="946">
        <v>130.5</v>
      </c>
      <c r="H440" s="946">
        <v>144.43</v>
      </c>
    </row>
    <row r="441" spans="1:9" s="26" customFormat="1">
      <c r="A441" s="947">
        <v>2</v>
      </c>
      <c r="B441" s="948">
        <v>987.02</v>
      </c>
      <c r="C441" s="948" t="s">
        <v>676</v>
      </c>
      <c r="D441" s="947" t="s">
        <v>1</v>
      </c>
      <c r="E441" s="949">
        <v>1200</v>
      </c>
      <c r="F441" s="950">
        <v>1</v>
      </c>
      <c r="G441" s="951">
        <v>120</v>
      </c>
      <c r="H441" s="951">
        <v>125</v>
      </c>
      <c r="I441" s="18"/>
    </row>
    <row r="442" spans="1:9">
      <c r="A442" s="943">
        <v>2</v>
      </c>
      <c r="B442" s="944">
        <v>991.1</v>
      </c>
      <c r="C442" s="944" t="s">
        <v>678</v>
      </c>
      <c r="D442" s="943" t="s">
        <v>22</v>
      </c>
      <c r="E442" s="945">
        <v>7</v>
      </c>
      <c r="F442" s="945">
        <v>2</v>
      </c>
      <c r="G442" s="946">
        <v>150000</v>
      </c>
      <c r="H442" s="946">
        <v>135051.43</v>
      </c>
    </row>
    <row r="443" spans="1:9" s="26" customFormat="1">
      <c r="A443" s="947">
        <v>2</v>
      </c>
      <c r="B443" s="948">
        <v>991.2</v>
      </c>
      <c r="C443" s="948" t="s">
        <v>678</v>
      </c>
      <c r="D443" s="947" t="s">
        <v>22</v>
      </c>
      <c r="E443" s="950">
        <v>3</v>
      </c>
      <c r="F443" s="950">
        <v>1</v>
      </c>
      <c r="G443" s="951">
        <v>106175</v>
      </c>
      <c r="H443" s="951">
        <v>92450</v>
      </c>
      <c r="I443" s="18"/>
    </row>
    <row r="444" spans="1:9">
      <c r="A444" s="943">
        <v>2</v>
      </c>
      <c r="B444" s="944">
        <v>994.1</v>
      </c>
      <c r="C444" s="944" t="s">
        <v>683</v>
      </c>
      <c r="D444" s="943" t="s">
        <v>3</v>
      </c>
      <c r="E444" s="952">
        <v>289680</v>
      </c>
      <c r="F444" s="945">
        <v>8</v>
      </c>
      <c r="G444" s="946">
        <v>14</v>
      </c>
      <c r="H444" s="946">
        <v>13.75</v>
      </c>
    </row>
    <row r="445" spans="1:9" s="26" customFormat="1">
      <c r="A445" s="947">
        <v>2</v>
      </c>
      <c r="B445" s="948">
        <v>995.01</v>
      </c>
      <c r="C445" s="948" t="s">
        <v>685</v>
      </c>
      <c r="D445" s="947" t="s">
        <v>22</v>
      </c>
      <c r="E445" s="950">
        <v>9</v>
      </c>
      <c r="F445" s="950">
        <v>2</v>
      </c>
      <c r="G445" s="951">
        <v>685000</v>
      </c>
      <c r="H445" s="951">
        <v>667190.11</v>
      </c>
      <c r="I445" s="18"/>
    </row>
    <row r="446" spans="1:9">
      <c r="A446" s="943">
        <v>2</v>
      </c>
      <c r="B446" s="944">
        <v>995.02</v>
      </c>
      <c r="C446" s="944" t="s">
        <v>687</v>
      </c>
      <c r="D446" s="943" t="s">
        <v>22</v>
      </c>
      <c r="E446" s="945">
        <v>6</v>
      </c>
      <c r="F446" s="945">
        <v>1</v>
      </c>
      <c r="G446" s="946">
        <v>465000</v>
      </c>
      <c r="H446" s="946">
        <v>448690.67</v>
      </c>
    </row>
    <row r="447" spans="1:9" s="26" customFormat="1">
      <c r="A447" s="947">
        <v>3</v>
      </c>
      <c r="B447" s="948">
        <v>100</v>
      </c>
      <c r="C447" s="948" t="s">
        <v>51</v>
      </c>
      <c r="D447" s="947" t="s">
        <v>22</v>
      </c>
      <c r="E447" s="950">
        <v>28</v>
      </c>
      <c r="F447" s="950">
        <v>7</v>
      </c>
      <c r="G447" s="951">
        <v>28000</v>
      </c>
      <c r="H447" s="951">
        <v>23392.86</v>
      </c>
      <c r="I447" s="18"/>
    </row>
    <row r="448" spans="1:9">
      <c r="A448" s="943">
        <v>3</v>
      </c>
      <c r="B448" s="944">
        <v>100.002</v>
      </c>
      <c r="C448" s="944" t="s">
        <v>83</v>
      </c>
      <c r="D448" s="943" t="s">
        <v>24</v>
      </c>
      <c r="E448" s="945">
        <v>585</v>
      </c>
      <c r="F448" s="945">
        <v>1</v>
      </c>
      <c r="G448" s="946">
        <v>145</v>
      </c>
      <c r="H448" s="946">
        <v>155</v>
      </c>
    </row>
    <row r="449" spans="1:9" s="26" customFormat="1">
      <c r="A449" s="947">
        <v>3</v>
      </c>
      <c r="B449" s="948">
        <v>100.1</v>
      </c>
      <c r="C449" s="948" t="s">
        <v>85</v>
      </c>
      <c r="D449" s="947" t="s">
        <v>24</v>
      </c>
      <c r="E449" s="949">
        <v>58140</v>
      </c>
      <c r="F449" s="950">
        <v>11</v>
      </c>
      <c r="G449" s="951">
        <v>130</v>
      </c>
      <c r="H449" s="951">
        <v>129.71</v>
      </c>
      <c r="I449" s="18"/>
    </row>
    <row r="450" spans="1:9">
      <c r="A450" s="943">
        <v>3</v>
      </c>
      <c r="B450" s="944">
        <v>101</v>
      </c>
      <c r="C450" s="944" t="s">
        <v>54</v>
      </c>
      <c r="D450" s="943" t="s">
        <v>55</v>
      </c>
      <c r="E450" s="945">
        <v>43.1</v>
      </c>
      <c r="F450" s="945">
        <v>9</v>
      </c>
      <c r="G450" s="946">
        <v>55000</v>
      </c>
      <c r="H450" s="946">
        <v>55899.360000000001</v>
      </c>
    </row>
    <row r="451" spans="1:9" s="26" customFormat="1">
      <c r="A451" s="947">
        <v>3</v>
      </c>
      <c r="B451" s="948">
        <v>101.1</v>
      </c>
      <c r="C451" s="948" t="s">
        <v>1273</v>
      </c>
      <c r="D451" s="947" t="s">
        <v>55</v>
      </c>
      <c r="E451" s="950">
        <v>81.599999999999994</v>
      </c>
      <c r="F451" s="950">
        <v>3</v>
      </c>
      <c r="G451" s="951">
        <v>30500</v>
      </c>
      <c r="H451" s="951">
        <v>35809.089999999997</v>
      </c>
      <c r="I451" s="18"/>
    </row>
    <row r="452" spans="1:9">
      <c r="A452" s="943">
        <v>3</v>
      </c>
      <c r="B452" s="944">
        <v>102</v>
      </c>
      <c r="C452" s="944" t="s">
        <v>92</v>
      </c>
      <c r="D452" s="943" t="s">
        <v>55</v>
      </c>
      <c r="E452" s="945">
        <v>0.94</v>
      </c>
      <c r="F452" s="945">
        <v>1</v>
      </c>
      <c r="G452" s="946">
        <v>21375</v>
      </c>
      <c r="H452" s="946">
        <v>21375</v>
      </c>
    </row>
    <row r="453" spans="1:9" s="26" customFormat="1">
      <c r="A453" s="947">
        <v>3</v>
      </c>
      <c r="B453" s="948">
        <v>102.1</v>
      </c>
      <c r="C453" s="948" t="s">
        <v>93</v>
      </c>
      <c r="D453" s="947" t="s">
        <v>17</v>
      </c>
      <c r="E453" s="949">
        <v>5030</v>
      </c>
      <c r="F453" s="950">
        <v>4</v>
      </c>
      <c r="G453" s="951">
        <v>20</v>
      </c>
      <c r="H453" s="951">
        <v>18.36</v>
      </c>
      <c r="I453" s="18"/>
    </row>
    <row r="454" spans="1:9">
      <c r="A454" s="943">
        <v>3</v>
      </c>
      <c r="B454" s="944">
        <v>102.12</v>
      </c>
      <c r="C454" s="944" t="s">
        <v>93</v>
      </c>
      <c r="D454" s="943" t="s">
        <v>2</v>
      </c>
      <c r="E454" s="945">
        <v>108</v>
      </c>
      <c r="F454" s="945">
        <v>1</v>
      </c>
      <c r="G454" s="946">
        <v>557.5</v>
      </c>
      <c r="H454" s="946">
        <v>551.25</v>
      </c>
    </row>
    <row r="455" spans="1:9" s="26" customFormat="1">
      <c r="A455" s="947">
        <v>3</v>
      </c>
      <c r="B455" s="948">
        <v>102.3</v>
      </c>
      <c r="C455" s="948" t="s">
        <v>3995</v>
      </c>
      <c r="D455" s="947" t="s">
        <v>24</v>
      </c>
      <c r="E455" s="950">
        <v>264</v>
      </c>
      <c r="F455" s="950">
        <v>3</v>
      </c>
      <c r="G455" s="951">
        <v>825</v>
      </c>
      <c r="H455" s="951">
        <v>735.23</v>
      </c>
      <c r="I455" s="18"/>
    </row>
    <row r="456" spans="1:9">
      <c r="A456" s="943">
        <v>3</v>
      </c>
      <c r="B456" s="944">
        <v>102.33</v>
      </c>
      <c r="C456" s="944" t="s">
        <v>1275</v>
      </c>
      <c r="D456" s="943" t="s">
        <v>24</v>
      </c>
      <c r="E456" s="945">
        <v>284</v>
      </c>
      <c r="F456" s="945">
        <v>4</v>
      </c>
      <c r="G456" s="946">
        <v>365</v>
      </c>
      <c r="H456" s="946">
        <v>377.5</v>
      </c>
    </row>
    <row r="457" spans="1:9" s="26" customFormat="1">
      <c r="A457" s="947">
        <v>3</v>
      </c>
      <c r="B457" s="948">
        <v>102.511</v>
      </c>
      <c r="C457" s="948" t="s">
        <v>4029</v>
      </c>
      <c r="D457" s="947" t="s">
        <v>2</v>
      </c>
      <c r="E457" s="950">
        <v>480</v>
      </c>
      <c r="F457" s="950">
        <v>6</v>
      </c>
      <c r="G457" s="951">
        <v>495</v>
      </c>
      <c r="H457" s="951">
        <v>467.38</v>
      </c>
      <c r="I457" s="18"/>
    </row>
    <row r="458" spans="1:9">
      <c r="A458" s="943">
        <v>3</v>
      </c>
      <c r="B458" s="944">
        <v>102.521</v>
      </c>
      <c r="C458" s="944" t="s">
        <v>1276</v>
      </c>
      <c r="D458" s="943" t="s">
        <v>17</v>
      </c>
      <c r="E458" s="952">
        <v>15040</v>
      </c>
      <c r="F458" s="945">
        <v>7</v>
      </c>
      <c r="G458" s="946">
        <v>10</v>
      </c>
      <c r="H458" s="946">
        <v>9.76</v>
      </c>
    </row>
    <row r="459" spans="1:9" s="26" customFormat="1">
      <c r="A459" s="947">
        <v>3</v>
      </c>
      <c r="B459" s="948">
        <v>102.55</v>
      </c>
      <c r="C459" s="948" t="s">
        <v>1277</v>
      </c>
      <c r="D459" s="947" t="s">
        <v>24</v>
      </c>
      <c r="E459" s="950">
        <v>700</v>
      </c>
      <c r="F459" s="950">
        <v>4</v>
      </c>
      <c r="G459" s="951">
        <v>262.5</v>
      </c>
      <c r="H459" s="951">
        <v>250.21</v>
      </c>
      <c r="I459" s="18"/>
    </row>
    <row r="460" spans="1:9">
      <c r="A460" s="943">
        <v>3</v>
      </c>
      <c r="B460" s="944">
        <v>103</v>
      </c>
      <c r="C460" s="944" t="s">
        <v>35</v>
      </c>
      <c r="D460" s="943" t="s">
        <v>2</v>
      </c>
      <c r="E460" s="945">
        <v>351</v>
      </c>
      <c r="F460" s="945">
        <v>6</v>
      </c>
      <c r="G460" s="946">
        <v>1775</v>
      </c>
      <c r="H460" s="946">
        <v>1618.4</v>
      </c>
    </row>
    <row r="461" spans="1:9" s="26" customFormat="1">
      <c r="A461" s="947">
        <v>3</v>
      </c>
      <c r="B461" s="948">
        <v>104</v>
      </c>
      <c r="C461" s="948" t="s">
        <v>94</v>
      </c>
      <c r="D461" s="947" t="s">
        <v>2</v>
      </c>
      <c r="E461" s="950">
        <v>158</v>
      </c>
      <c r="F461" s="950">
        <v>7</v>
      </c>
      <c r="G461" s="951">
        <v>4000</v>
      </c>
      <c r="H461" s="951">
        <v>3775.42</v>
      </c>
      <c r="I461" s="18"/>
    </row>
    <row r="462" spans="1:9">
      <c r="A462" s="943">
        <v>3</v>
      </c>
      <c r="B462" s="944">
        <v>105</v>
      </c>
      <c r="C462" s="944" t="s">
        <v>95</v>
      </c>
      <c r="D462" s="943" t="s">
        <v>2</v>
      </c>
      <c r="E462" s="945">
        <v>51</v>
      </c>
      <c r="F462" s="945">
        <v>2</v>
      </c>
      <c r="G462" s="946">
        <v>750</v>
      </c>
      <c r="H462" s="946">
        <v>695</v>
      </c>
    </row>
    <row r="463" spans="1:9" s="26" customFormat="1">
      <c r="A463" s="947">
        <v>3</v>
      </c>
      <c r="B463" s="948">
        <v>106.88</v>
      </c>
      <c r="C463" s="948" t="s">
        <v>98</v>
      </c>
      <c r="D463" s="947" t="s">
        <v>2</v>
      </c>
      <c r="E463" s="950">
        <v>52</v>
      </c>
      <c r="F463" s="950">
        <v>5</v>
      </c>
      <c r="G463" s="951">
        <v>10500</v>
      </c>
      <c r="H463" s="951">
        <v>10803.08</v>
      </c>
      <c r="I463" s="18"/>
    </row>
    <row r="464" spans="1:9">
      <c r="A464" s="943">
        <v>3</v>
      </c>
      <c r="B464" s="944">
        <v>107.855</v>
      </c>
      <c r="C464" s="944" t="s">
        <v>102</v>
      </c>
      <c r="D464" s="943" t="s">
        <v>17</v>
      </c>
      <c r="E464" s="945">
        <v>360</v>
      </c>
      <c r="F464" s="945">
        <v>2</v>
      </c>
      <c r="G464" s="946">
        <v>80</v>
      </c>
      <c r="H464" s="946">
        <v>80.5</v>
      </c>
    </row>
    <row r="465" spans="1:9" s="26" customFormat="1">
      <c r="A465" s="947">
        <v>3</v>
      </c>
      <c r="B465" s="948">
        <v>107.97</v>
      </c>
      <c r="C465" s="948" t="s">
        <v>103</v>
      </c>
      <c r="D465" s="947" t="s">
        <v>100</v>
      </c>
      <c r="E465" s="949">
        <v>128800</v>
      </c>
      <c r="F465" s="950">
        <v>5</v>
      </c>
      <c r="G465" s="951">
        <v>45</v>
      </c>
      <c r="H465" s="951">
        <v>48.28</v>
      </c>
      <c r="I465" s="18"/>
    </row>
    <row r="466" spans="1:9">
      <c r="A466" s="943">
        <v>3</v>
      </c>
      <c r="B466" s="944">
        <v>112.1</v>
      </c>
      <c r="C466" s="944" t="s">
        <v>4030</v>
      </c>
      <c r="D466" s="943" t="s">
        <v>22</v>
      </c>
      <c r="E466" s="945">
        <v>6</v>
      </c>
      <c r="F466" s="945">
        <v>1</v>
      </c>
      <c r="G466" s="946">
        <v>33500</v>
      </c>
      <c r="H466" s="946">
        <v>35416.67</v>
      </c>
    </row>
    <row r="467" spans="1:9" s="26" customFormat="1">
      <c r="A467" s="947">
        <v>3</v>
      </c>
      <c r="B467" s="948">
        <v>114.1</v>
      </c>
      <c r="C467" s="948" t="s">
        <v>104</v>
      </c>
      <c r="D467" s="947" t="s">
        <v>22</v>
      </c>
      <c r="E467" s="950">
        <v>10</v>
      </c>
      <c r="F467" s="950">
        <v>2</v>
      </c>
      <c r="G467" s="951">
        <v>100000</v>
      </c>
      <c r="H467" s="951">
        <v>95500</v>
      </c>
      <c r="I467" s="18"/>
    </row>
    <row r="468" spans="1:9">
      <c r="A468" s="943">
        <v>3</v>
      </c>
      <c r="B468" s="944">
        <v>120</v>
      </c>
      <c r="C468" s="944" t="s">
        <v>107</v>
      </c>
      <c r="D468" s="943" t="s">
        <v>4</v>
      </c>
      <c r="E468" s="952">
        <v>196030</v>
      </c>
      <c r="F468" s="945">
        <v>4</v>
      </c>
      <c r="G468" s="946">
        <v>41.5</v>
      </c>
      <c r="H468" s="946">
        <v>48.48</v>
      </c>
    </row>
    <row r="469" spans="1:9" s="26" customFormat="1">
      <c r="A469" s="947">
        <v>3</v>
      </c>
      <c r="B469" s="948">
        <v>120.1</v>
      </c>
      <c r="C469" s="948" t="s">
        <v>19</v>
      </c>
      <c r="D469" s="947" t="s">
        <v>4</v>
      </c>
      <c r="E469" s="949">
        <v>170766</v>
      </c>
      <c r="F469" s="950">
        <v>15</v>
      </c>
      <c r="G469" s="951">
        <v>60</v>
      </c>
      <c r="H469" s="951">
        <v>55.54</v>
      </c>
      <c r="I469" s="18"/>
    </row>
    <row r="470" spans="1:9">
      <c r="A470" s="943">
        <v>3</v>
      </c>
      <c r="B470" s="944">
        <v>121</v>
      </c>
      <c r="C470" s="944" t="s">
        <v>108</v>
      </c>
      <c r="D470" s="943" t="s">
        <v>4</v>
      </c>
      <c r="E470" s="952">
        <v>3495</v>
      </c>
      <c r="F470" s="945">
        <v>4</v>
      </c>
      <c r="G470" s="946">
        <v>125</v>
      </c>
      <c r="H470" s="946">
        <v>115</v>
      </c>
    </row>
    <row r="471" spans="1:9" s="26" customFormat="1">
      <c r="A471" s="947">
        <v>3</v>
      </c>
      <c r="B471" s="948">
        <v>123</v>
      </c>
      <c r="C471" s="948" t="s">
        <v>109</v>
      </c>
      <c r="D471" s="947" t="s">
        <v>4</v>
      </c>
      <c r="E471" s="950">
        <v>560</v>
      </c>
      <c r="F471" s="950">
        <v>1</v>
      </c>
      <c r="G471" s="951">
        <v>82.5</v>
      </c>
      <c r="H471" s="951">
        <v>70.5</v>
      </c>
      <c r="I471" s="18"/>
    </row>
    <row r="472" spans="1:9">
      <c r="A472" s="943">
        <v>3</v>
      </c>
      <c r="B472" s="944">
        <v>127.1</v>
      </c>
      <c r="C472" s="944" t="s">
        <v>112</v>
      </c>
      <c r="D472" s="943" t="s">
        <v>4</v>
      </c>
      <c r="E472" s="945">
        <v>538</v>
      </c>
      <c r="F472" s="945">
        <v>7</v>
      </c>
      <c r="G472" s="946">
        <v>3500</v>
      </c>
      <c r="H472" s="946">
        <v>2988.8</v>
      </c>
    </row>
    <row r="473" spans="1:9" s="26" customFormat="1">
      <c r="A473" s="947">
        <v>3</v>
      </c>
      <c r="B473" s="948">
        <v>127.4</v>
      </c>
      <c r="C473" s="948" t="s">
        <v>113</v>
      </c>
      <c r="D473" s="947" t="s">
        <v>1</v>
      </c>
      <c r="E473" s="949">
        <v>5430</v>
      </c>
      <c r="F473" s="950">
        <v>6</v>
      </c>
      <c r="G473" s="951">
        <v>955</v>
      </c>
      <c r="H473" s="951">
        <v>1013.06</v>
      </c>
      <c r="I473" s="18"/>
    </row>
    <row r="474" spans="1:9">
      <c r="A474" s="943">
        <v>3</v>
      </c>
      <c r="B474" s="944">
        <v>127.41</v>
      </c>
      <c r="C474" s="944" t="s">
        <v>114</v>
      </c>
      <c r="D474" s="943" t="s">
        <v>4</v>
      </c>
      <c r="E474" s="952">
        <v>1485</v>
      </c>
      <c r="F474" s="945">
        <v>6</v>
      </c>
      <c r="G474" s="946">
        <v>3477</v>
      </c>
      <c r="H474" s="946">
        <v>3636.63</v>
      </c>
    </row>
    <row r="475" spans="1:9" s="26" customFormat="1">
      <c r="A475" s="947">
        <v>3</v>
      </c>
      <c r="B475" s="948">
        <v>129.6</v>
      </c>
      <c r="C475" s="948" t="s">
        <v>117</v>
      </c>
      <c r="D475" s="947" t="s">
        <v>1</v>
      </c>
      <c r="E475" s="949">
        <v>33484</v>
      </c>
      <c r="F475" s="950">
        <v>7</v>
      </c>
      <c r="G475" s="951">
        <v>33.5</v>
      </c>
      <c r="H475" s="951">
        <v>33.39</v>
      </c>
      <c r="I475" s="18"/>
    </row>
    <row r="476" spans="1:9">
      <c r="A476" s="943">
        <v>3</v>
      </c>
      <c r="B476" s="944">
        <v>140</v>
      </c>
      <c r="C476" s="944" t="s">
        <v>118</v>
      </c>
      <c r="D476" s="943" t="s">
        <v>4</v>
      </c>
      <c r="E476" s="952">
        <v>7800</v>
      </c>
      <c r="F476" s="945">
        <v>2</v>
      </c>
      <c r="G476" s="946">
        <v>50</v>
      </c>
      <c r="H476" s="946">
        <v>65.83</v>
      </c>
    </row>
    <row r="477" spans="1:9" s="26" customFormat="1">
      <c r="A477" s="947">
        <v>3</v>
      </c>
      <c r="B477" s="948">
        <v>140.1</v>
      </c>
      <c r="C477" s="948" t="s">
        <v>119</v>
      </c>
      <c r="D477" s="947" t="s">
        <v>4</v>
      </c>
      <c r="E477" s="949">
        <v>1650</v>
      </c>
      <c r="F477" s="950">
        <v>1</v>
      </c>
      <c r="G477" s="951">
        <v>77.5</v>
      </c>
      <c r="H477" s="951">
        <v>73.5</v>
      </c>
      <c r="I477" s="18"/>
    </row>
    <row r="478" spans="1:9">
      <c r="A478" s="943">
        <v>3</v>
      </c>
      <c r="B478" s="944">
        <v>141</v>
      </c>
      <c r="C478" s="944" t="s">
        <v>120</v>
      </c>
      <c r="D478" s="943" t="s">
        <v>4</v>
      </c>
      <c r="E478" s="952">
        <v>24000</v>
      </c>
      <c r="F478" s="945">
        <v>4</v>
      </c>
      <c r="G478" s="946">
        <v>49.5</v>
      </c>
      <c r="H478" s="946">
        <v>47.79</v>
      </c>
    </row>
    <row r="479" spans="1:9" s="26" customFormat="1">
      <c r="A479" s="947">
        <v>3</v>
      </c>
      <c r="B479" s="948">
        <v>141.1</v>
      </c>
      <c r="C479" s="948" t="s">
        <v>121</v>
      </c>
      <c r="D479" s="947" t="s">
        <v>4</v>
      </c>
      <c r="E479" s="949">
        <v>4980</v>
      </c>
      <c r="F479" s="950">
        <v>6</v>
      </c>
      <c r="G479" s="951">
        <v>100</v>
      </c>
      <c r="H479" s="951">
        <v>94.67</v>
      </c>
      <c r="I479" s="18"/>
    </row>
    <row r="480" spans="1:9">
      <c r="A480" s="943">
        <v>3</v>
      </c>
      <c r="B480" s="944">
        <v>142</v>
      </c>
      <c r="C480" s="944" t="s">
        <v>122</v>
      </c>
      <c r="D480" s="943" t="s">
        <v>4</v>
      </c>
      <c r="E480" s="952">
        <v>9915</v>
      </c>
      <c r="F480" s="945">
        <v>7</v>
      </c>
      <c r="G480" s="946">
        <v>30</v>
      </c>
      <c r="H480" s="946">
        <v>31.05</v>
      </c>
    </row>
    <row r="481" spans="1:9" s="26" customFormat="1">
      <c r="A481" s="947">
        <v>3</v>
      </c>
      <c r="B481" s="948">
        <v>144</v>
      </c>
      <c r="C481" s="948" t="s">
        <v>124</v>
      </c>
      <c r="D481" s="947" t="s">
        <v>4</v>
      </c>
      <c r="E481" s="949">
        <v>4470</v>
      </c>
      <c r="F481" s="950">
        <v>8</v>
      </c>
      <c r="G481" s="951">
        <v>160</v>
      </c>
      <c r="H481" s="951">
        <v>171.46</v>
      </c>
      <c r="I481" s="18"/>
    </row>
    <row r="482" spans="1:9">
      <c r="A482" s="943">
        <v>3</v>
      </c>
      <c r="B482" s="944">
        <v>145</v>
      </c>
      <c r="C482" s="944" t="s">
        <v>125</v>
      </c>
      <c r="D482" s="943" t="s">
        <v>2</v>
      </c>
      <c r="E482" s="945">
        <v>23</v>
      </c>
      <c r="F482" s="945">
        <v>3</v>
      </c>
      <c r="G482" s="946">
        <v>990</v>
      </c>
      <c r="H482" s="946">
        <v>852.31</v>
      </c>
    </row>
    <row r="483" spans="1:9" s="26" customFormat="1">
      <c r="A483" s="947">
        <v>3</v>
      </c>
      <c r="B483" s="948">
        <v>146</v>
      </c>
      <c r="C483" s="948" t="s">
        <v>126</v>
      </c>
      <c r="D483" s="947" t="s">
        <v>2</v>
      </c>
      <c r="E483" s="950">
        <v>473</v>
      </c>
      <c r="F483" s="950">
        <v>5</v>
      </c>
      <c r="G483" s="951">
        <v>800</v>
      </c>
      <c r="H483" s="951">
        <v>706.25</v>
      </c>
      <c r="I483" s="18"/>
    </row>
    <row r="484" spans="1:9">
      <c r="A484" s="943">
        <v>3</v>
      </c>
      <c r="B484" s="944">
        <v>150</v>
      </c>
      <c r="C484" s="944" t="s">
        <v>128</v>
      </c>
      <c r="D484" s="943" t="s">
        <v>4</v>
      </c>
      <c r="E484" s="952">
        <v>2085</v>
      </c>
      <c r="F484" s="945">
        <v>6</v>
      </c>
      <c r="G484" s="946">
        <v>45</v>
      </c>
      <c r="H484" s="946">
        <v>43</v>
      </c>
    </row>
    <row r="485" spans="1:9" s="26" customFormat="1">
      <c r="A485" s="947">
        <v>3</v>
      </c>
      <c r="B485" s="948">
        <v>150.1</v>
      </c>
      <c r="C485" s="948" t="s">
        <v>129</v>
      </c>
      <c r="D485" s="947" t="s">
        <v>4</v>
      </c>
      <c r="E485" s="949">
        <v>13300</v>
      </c>
      <c r="F485" s="950">
        <v>1</v>
      </c>
      <c r="G485" s="951">
        <v>42.5</v>
      </c>
      <c r="H485" s="951">
        <v>42.57</v>
      </c>
      <c r="I485" s="18"/>
    </row>
    <row r="486" spans="1:9">
      <c r="A486" s="943">
        <v>3</v>
      </c>
      <c r="B486" s="944">
        <v>151</v>
      </c>
      <c r="C486" s="944" t="s">
        <v>5</v>
      </c>
      <c r="D486" s="943" t="s">
        <v>4</v>
      </c>
      <c r="E486" s="952">
        <v>185598</v>
      </c>
      <c r="F486" s="945">
        <v>14</v>
      </c>
      <c r="G486" s="946">
        <v>51</v>
      </c>
      <c r="H486" s="946">
        <v>50.63</v>
      </c>
    </row>
    <row r="487" spans="1:9" s="26" customFormat="1">
      <c r="A487" s="947">
        <v>3</v>
      </c>
      <c r="B487" s="948">
        <v>151.01</v>
      </c>
      <c r="C487" s="948" t="s">
        <v>130</v>
      </c>
      <c r="D487" s="947" t="s">
        <v>4</v>
      </c>
      <c r="E487" s="949">
        <v>36310</v>
      </c>
      <c r="F487" s="950">
        <v>7</v>
      </c>
      <c r="G487" s="951">
        <v>57</v>
      </c>
      <c r="H487" s="951">
        <v>57.38</v>
      </c>
      <c r="I487" s="18"/>
    </row>
    <row r="488" spans="1:9">
      <c r="A488" s="943">
        <v>3</v>
      </c>
      <c r="B488" s="944">
        <v>151.1</v>
      </c>
      <c r="C488" s="944" t="s">
        <v>131</v>
      </c>
      <c r="D488" s="943" t="s">
        <v>4</v>
      </c>
      <c r="E488" s="952">
        <v>2620</v>
      </c>
      <c r="F488" s="945">
        <v>3</v>
      </c>
      <c r="G488" s="946">
        <v>66</v>
      </c>
      <c r="H488" s="946">
        <v>63</v>
      </c>
    </row>
    <row r="489" spans="1:9" s="26" customFormat="1">
      <c r="A489" s="947">
        <v>3</v>
      </c>
      <c r="B489" s="948">
        <v>151.19999999999999</v>
      </c>
      <c r="C489" s="948" t="s">
        <v>52</v>
      </c>
      <c r="D489" s="947" t="s">
        <v>4</v>
      </c>
      <c r="E489" s="949">
        <v>14800</v>
      </c>
      <c r="F489" s="950">
        <v>4</v>
      </c>
      <c r="G489" s="951">
        <v>55</v>
      </c>
      <c r="H489" s="951">
        <v>55.96</v>
      </c>
      <c r="I489" s="18"/>
    </row>
    <row r="490" spans="1:9">
      <c r="A490" s="943">
        <v>3</v>
      </c>
      <c r="B490" s="944">
        <v>153</v>
      </c>
      <c r="C490" s="944" t="s">
        <v>134</v>
      </c>
      <c r="D490" s="943" t="s">
        <v>4</v>
      </c>
      <c r="E490" s="945">
        <v>590</v>
      </c>
      <c r="F490" s="945">
        <v>2</v>
      </c>
      <c r="G490" s="946">
        <v>215</v>
      </c>
      <c r="H490" s="946">
        <v>211.36</v>
      </c>
    </row>
    <row r="491" spans="1:9" s="26" customFormat="1">
      <c r="A491" s="947">
        <v>3</v>
      </c>
      <c r="B491" s="948">
        <v>153.1</v>
      </c>
      <c r="C491" s="948" t="s">
        <v>135</v>
      </c>
      <c r="D491" s="947" t="s">
        <v>4</v>
      </c>
      <c r="E491" s="950">
        <v>6</v>
      </c>
      <c r="F491" s="950">
        <v>1</v>
      </c>
      <c r="G491" s="951">
        <v>525</v>
      </c>
      <c r="H491" s="951">
        <v>483.33</v>
      </c>
      <c r="I491" s="18"/>
    </row>
    <row r="492" spans="1:9">
      <c r="A492" s="943">
        <v>3</v>
      </c>
      <c r="B492" s="944">
        <v>156</v>
      </c>
      <c r="C492" s="944" t="s">
        <v>26</v>
      </c>
      <c r="D492" s="943" t="s">
        <v>7</v>
      </c>
      <c r="E492" s="952">
        <v>14629</v>
      </c>
      <c r="F492" s="945">
        <v>8</v>
      </c>
      <c r="G492" s="946">
        <v>55</v>
      </c>
      <c r="H492" s="946">
        <v>57.14</v>
      </c>
    </row>
    <row r="493" spans="1:9" s="26" customFormat="1">
      <c r="A493" s="947">
        <v>3</v>
      </c>
      <c r="B493" s="948">
        <v>156.1</v>
      </c>
      <c r="C493" s="948" t="s">
        <v>137</v>
      </c>
      <c r="D493" s="947" t="s">
        <v>7</v>
      </c>
      <c r="E493" s="949">
        <v>6435</v>
      </c>
      <c r="F493" s="950">
        <v>2</v>
      </c>
      <c r="G493" s="951">
        <v>56.5</v>
      </c>
      <c r="H493" s="951">
        <v>57.38</v>
      </c>
      <c r="I493" s="18"/>
    </row>
    <row r="494" spans="1:9">
      <c r="A494" s="943">
        <v>3</v>
      </c>
      <c r="B494" s="944">
        <v>156.19999999999999</v>
      </c>
      <c r="C494" s="944" t="s">
        <v>2034</v>
      </c>
      <c r="D494" s="943" t="s">
        <v>7</v>
      </c>
      <c r="E494" s="952">
        <v>7800</v>
      </c>
      <c r="F494" s="945">
        <v>2</v>
      </c>
      <c r="G494" s="946">
        <v>71</v>
      </c>
      <c r="H494" s="946">
        <v>81.88</v>
      </c>
    </row>
    <row r="495" spans="1:9" s="26" customFormat="1">
      <c r="A495" s="947">
        <v>3</v>
      </c>
      <c r="B495" s="948">
        <v>170</v>
      </c>
      <c r="C495" s="948" t="s">
        <v>1287</v>
      </c>
      <c r="D495" s="947" t="s">
        <v>1</v>
      </c>
      <c r="E495" s="949">
        <v>631370</v>
      </c>
      <c r="F495" s="950">
        <v>11</v>
      </c>
      <c r="G495" s="951">
        <v>10</v>
      </c>
      <c r="H495" s="951">
        <v>9.31</v>
      </c>
      <c r="I495" s="18"/>
    </row>
    <row r="496" spans="1:9">
      <c r="A496" s="943">
        <v>3</v>
      </c>
      <c r="B496" s="944">
        <v>180.01</v>
      </c>
      <c r="C496" s="944" t="s">
        <v>1288</v>
      </c>
      <c r="D496" s="943" t="s">
        <v>22</v>
      </c>
      <c r="E496" s="945">
        <v>21</v>
      </c>
      <c r="F496" s="945">
        <v>5</v>
      </c>
      <c r="G496" s="946">
        <v>9000</v>
      </c>
      <c r="H496" s="946">
        <v>8047.64</v>
      </c>
    </row>
    <row r="497" spans="1:9" s="26" customFormat="1">
      <c r="A497" s="947">
        <v>3</v>
      </c>
      <c r="B497" s="948">
        <v>180.02</v>
      </c>
      <c r="C497" s="948" t="s">
        <v>1289</v>
      </c>
      <c r="D497" s="947" t="s">
        <v>24</v>
      </c>
      <c r="E497" s="950">
        <v>740</v>
      </c>
      <c r="F497" s="950">
        <v>4</v>
      </c>
      <c r="G497" s="951">
        <v>10</v>
      </c>
      <c r="H497" s="951">
        <v>10</v>
      </c>
      <c r="I497" s="18"/>
    </row>
    <row r="498" spans="1:9">
      <c r="A498" s="943">
        <v>3</v>
      </c>
      <c r="B498" s="944">
        <v>180.03</v>
      </c>
      <c r="C498" s="944" t="s">
        <v>1290</v>
      </c>
      <c r="D498" s="943" t="s">
        <v>24</v>
      </c>
      <c r="E498" s="952">
        <v>1720</v>
      </c>
      <c r="F498" s="945">
        <v>5</v>
      </c>
      <c r="G498" s="946">
        <v>130</v>
      </c>
      <c r="H498" s="946">
        <v>127.52</v>
      </c>
    </row>
    <row r="499" spans="1:9" s="26" customFormat="1">
      <c r="A499" s="947">
        <v>3</v>
      </c>
      <c r="B499" s="948">
        <v>181.11</v>
      </c>
      <c r="C499" s="948" t="s">
        <v>58</v>
      </c>
      <c r="D499" s="947" t="s">
        <v>7</v>
      </c>
      <c r="E499" s="949">
        <v>4468</v>
      </c>
      <c r="F499" s="950">
        <v>5</v>
      </c>
      <c r="G499" s="951">
        <v>60</v>
      </c>
      <c r="H499" s="951">
        <v>58.56</v>
      </c>
      <c r="I499" s="18"/>
    </row>
    <row r="500" spans="1:9">
      <c r="A500" s="943">
        <v>3</v>
      </c>
      <c r="B500" s="944">
        <v>181.12</v>
      </c>
      <c r="C500" s="944" t="s">
        <v>141</v>
      </c>
      <c r="D500" s="943" t="s">
        <v>7</v>
      </c>
      <c r="E500" s="952">
        <v>1066</v>
      </c>
      <c r="F500" s="945">
        <v>5</v>
      </c>
      <c r="G500" s="946">
        <v>150</v>
      </c>
      <c r="H500" s="946">
        <v>143.96</v>
      </c>
    </row>
    <row r="501" spans="1:9" s="26" customFormat="1">
      <c r="A501" s="947">
        <v>3</v>
      </c>
      <c r="B501" s="948">
        <v>181.13</v>
      </c>
      <c r="C501" s="948" t="s">
        <v>142</v>
      </c>
      <c r="D501" s="947" t="s">
        <v>7</v>
      </c>
      <c r="E501" s="950">
        <v>825</v>
      </c>
      <c r="F501" s="950">
        <v>5</v>
      </c>
      <c r="G501" s="951">
        <v>220</v>
      </c>
      <c r="H501" s="951">
        <v>227.21</v>
      </c>
      <c r="I501" s="18"/>
    </row>
    <row r="502" spans="1:9">
      <c r="A502" s="943">
        <v>3</v>
      </c>
      <c r="B502" s="944">
        <v>181.14</v>
      </c>
      <c r="C502" s="944" t="s">
        <v>59</v>
      </c>
      <c r="D502" s="943" t="s">
        <v>7</v>
      </c>
      <c r="E502" s="945">
        <v>483</v>
      </c>
      <c r="F502" s="945">
        <v>5</v>
      </c>
      <c r="G502" s="946">
        <v>570</v>
      </c>
      <c r="H502" s="946">
        <v>587.72</v>
      </c>
    </row>
    <row r="503" spans="1:9" s="26" customFormat="1">
      <c r="A503" s="947">
        <v>3</v>
      </c>
      <c r="B503" s="948">
        <v>182.1</v>
      </c>
      <c r="C503" s="948" t="s">
        <v>143</v>
      </c>
      <c r="D503" s="947" t="s">
        <v>22</v>
      </c>
      <c r="E503" s="950">
        <v>3</v>
      </c>
      <c r="F503" s="950">
        <v>1</v>
      </c>
      <c r="G503" s="951">
        <v>4000</v>
      </c>
      <c r="H503" s="951">
        <v>3000</v>
      </c>
      <c r="I503" s="18"/>
    </row>
    <row r="504" spans="1:9">
      <c r="A504" s="943">
        <v>3</v>
      </c>
      <c r="B504" s="944">
        <v>182.2</v>
      </c>
      <c r="C504" s="944" t="s">
        <v>144</v>
      </c>
      <c r="D504" s="943" t="s">
        <v>17</v>
      </c>
      <c r="E504" s="945">
        <v>40</v>
      </c>
      <c r="F504" s="945">
        <v>1</v>
      </c>
      <c r="G504" s="946">
        <v>175</v>
      </c>
      <c r="H504" s="946">
        <v>137.5</v>
      </c>
    </row>
    <row r="505" spans="1:9" s="26" customFormat="1">
      <c r="A505" s="947">
        <v>3</v>
      </c>
      <c r="B505" s="948">
        <v>182.3</v>
      </c>
      <c r="C505" s="948" t="s">
        <v>145</v>
      </c>
      <c r="D505" s="947" t="s">
        <v>22</v>
      </c>
      <c r="E505" s="950">
        <v>4</v>
      </c>
      <c r="F505" s="950">
        <v>1</v>
      </c>
      <c r="G505" s="951">
        <v>22500</v>
      </c>
      <c r="H505" s="951">
        <v>26250</v>
      </c>
      <c r="I505" s="18"/>
    </row>
    <row r="506" spans="1:9">
      <c r="A506" s="943">
        <v>3</v>
      </c>
      <c r="B506" s="944">
        <v>183.1</v>
      </c>
      <c r="C506" s="944" t="s">
        <v>146</v>
      </c>
      <c r="D506" s="943" t="s">
        <v>20</v>
      </c>
      <c r="E506" s="952">
        <v>5000</v>
      </c>
      <c r="F506" s="945">
        <v>1</v>
      </c>
      <c r="G506" s="946">
        <v>10</v>
      </c>
      <c r="H506" s="946">
        <v>8.9</v>
      </c>
    </row>
    <row r="507" spans="1:9" s="26" customFormat="1">
      <c r="A507" s="947">
        <v>3</v>
      </c>
      <c r="B507" s="948">
        <v>183.2</v>
      </c>
      <c r="C507" s="948" t="s">
        <v>147</v>
      </c>
      <c r="D507" s="947" t="s">
        <v>100</v>
      </c>
      <c r="E507" s="949">
        <v>7000</v>
      </c>
      <c r="F507" s="950">
        <v>1</v>
      </c>
      <c r="G507" s="951">
        <v>5</v>
      </c>
      <c r="H507" s="951">
        <v>4.6100000000000003</v>
      </c>
      <c r="I507" s="18"/>
    </row>
    <row r="508" spans="1:9">
      <c r="A508" s="943">
        <v>3</v>
      </c>
      <c r="B508" s="944">
        <v>184.1</v>
      </c>
      <c r="C508" s="944" t="s">
        <v>148</v>
      </c>
      <c r="D508" s="943" t="s">
        <v>7</v>
      </c>
      <c r="E508" s="945">
        <v>228</v>
      </c>
      <c r="F508" s="945">
        <v>6</v>
      </c>
      <c r="G508" s="946">
        <v>500</v>
      </c>
      <c r="H508" s="946">
        <v>490</v>
      </c>
    </row>
    <row r="509" spans="1:9" s="26" customFormat="1">
      <c r="A509" s="947">
        <v>3</v>
      </c>
      <c r="B509" s="948">
        <v>201</v>
      </c>
      <c r="C509" s="948" t="s">
        <v>155</v>
      </c>
      <c r="D509" s="947" t="s">
        <v>2</v>
      </c>
      <c r="E509" s="949">
        <v>1032</v>
      </c>
      <c r="F509" s="950">
        <v>6</v>
      </c>
      <c r="G509" s="951">
        <v>5600</v>
      </c>
      <c r="H509" s="951">
        <v>5479.43</v>
      </c>
      <c r="I509" s="18"/>
    </row>
    <row r="510" spans="1:9">
      <c r="A510" s="943">
        <v>3</v>
      </c>
      <c r="B510" s="944">
        <v>201.3</v>
      </c>
      <c r="C510" s="944" t="s">
        <v>156</v>
      </c>
      <c r="D510" s="943" t="s">
        <v>2</v>
      </c>
      <c r="E510" s="945">
        <v>18</v>
      </c>
      <c r="F510" s="945">
        <v>1</v>
      </c>
      <c r="G510" s="946">
        <v>7500</v>
      </c>
      <c r="H510" s="946">
        <v>7266.67</v>
      </c>
    </row>
    <row r="511" spans="1:9" s="26" customFormat="1">
      <c r="A511" s="947">
        <v>3</v>
      </c>
      <c r="B511" s="948">
        <v>201.5</v>
      </c>
      <c r="C511" s="948" t="s">
        <v>2075</v>
      </c>
      <c r="D511" s="947" t="s">
        <v>2</v>
      </c>
      <c r="E511" s="950">
        <v>35</v>
      </c>
      <c r="F511" s="950">
        <v>1</v>
      </c>
      <c r="G511" s="951">
        <v>5975</v>
      </c>
      <c r="H511" s="951">
        <v>6235</v>
      </c>
      <c r="I511" s="18"/>
    </row>
    <row r="512" spans="1:9">
      <c r="A512" s="943">
        <v>3</v>
      </c>
      <c r="B512" s="944">
        <v>202</v>
      </c>
      <c r="C512" s="944" t="s">
        <v>157</v>
      </c>
      <c r="D512" s="943" t="s">
        <v>2</v>
      </c>
      <c r="E512" s="945">
        <v>775</v>
      </c>
      <c r="F512" s="945">
        <v>8</v>
      </c>
      <c r="G512" s="946">
        <v>5550</v>
      </c>
      <c r="H512" s="946">
        <v>5741.33</v>
      </c>
    </row>
    <row r="513" spans="1:9" s="26" customFormat="1">
      <c r="A513" s="947">
        <v>3</v>
      </c>
      <c r="B513" s="948">
        <v>202.01</v>
      </c>
      <c r="C513" s="948" t="s">
        <v>2076</v>
      </c>
      <c r="D513" s="947" t="s">
        <v>2</v>
      </c>
      <c r="E513" s="950">
        <v>5</v>
      </c>
      <c r="F513" s="950">
        <v>1</v>
      </c>
      <c r="G513" s="951">
        <v>9300</v>
      </c>
      <c r="H513" s="951">
        <v>8420</v>
      </c>
      <c r="I513" s="18"/>
    </row>
    <row r="514" spans="1:9">
      <c r="A514" s="943">
        <v>3</v>
      </c>
      <c r="B514" s="944">
        <v>203</v>
      </c>
      <c r="C514" s="944" t="s">
        <v>159</v>
      </c>
      <c r="D514" s="943" t="s">
        <v>2</v>
      </c>
      <c r="E514" s="945">
        <v>52</v>
      </c>
      <c r="F514" s="945">
        <v>1</v>
      </c>
      <c r="G514" s="946">
        <v>10750</v>
      </c>
      <c r="H514" s="946">
        <v>10884.62</v>
      </c>
    </row>
    <row r="515" spans="1:9" s="26" customFormat="1">
      <c r="A515" s="947">
        <v>3</v>
      </c>
      <c r="B515" s="948">
        <v>204</v>
      </c>
      <c r="C515" s="948" t="s">
        <v>160</v>
      </c>
      <c r="D515" s="947" t="s">
        <v>2</v>
      </c>
      <c r="E515" s="950">
        <v>277</v>
      </c>
      <c r="F515" s="950">
        <v>5</v>
      </c>
      <c r="G515" s="951">
        <v>3000</v>
      </c>
      <c r="H515" s="951">
        <v>2762.5</v>
      </c>
      <c r="I515" s="18"/>
    </row>
    <row r="516" spans="1:9">
      <c r="A516" s="943">
        <v>3</v>
      </c>
      <c r="B516" s="944">
        <v>205</v>
      </c>
      <c r="C516" s="944" t="s">
        <v>161</v>
      </c>
      <c r="D516" s="943" t="s">
        <v>2</v>
      </c>
      <c r="E516" s="945">
        <v>10</v>
      </c>
      <c r="F516" s="945">
        <v>1</v>
      </c>
      <c r="G516" s="946">
        <v>8250</v>
      </c>
      <c r="H516" s="946">
        <v>8560</v>
      </c>
    </row>
    <row r="517" spans="1:9" s="26" customFormat="1">
      <c r="A517" s="947">
        <v>3</v>
      </c>
      <c r="B517" s="948">
        <v>209</v>
      </c>
      <c r="C517" s="948" t="s">
        <v>1296</v>
      </c>
      <c r="D517" s="947" t="s">
        <v>2</v>
      </c>
      <c r="E517" s="950">
        <v>13</v>
      </c>
      <c r="F517" s="950">
        <v>1</v>
      </c>
      <c r="G517" s="951">
        <v>5500</v>
      </c>
      <c r="H517" s="951">
        <v>5423.08</v>
      </c>
      <c r="I517" s="18"/>
    </row>
    <row r="518" spans="1:9">
      <c r="A518" s="943">
        <v>3</v>
      </c>
      <c r="B518" s="944">
        <v>209.1</v>
      </c>
      <c r="C518" s="944" t="s">
        <v>166</v>
      </c>
      <c r="D518" s="943" t="s">
        <v>2</v>
      </c>
      <c r="E518" s="945">
        <v>18</v>
      </c>
      <c r="F518" s="945">
        <v>2</v>
      </c>
      <c r="G518" s="946">
        <v>5000</v>
      </c>
      <c r="H518" s="946">
        <v>4572.7299999999996</v>
      </c>
    </row>
    <row r="519" spans="1:9" s="26" customFormat="1">
      <c r="A519" s="947">
        <v>3</v>
      </c>
      <c r="B519" s="948">
        <v>209.2</v>
      </c>
      <c r="C519" s="948" t="s">
        <v>167</v>
      </c>
      <c r="D519" s="947" t="s">
        <v>2</v>
      </c>
      <c r="E519" s="950">
        <v>3</v>
      </c>
      <c r="F519" s="950">
        <v>1</v>
      </c>
      <c r="G519" s="951">
        <v>13000</v>
      </c>
      <c r="H519" s="951">
        <v>12283.33</v>
      </c>
      <c r="I519" s="18"/>
    </row>
    <row r="520" spans="1:9">
      <c r="A520" s="943">
        <v>3</v>
      </c>
      <c r="B520" s="944">
        <v>209.3</v>
      </c>
      <c r="C520" s="944" t="s">
        <v>168</v>
      </c>
      <c r="D520" s="943" t="s">
        <v>2</v>
      </c>
      <c r="E520" s="945">
        <v>21</v>
      </c>
      <c r="F520" s="945">
        <v>1</v>
      </c>
      <c r="G520" s="946">
        <v>1500</v>
      </c>
      <c r="H520" s="946">
        <v>1385.71</v>
      </c>
    </row>
    <row r="521" spans="1:9" s="26" customFormat="1">
      <c r="A521" s="947">
        <v>3</v>
      </c>
      <c r="B521" s="948">
        <v>220</v>
      </c>
      <c r="C521" s="948" t="s">
        <v>172</v>
      </c>
      <c r="D521" s="947" t="s">
        <v>2</v>
      </c>
      <c r="E521" s="949">
        <v>6941</v>
      </c>
      <c r="F521" s="950">
        <v>9</v>
      </c>
      <c r="G521" s="951">
        <v>475</v>
      </c>
      <c r="H521" s="951">
        <v>457.25</v>
      </c>
      <c r="I521" s="18"/>
    </row>
    <row r="522" spans="1:9">
      <c r="A522" s="943">
        <v>3</v>
      </c>
      <c r="B522" s="944">
        <v>220.2</v>
      </c>
      <c r="C522" s="944" t="s">
        <v>173</v>
      </c>
      <c r="D522" s="943" t="s">
        <v>17</v>
      </c>
      <c r="E522" s="952">
        <v>2422</v>
      </c>
      <c r="F522" s="945">
        <v>7</v>
      </c>
      <c r="G522" s="946">
        <v>400</v>
      </c>
      <c r="H522" s="946">
        <v>420.26</v>
      </c>
    </row>
    <row r="523" spans="1:9" s="26" customFormat="1">
      <c r="A523" s="947">
        <v>3</v>
      </c>
      <c r="B523" s="948">
        <v>220.3</v>
      </c>
      <c r="C523" s="948" t="s">
        <v>174</v>
      </c>
      <c r="D523" s="947" t="s">
        <v>2</v>
      </c>
      <c r="E523" s="950">
        <v>119</v>
      </c>
      <c r="F523" s="950">
        <v>4</v>
      </c>
      <c r="G523" s="951">
        <v>1000</v>
      </c>
      <c r="H523" s="951">
        <v>980.19</v>
      </c>
      <c r="I523" s="18"/>
    </row>
    <row r="524" spans="1:9">
      <c r="A524" s="943">
        <v>3</v>
      </c>
      <c r="B524" s="944">
        <v>220.5</v>
      </c>
      <c r="C524" s="944" t="s">
        <v>175</v>
      </c>
      <c r="D524" s="943" t="s">
        <v>2</v>
      </c>
      <c r="E524" s="952">
        <v>1491</v>
      </c>
      <c r="F524" s="945">
        <v>5</v>
      </c>
      <c r="G524" s="946">
        <v>1000</v>
      </c>
      <c r="H524" s="946">
        <v>884.83</v>
      </c>
    </row>
    <row r="525" spans="1:9" s="26" customFormat="1">
      <c r="A525" s="947">
        <v>3</v>
      </c>
      <c r="B525" s="948">
        <v>220.6</v>
      </c>
      <c r="C525" s="948" t="s">
        <v>176</v>
      </c>
      <c r="D525" s="947" t="s">
        <v>17</v>
      </c>
      <c r="E525" s="950">
        <v>60</v>
      </c>
      <c r="F525" s="950">
        <v>1</v>
      </c>
      <c r="G525" s="951">
        <v>250</v>
      </c>
      <c r="H525" s="951">
        <v>275</v>
      </c>
      <c r="I525" s="18"/>
    </row>
    <row r="526" spans="1:9">
      <c r="A526" s="943">
        <v>3</v>
      </c>
      <c r="B526" s="944">
        <v>220.7</v>
      </c>
      <c r="C526" s="944" t="s">
        <v>177</v>
      </c>
      <c r="D526" s="943" t="s">
        <v>2</v>
      </c>
      <c r="E526" s="945">
        <v>793</v>
      </c>
      <c r="F526" s="945">
        <v>7</v>
      </c>
      <c r="G526" s="946">
        <v>475</v>
      </c>
      <c r="H526" s="946">
        <v>457.44</v>
      </c>
    </row>
    <row r="527" spans="1:9" s="26" customFormat="1">
      <c r="A527" s="947">
        <v>3</v>
      </c>
      <c r="B527" s="948">
        <v>220.8</v>
      </c>
      <c r="C527" s="948" t="s">
        <v>178</v>
      </c>
      <c r="D527" s="947" t="s">
        <v>2</v>
      </c>
      <c r="E527" s="950">
        <v>281</v>
      </c>
      <c r="F527" s="950">
        <v>5</v>
      </c>
      <c r="G527" s="951">
        <v>1000</v>
      </c>
      <c r="H527" s="951">
        <v>936.51</v>
      </c>
      <c r="I527" s="18"/>
    </row>
    <row r="528" spans="1:9">
      <c r="A528" s="943">
        <v>3</v>
      </c>
      <c r="B528" s="944">
        <v>221</v>
      </c>
      <c r="C528" s="944" t="s">
        <v>180</v>
      </c>
      <c r="D528" s="943" t="s">
        <v>2</v>
      </c>
      <c r="E528" s="952">
        <v>1074</v>
      </c>
      <c r="F528" s="945">
        <v>5</v>
      </c>
      <c r="G528" s="946">
        <v>1000</v>
      </c>
      <c r="H528" s="946">
        <v>999.85</v>
      </c>
    </row>
    <row r="529" spans="1:9" s="26" customFormat="1">
      <c r="A529" s="947">
        <v>3</v>
      </c>
      <c r="B529" s="948">
        <v>221.1</v>
      </c>
      <c r="C529" s="948" t="s">
        <v>1300</v>
      </c>
      <c r="D529" s="947" t="s">
        <v>2</v>
      </c>
      <c r="E529" s="950">
        <v>578</v>
      </c>
      <c r="F529" s="950">
        <v>4</v>
      </c>
      <c r="G529" s="951">
        <v>700</v>
      </c>
      <c r="H529" s="951">
        <v>705.63</v>
      </c>
      <c r="I529" s="18"/>
    </row>
    <row r="530" spans="1:9">
      <c r="A530" s="943">
        <v>3</v>
      </c>
      <c r="B530" s="944">
        <v>222</v>
      </c>
      <c r="C530" s="944" t="s">
        <v>181</v>
      </c>
      <c r="D530" s="943" t="s">
        <v>2</v>
      </c>
      <c r="E530" s="945">
        <v>282</v>
      </c>
      <c r="F530" s="945">
        <v>3</v>
      </c>
      <c r="G530" s="946">
        <v>662.5</v>
      </c>
      <c r="H530" s="946">
        <v>637.5</v>
      </c>
    </row>
    <row r="531" spans="1:9" s="26" customFormat="1">
      <c r="A531" s="947">
        <v>3</v>
      </c>
      <c r="B531" s="948">
        <v>222.1</v>
      </c>
      <c r="C531" s="948" t="s">
        <v>182</v>
      </c>
      <c r="D531" s="947" t="s">
        <v>2</v>
      </c>
      <c r="E531" s="949">
        <v>1892</v>
      </c>
      <c r="F531" s="950">
        <v>4</v>
      </c>
      <c r="G531" s="951">
        <v>1150</v>
      </c>
      <c r="H531" s="951">
        <v>1114.42</v>
      </c>
      <c r="I531" s="18"/>
    </row>
    <row r="532" spans="1:9">
      <c r="A532" s="943">
        <v>3</v>
      </c>
      <c r="B532" s="944">
        <v>222.2</v>
      </c>
      <c r="C532" s="944" t="s">
        <v>183</v>
      </c>
      <c r="D532" s="943" t="s">
        <v>2</v>
      </c>
      <c r="E532" s="945">
        <v>38</v>
      </c>
      <c r="F532" s="945">
        <v>3</v>
      </c>
      <c r="G532" s="946">
        <v>1100</v>
      </c>
      <c r="H532" s="946">
        <v>1146.46</v>
      </c>
    </row>
    <row r="533" spans="1:9" s="26" customFormat="1">
      <c r="A533" s="947">
        <v>3</v>
      </c>
      <c r="B533" s="948">
        <v>222.3</v>
      </c>
      <c r="C533" s="948" t="s">
        <v>29</v>
      </c>
      <c r="D533" s="947" t="s">
        <v>2</v>
      </c>
      <c r="E533" s="949">
        <v>2120</v>
      </c>
      <c r="F533" s="950">
        <v>6</v>
      </c>
      <c r="G533" s="951">
        <v>1000</v>
      </c>
      <c r="H533" s="951">
        <v>966.2</v>
      </c>
      <c r="I533" s="18"/>
    </row>
    <row r="534" spans="1:9">
      <c r="A534" s="943">
        <v>3</v>
      </c>
      <c r="B534" s="944">
        <v>222.4</v>
      </c>
      <c r="C534" s="944" t="s">
        <v>4031</v>
      </c>
      <c r="D534" s="943" t="s">
        <v>2</v>
      </c>
      <c r="E534" s="945">
        <v>201</v>
      </c>
      <c r="F534" s="945">
        <v>1</v>
      </c>
      <c r="G534" s="946">
        <v>1500</v>
      </c>
      <c r="H534" s="946">
        <v>1658.33</v>
      </c>
    </row>
    <row r="535" spans="1:9" s="26" customFormat="1">
      <c r="A535" s="947">
        <v>3</v>
      </c>
      <c r="B535" s="948">
        <v>223.1</v>
      </c>
      <c r="C535" s="948" t="s">
        <v>184</v>
      </c>
      <c r="D535" s="947" t="s">
        <v>2</v>
      </c>
      <c r="E535" s="950">
        <v>238</v>
      </c>
      <c r="F535" s="950">
        <v>2</v>
      </c>
      <c r="G535" s="951">
        <v>100</v>
      </c>
      <c r="H535" s="951">
        <v>87.5</v>
      </c>
      <c r="I535" s="18"/>
    </row>
    <row r="536" spans="1:9">
      <c r="A536" s="943">
        <v>3</v>
      </c>
      <c r="B536" s="944">
        <v>223.2</v>
      </c>
      <c r="C536" s="944" t="s">
        <v>185</v>
      </c>
      <c r="D536" s="943" t="s">
        <v>2</v>
      </c>
      <c r="E536" s="945">
        <v>485</v>
      </c>
      <c r="F536" s="945">
        <v>6</v>
      </c>
      <c r="G536" s="946">
        <v>100</v>
      </c>
      <c r="H536" s="946">
        <v>84.46</v>
      </c>
    </row>
    <row r="537" spans="1:9" s="26" customFormat="1">
      <c r="A537" s="947">
        <v>3</v>
      </c>
      <c r="B537" s="948">
        <v>224.1</v>
      </c>
      <c r="C537" s="948" t="s">
        <v>186</v>
      </c>
      <c r="D537" s="947" t="s">
        <v>2</v>
      </c>
      <c r="E537" s="950">
        <v>9</v>
      </c>
      <c r="F537" s="950">
        <v>1</v>
      </c>
      <c r="G537" s="951">
        <v>500</v>
      </c>
      <c r="H537" s="951">
        <v>538.89</v>
      </c>
      <c r="I537" s="18"/>
    </row>
    <row r="538" spans="1:9">
      <c r="A538" s="943">
        <v>3</v>
      </c>
      <c r="B538" s="944">
        <v>224.12</v>
      </c>
      <c r="C538" s="944" t="s">
        <v>187</v>
      </c>
      <c r="D538" s="943" t="s">
        <v>2</v>
      </c>
      <c r="E538" s="952">
        <v>1535</v>
      </c>
      <c r="F538" s="945">
        <v>5</v>
      </c>
      <c r="G538" s="946">
        <v>537.5</v>
      </c>
      <c r="H538" s="946">
        <v>563.66</v>
      </c>
    </row>
    <row r="539" spans="1:9" s="26" customFormat="1">
      <c r="A539" s="947">
        <v>3</v>
      </c>
      <c r="B539" s="948">
        <v>227.3</v>
      </c>
      <c r="C539" s="948" t="s">
        <v>189</v>
      </c>
      <c r="D539" s="947" t="s">
        <v>4</v>
      </c>
      <c r="E539" s="949">
        <v>1982</v>
      </c>
      <c r="F539" s="950">
        <v>9</v>
      </c>
      <c r="G539" s="951">
        <v>300</v>
      </c>
      <c r="H539" s="951">
        <v>314.39</v>
      </c>
      <c r="I539" s="18"/>
    </row>
    <row r="540" spans="1:9">
      <c r="A540" s="943">
        <v>3</v>
      </c>
      <c r="B540" s="944">
        <v>227.31</v>
      </c>
      <c r="C540" s="944" t="s">
        <v>190</v>
      </c>
      <c r="D540" s="943" t="s">
        <v>17</v>
      </c>
      <c r="E540" s="952">
        <v>83027</v>
      </c>
      <c r="F540" s="945">
        <v>7</v>
      </c>
      <c r="G540" s="946">
        <v>12</v>
      </c>
      <c r="H540" s="946">
        <v>11.56</v>
      </c>
    </row>
    <row r="541" spans="1:9" s="26" customFormat="1">
      <c r="A541" s="947">
        <v>3</v>
      </c>
      <c r="B541" s="948">
        <v>227.4</v>
      </c>
      <c r="C541" s="948" t="s">
        <v>191</v>
      </c>
      <c r="D541" s="947" t="s">
        <v>3</v>
      </c>
      <c r="E541" s="950">
        <v>40</v>
      </c>
      <c r="F541" s="950">
        <v>1</v>
      </c>
      <c r="G541" s="951">
        <v>150</v>
      </c>
      <c r="H541" s="951">
        <v>126</v>
      </c>
      <c r="I541" s="18"/>
    </row>
    <row r="542" spans="1:9">
      <c r="A542" s="943">
        <v>3</v>
      </c>
      <c r="B542" s="944">
        <v>234.12</v>
      </c>
      <c r="C542" s="944" t="s">
        <v>195</v>
      </c>
      <c r="D542" s="943" t="s">
        <v>17</v>
      </c>
      <c r="E542" s="952">
        <v>44260</v>
      </c>
      <c r="F542" s="945">
        <v>2</v>
      </c>
      <c r="G542" s="946">
        <v>125</v>
      </c>
      <c r="H542" s="946">
        <v>120.26</v>
      </c>
    </row>
    <row r="543" spans="1:9" s="26" customFormat="1">
      <c r="A543" s="947">
        <v>3</v>
      </c>
      <c r="B543" s="948">
        <v>234.15</v>
      </c>
      <c r="C543" s="948" t="s">
        <v>196</v>
      </c>
      <c r="D543" s="947" t="s">
        <v>17</v>
      </c>
      <c r="E543" s="949">
        <v>9040</v>
      </c>
      <c r="F543" s="950">
        <v>1</v>
      </c>
      <c r="G543" s="951">
        <v>100</v>
      </c>
      <c r="H543" s="951">
        <v>108.25</v>
      </c>
      <c r="I543" s="18"/>
    </row>
    <row r="544" spans="1:9">
      <c r="A544" s="943">
        <v>3</v>
      </c>
      <c r="B544" s="944">
        <v>234.18</v>
      </c>
      <c r="C544" s="944" t="s">
        <v>197</v>
      </c>
      <c r="D544" s="943" t="s">
        <v>17</v>
      </c>
      <c r="E544" s="952">
        <v>2520</v>
      </c>
      <c r="F544" s="945">
        <v>1</v>
      </c>
      <c r="G544" s="946">
        <v>115</v>
      </c>
      <c r="H544" s="946">
        <v>115.29</v>
      </c>
    </row>
    <row r="545" spans="1:9" s="26" customFormat="1">
      <c r="A545" s="947">
        <v>3</v>
      </c>
      <c r="B545" s="948">
        <v>234.24</v>
      </c>
      <c r="C545" s="948" t="s">
        <v>198</v>
      </c>
      <c r="D545" s="947" t="s">
        <v>17</v>
      </c>
      <c r="E545" s="949">
        <v>5360</v>
      </c>
      <c r="F545" s="950">
        <v>1</v>
      </c>
      <c r="G545" s="951">
        <v>150</v>
      </c>
      <c r="H545" s="951">
        <v>151.25</v>
      </c>
      <c r="I545" s="18"/>
    </row>
    <row r="546" spans="1:9">
      <c r="A546" s="943">
        <v>3</v>
      </c>
      <c r="B546" s="944">
        <v>235.12</v>
      </c>
      <c r="C546" s="944" t="s">
        <v>201</v>
      </c>
      <c r="D546" s="943" t="s">
        <v>2</v>
      </c>
      <c r="E546" s="945">
        <v>14</v>
      </c>
      <c r="F546" s="945">
        <v>1</v>
      </c>
      <c r="G546" s="946">
        <v>1350</v>
      </c>
      <c r="H546" s="946">
        <v>1407.14</v>
      </c>
    </row>
    <row r="547" spans="1:9" s="26" customFormat="1">
      <c r="A547" s="947">
        <v>3</v>
      </c>
      <c r="B547" s="948">
        <v>235.15</v>
      </c>
      <c r="C547" s="948" t="s">
        <v>202</v>
      </c>
      <c r="D547" s="947" t="s">
        <v>2</v>
      </c>
      <c r="E547" s="950">
        <v>28</v>
      </c>
      <c r="F547" s="950">
        <v>1</v>
      </c>
      <c r="G547" s="951">
        <v>1650</v>
      </c>
      <c r="H547" s="951">
        <v>1535.71</v>
      </c>
      <c r="I547" s="18"/>
    </row>
    <row r="548" spans="1:9">
      <c r="A548" s="943">
        <v>3</v>
      </c>
      <c r="B548" s="944">
        <v>235.18</v>
      </c>
      <c r="C548" s="944" t="s">
        <v>203</v>
      </c>
      <c r="D548" s="943" t="s">
        <v>2</v>
      </c>
      <c r="E548" s="945">
        <v>16</v>
      </c>
      <c r="F548" s="945">
        <v>1</v>
      </c>
      <c r="G548" s="946">
        <v>1800</v>
      </c>
      <c r="H548" s="946">
        <v>1762.5</v>
      </c>
    </row>
    <row r="549" spans="1:9" s="26" customFormat="1">
      <c r="A549" s="947">
        <v>3</v>
      </c>
      <c r="B549" s="948">
        <v>235.24</v>
      </c>
      <c r="C549" s="948" t="s">
        <v>204</v>
      </c>
      <c r="D549" s="947" t="s">
        <v>2</v>
      </c>
      <c r="E549" s="950">
        <v>9</v>
      </c>
      <c r="F549" s="950">
        <v>1</v>
      </c>
      <c r="G549" s="951">
        <v>2000</v>
      </c>
      <c r="H549" s="951">
        <v>1933.33</v>
      </c>
      <c r="I549" s="18"/>
    </row>
    <row r="550" spans="1:9">
      <c r="A550" s="943">
        <v>3</v>
      </c>
      <c r="B550" s="944">
        <v>238.1</v>
      </c>
      <c r="C550" s="944" t="s">
        <v>207</v>
      </c>
      <c r="D550" s="943" t="s">
        <v>17</v>
      </c>
      <c r="E550" s="952">
        <v>2400</v>
      </c>
      <c r="F550" s="945">
        <v>4</v>
      </c>
      <c r="G550" s="946">
        <v>195</v>
      </c>
      <c r="H550" s="946">
        <v>187.46</v>
      </c>
    </row>
    <row r="551" spans="1:9" s="26" customFormat="1">
      <c r="A551" s="947">
        <v>3</v>
      </c>
      <c r="B551" s="948">
        <v>238.12</v>
      </c>
      <c r="C551" s="948" t="s">
        <v>208</v>
      </c>
      <c r="D551" s="947" t="s">
        <v>17</v>
      </c>
      <c r="E551" s="949">
        <v>2200</v>
      </c>
      <c r="F551" s="950">
        <v>2</v>
      </c>
      <c r="G551" s="951">
        <v>210</v>
      </c>
      <c r="H551" s="951">
        <v>226.82</v>
      </c>
      <c r="I551" s="18"/>
    </row>
    <row r="552" spans="1:9">
      <c r="A552" s="943">
        <v>3</v>
      </c>
      <c r="B552" s="944">
        <v>238.18</v>
      </c>
      <c r="C552" s="944" t="s">
        <v>2139</v>
      </c>
      <c r="D552" s="943" t="s">
        <v>17</v>
      </c>
      <c r="E552" s="945">
        <v>800</v>
      </c>
      <c r="F552" s="945">
        <v>1</v>
      </c>
      <c r="G552" s="946">
        <v>235</v>
      </c>
      <c r="H552" s="946">
        <v>241.5</v>
      </c>
    </row>
    <row r="553" spans="1:9" s="26" customFormat="1">
      <c r="A553" s="947">
        <v>3</v>
      </c>
      <c r="B553" s="948">
        <v>241.12</v>
      </c>
      <c r="C553" s="948" t="s">
        <v>3996</v>
      </c>
      <c r="D553" s="947" t="s">
        <v>17</v>
      </c>
      <c r="E553" s="949">
        <v>9545</v>
      </c>
      <c r="F553" s="950">
        <v>5</v>
      </c>
      <c r="G553" s="951">
        <v>130</v>
      </c>
      <c r="H553" s="951">
        <v>126.54</v>
      </c>
      <c r="I553" s="18"/>
    </row>
    <row r="554" spans="1:9">
      <c r="A554" s="943">
        <v>3</v>
      </c>
      <c r="B554" s="944">
        <v>241.15</v>
      </c>
      <c r="C554" s="944" t="s">
        <v>3997</v>
      </c>
      <c r="D554" s="943" t="s">
        <v>17</v>
      </c>
      <c r="E554" s="952">
        <v>1500</v>
      </c>
      <c r="F554" s="945">
        <v>2</v>
      </c>
      <c r="G554" s="946">
        <v>150</v>
      </c>
      <c r="H554" s="946">
        <v>157.66999999999999</v>
      </c>
    </row>
    <row r="555" spans="1:9" s="26" customFormat="1">
      <c r="A555" s="947">
        <v>3</v>
      </c>
      <c r="B555" s="948">
        <v>241.18</v>
      </c>
      <c r="C555" s="948" t="s">
        <v>3998</v>
      </c>
      <c r="D555" s="947" t="s">
        <v>17</v>
      </c>
      <c r="E555" s="950">
        <v>960</v>
      </c>
      <c r="F555" s="950">
        <v>3</v>
      </c>
      <c r="G555" s="951">
        <v>150</v>
      </c>
      <c r="H555" s="951">
        <v>148.72999999999999</v>
      </c>
      <c r="I555" s="18"/>
    </row>
    <row r="556" spans="1:9">
      <c r="A556" s="943">
        <v>3</v>
      </c>
      <c r="B556" s="944">
        <v>241.24</v>
      </c>
      <c r="C556" s="944" t="s">
        <v>3999</v>
      </c>
      <c r="D556" s="943" t="s">
        <v>17</v>
      </c>
      <c r="E556" s="945">
        <v>260</v>
      </c>
      <c r="F556" s="945">
        <v>2</v>
      </c>
      <c r="G556" s="946">
        <v>230</v>
      </c>
      <c r="H556" s="946">
        <v>247.25</v>
      </c>
    </row>
    <row r="557" spans="1:9" s="26" customFormat="1">
      <c r="A557" s="947">
        <v>3</v>
      </c>
      <c r="B557" s="948">
        <v>241.36</v>
      </c>
      <c r="C557" s="948" t="s">
        <v>4000</v>
      </c>
      <c r="D557" s="947" t="s">
        <v>17</v>
      </c>
      <c r="E557" s="950">
        <v>50</v>
      </c>
      <c r="F557" s="950">
        <v>1</v>
      </c>
      <c r="G557" s="951">
        <v>625</v>
      </c>
      <c r="H557" s="951">
        <v>610</v>
      </c>
      <c r="I557" s="18"/>
    </row>
    <row r="558" spans="1:9">
      <c r="A558" s="943">
        <v>3</v>
      </c>
      <c r="B558" s="944">
        <v>242.12</v>
      </c>
      <c r="C558" s="944" t="s">
        <v>219</v>
      </c>
      <c r="D558" s="943" t="s">
        <v>2</v>
      </c>
      <c r="E558" s="945">
        <v>45</v>
      </c>
      <c r="F558" s="945">
        <v>5</v>
      </c>
      <c r="G558" s="946">
        <v>1650</v>
      </c>
      <c r="H558" s="946">
        <v>1684.44</v>
      </c>
    </row>
    <row r="559" spans="1:9" s="26" customFormat="1">
      <c r="A559" s="947">
        <v>3</v>
      </c>
      <c r="B559" s="948">
        <v>242.15</v>
      </c>
      <c r="C559" s="948" t="s">
        <v>220</v>
      </c>
      <c r="D559" s="947" t="s">
        <v>2</v>
      </c>
      <c r="E559" s="950">
        <v>9</v>
      </c>
      <c r="F559" s="950">
        <v>1</v>
      </c>
      <c r="G559" s="951">
        <v>3000</v>
      </c>
      <c r="H559" s="951">
        <v>2716.67</v>
      </c>
      <c r="I559" s="18"/>
    </row>
    <row r="560" spans="1:9">
      <c r="A560" s="943">
        <v>3</v>
      </c>
      <c r="B560" s="944">
        <v>242.18</v>
      </c>
      <c r="C560" s="944" t="s">
        <v>221</v>
      </c>
      <c r="D560" s="943" t="s">
        <v>2</v>
      </c>
      <c r="E560" s="945">
        <v>16</v>
      </c>
      <c r="F560" s="945">
        <v>2</v>
      </c>
      <c r="G560" s="946">
        <v>1800</v>
      </c>
      <c r="H560" s="946">
        <v>1753.18</v>
      </c>
    </row>
    <row r="561" spans="1:9" s="26" customFormat="1">
      <c r="A561" s="947">
        <v>3</v>
      </c>
      <c r="B561" s="948">
        <v>242.24</v>
      </c>
      <c r="C561" s="948" t="s">
        <v>222</v>
      </c>
      <c r="D561" s="947" t="s">
        <v>2</v>
      </c>
      <c r="E561" s="950">
        <v>22</v>
      </c>
      <c r="F561" s="950">
        <v>2</v>
      </c>
      <c r="G561" s="951">
        <v>2000</v>
      </c>
      <c r="H561" s="951">
        <v>1859.55</v>
      </c>
      <c r="I561" s="18"/>
    </row>
    <row r="562" spans="1:9">
      <c r="A562" s="943">
        <v>3</v>
      </c>
      <c r="B562" s="944">
        <v>244.12</v>
      </c>
      <c r="C562" s="944" t="s">
        <v>229</v>
      </c>
      <c r="D562" s="943" t="s">
        <v>17</v>
      </c>
      <c r="E562" s="952">
        <v>5210</v>
      </c>
      <c r="F562" s="945">
        <v>2</v>
      </c>
      <c r="G562" s="946">
        <v>117.5</v>
      </c>
      <c r="H562" s="946">
        <v>112.27</v>
      </c>
    </row>
    <row r="563" spans="1:9" s="26" customFormat="1">
      <c r="A563" s="947">
        <v>3</v>
      </c>
      <c r="B563" s="948">
        <v>244.15</v>
      </c>
      <c r="C563" s="948" t="s">
        <v>230</v>
      </c>
      <c r="D563" s="947" t="s">
        <v>17</v>
      </c>
      <c r="E563" s="950">
        <v>60</v>
      </c>
      <c r="F563" s="950">
        <v>1</v>
      </c>
      <c r="G563" s="951">
        <v>125</v>
      </c>
      <c r="H563" s="951">
        <v>116.67</v>
      </c>
      <c r="I563" s="18"/>
    </row>
    <row r="564" spans="1:9">
      <c r="A564" s="943">
        <v>3</v>
      </c>
      <c r="B564" s="944">
        <v>244.18</v>
      </c>
      <c r="C564" s="944" t="s">
        <v>231</v>
      </c>
      <c r="D564" s="943" t="s">
        <v>17</v>
      </c>
      <c r="E564" s="952">
        <v>4025</v>
      </c>
      <c r="F564" s="945">
        <v>1</v>
      </c>
      <c r="G564" s="946">
        <v>115</v>
      </c>
      <c r="H564" s="946">
        <v>119.29</v>
      </c>
    </row>
    <row r="565" spans="1:9" s="26" customFormat="1">
      <c r="A565" s="947">
        <v>3</v>
      </c>
      <c r="B565" s="948">
        <v>244.24</v>
      </c>
      <c r="C565" s="948" t="s">
        <v>232</v>
      </c>
      <c r="D565" s="947" t="s">
        <v>17</v>
      </c>
      <c r="E565" s="950">
        <v>600</v>
      </c>
      <c r="F565" s="950">
        <v>1</v>
      </c>
      <c r="G565" s="951">
        <v>165</v>
      </c>
      <c r="H565" s="951">
        <v>153.33000000000001</v>
      </c>
      <c r="I565" s="18"/>
    </row>
    <row r="566" spans="1:9">
      <c r="A566" s="943">
        <v>3</v>
      </c>
      <c r="B566" s="944">
        <v>250.06</v>
      </c>
      <c r="C566" s="944" t="s">
        <v>235</v>
      </c>
      <c r="D566" s="943" t="s">
        <v>17</v>
      </c>
      <c r="E566" s="945">
        <v>350</v>
      </c>
      <c r="F566" s="945">
        <v>1</v>
      </c>
      <c r="G566" s="946">
        <v>175</v>
      </c>
      <c r="H566" s="946">
        <v>149.29</v>
      </c>
    </row>
    <row r="567" spans="1:9" s="26" customFormat="1">
      <c r="A567" s="947">
        <v>3</v>
      </c>
      <c r="B567" s="948">
        <v>250.08</v>
      </c>
      <c r="C567" s="948" t="s">
        <v>236</v>
      </c>
      <c r="D567" s="947" t="s">
        <v>17</v>
      </c>
      <c r="E567" s="949">
        <v>1200</v>
      </c>
      <c r="F567" s="950">
        <v>1</v>
      </c>
      <c r="G567" s="951">
        <v>165</v>
      </c>
      <c r="H567" s="951">
        <v>170</v>
      </c>
      <c r="I567" s="18"/>
    </row>
    <row r="568" spans="1:9">
      <c r="A568" s="943">
        <v>3</v>
      </c>
      <c r="B568" s="944">
        <v>250.12</v>
      </c>
      <c r="C568" s="944" t="s">
        <v>2186</v>
      </c>
      <c r="D568" s="943" t="s">
        <v>17</v>
      </c>
      <c r="E568" s="945">
        <v>200</v>
      </c>
      <c r="F568" s="945">
        <v>1</v>
      </c>
      <c r="G568" s="946">
        <v>200</v>
      </c>
      <c r="H568" s="946">
        <v>175</v>
      </c>
    </row>
    <row r="569" spans="1:9" s="26" customFormat="1">
      <c r="A569" s="947">
        <v>3</v>
      </c>
      <c r="B569" s="948">
        <v>252.11199999999999</v>
      </c>
      <c r="C569" s="948" t="s">
        <v>237</v>
      </c>
      <c r="D569" s="947" t="s">
        <v>2</v>
      </c>
      <c r="E569" s="950">
        <v>30</v>
      </c>
      <c r="F569" s="950">
        <v>3</v>
      </c>
      <c r="G569" s="951">
        <v>1100</v>
      </c>
      <c r="H569" s="951">
        <v>1073.44</v>
      </c>
      <c r="I569" s="18"/>
    </row>
    <row r="570" spans="1:9">
      <c r="A570" s="943">
        <v>3</v>
      </c>
      <c r="B570" s="944">
        <v>252.11799999999999</v>
      </c>
      <c r="C570" s="944" t="s">
        <v>2188</v>
      </c>
      <c r="D570" s="943" t="s">
        <v>2</v>
      </c>
      <c r="E570" s="945">
        <v>8</v>
      </c>
      <c r="F570" s="945">
        <v>1</v>
      </c>
      <c r="G570" s="946">
        <v>1200</v>
      </c>
      <c r="H570" s="946">
        <v>1183.75</v>
      </c>
    </row>
    <row r="571" spans="1:9" s="26" customFormat="1">
      <c r="A571" s="947">
        <v>3</v>
      </c>
      <c r="B571" s="948">
        <v>252.12</v>
      </c>
      <c r="C571" s="948" t="s">
        <v>1313</v>
      </c>
      <c r="D571" s="947" t="s">
        <v>17</v>
      </c>
      <c r="E571" s="949">
        <v>2150</v>
      </c>
      <c r="F571" s="950">
        <v>3</v>
      </c>
      <c r="G571" s="951">
        <v>115</v>
      </c>
      <c r="H571" s="951">
        <v>115.33</v>
      </c>
      <c r="I571" s="18"/>
    </row>
    <row r="572" spans="1:9">
      <c r="A572" s="943">
        <v>3</v>
      </c>
      <c r="B572" s="944">
        <v>252.124</v>
      </c>
      <c r="C572" s="944" t="s">
        <v>2189</v>
      </c>
      <c r="D572" s="943" t="s">
        <v>2</v>
      </c>
      <c r="E572" s="945">
        <v>10</v>
      </c>
      <c r="F572" s="945">
        <v>1</v>
      </c>
      <c r="G572" s="946">
        <v>1550</v>
      </c>
      <c r="H572" s="946">
        <v>1533</v>
      </c>
    </row>
    <row r="573" spans="1:9" s="26" customFormat="1">
      <c r="A573" s="947">
        <v>3</v>
      </c>
      <c r="B573" s="948">
        <v>252.18</v>
      </c>
      <c r="C573" s="948" t="s">
        <v>1315</v>
      </c>
      <c r="D573" s="947" t="s">
        <v>17</v>
      </c>
      <c r="E573" s="950">
        <v>500</v>
      </c>
      <c r="F573" s="950">
        <v>1</v>
      </c>
      <c r="G573" s="951">
        <v>138</v>
      </c>
      <c r="H573" s="951">
        <v>133.6</v>
      </c>
      <c r="I573" s="18"/>
    </row>
    <row r="574" spans="1:9">
      <c r="A574" s="943">
        <v>3</v>
      </c>
      <c r="B574" s="944">
        <v>252.24</v>
      </c>
      <c r="C574" s="944" t="s">
        <v>1316</v>
      </c>
      <c r="D574" s="943" t="s">
        <v>17</v>
      </c>
      <c r="E574" s="945">
        <v>500</v>
      </c>
      <c r="F574" s="945">
        <v>1</v>
      </c>
      <c r="G574" s="946">
        <v>165</v>
      </c>
      <c r="H574" s="946">
        <v>156.5</v>
      </c>
    </row>
    <row r="575" spans="1:9" s="26" customFormat="1">
      <c r="A575" s="947">
        <v>3</v>
      </c>
      <c r="B575" s="948">
        <v>258</v>
      </c>
      <c r="C575" s="948" t="s">
        <v>238</v>
      </c>
      <c r="D575" s="947" t="s">
        <v>1</v>
      </c>
      <c r="E575" s="949">
        <v>1191</v>
      </c>
      <c r="F575" s="950">
        <v>6</v>
      </c>
      <c r="G575" s="951">
        <v>100</v>
      </c>
      <c r="H575" s="951">
        <v>100.58</v>
      </c>
      <c r="I575" s="18"/>
    </row>
    <row r="576" spans="1:9">
      <c r="A576" s="943">
        <v>3</v>
      </c>
      <c r="B576" s="944">
        <v>269.08</v>
      </c>
      <c r="C576" s="944" t="s">
        <v>241</v>
      </c>
      <c r="D576" s="943" t="s">
        <v>17</v>
      </c>
      <c r="E576" s="952">
        <v>9600</v>
      </c>
      <c r="F576" s="945">
        <v>1</v>
      </c>
      <c r="G576" s="946">
        <v>68.5</v>
      </c>
      <c r="H576" s="946">
        <v>71</v>
      </c>
    </row>
    <row r="577" spans="1:9" s="26" customFormat="1">
      <c r="A577" s="947">
        <v>3</v>
      </c>
      <c r="B577" s="948">
        <v>280</v>
      </c>
      <c r="C577" s="948" t="s">
        <v>244</v>
      </c>
      <c r="D577" s="947" t="s">
        <v>1</v>
      </c>
      <c r="E577" s="950">
        <v>15</v>
      </c>
      <c r="F577" s="950">
        <v>1</v>
      </c>
      <c r="G577" s="951">
        <v>1100</v>
      </c>
      <c r="H577" s="951">
        <v>1164</v>
      </c>
      <c r="I577" s="18"/>
    </row>
    <row r="578" spans="1:9">
      <c r="A578" s="943">
        <v>3</v>
      </c>
      <c r="B578" s="944">
        <v>302.08</v>
      </c>
      <c r="C578" s="944" t="s">
        <v>248</v>
      </c>
      <c r="D578" s="943" t="s">
        <v>17</v>
      </c>
      <c r="E578" s="945">
        <v>400</v>
      </c>
      <c r="F578" s="945">
        <v>1</v>
      </c>
      <c r="G578" s="946">
        <v>225</v>
      </c>
      <c r="H578" s="946">
        <v>210</v>
      </c>
    </row>
    <row r="579" spans="1:9" s="26" customFormat="1">
      <c r="A579" s="947">
        <v>3</v>
      </c>
      <c r="B579" s="948">
        <v>302.12</v>
      </c>
      <c r="C579" s="948" t="s">
        <v>250</v>
      </c>
      <c r="D579" s="947" t="s">
        <v>17</v>
      </c>
      <c r="E579" s="949">
        <v>1200</v>
      </c>
      <c r="F579" s="950">
        <v>1</v>
      </c>
      <c r="G579" s="951">
        <v>230</v>
      </c>
      <c r="H579" s="951">
        <v>226.88</v>
      </c>
      <c r="I579" s="18"/>
    </row>
    <row r="580" spans="1:9">
      <c r="A580" s="943">
        <v>3</v>
      </c>
      <c r="B580" s="944">
        <v>303.06</v>
      </c>
      <c r="C580" s="944" t="s">
        <v>251</v>
      </c>
      <c r="D580" s="943" t="s">
        <v>17</v>
      </c>
      <c r="E580" s="952">
        <v>1515</v>
      </c>
      <c r="F580" s="945">
        <v>3</v>
      </c>
      <c r="G580" s="946">
        <v>185</v>
      </c>
      <c r="H580" s="946">
        <v>177.5</v>
      </c>
    </row>
    <row r="581" spans="1:9" s="26" customFormat="1">
      <c r="A581" s="947">
        <v>3</v>
      </c>
      <c r="B581" s="948">
        <v>303.10000000000002</v>
      </c>
      <c r="C581" s="948" t="s">
        <v>253</v>
      </c>
      <c r="D581" s="947" t="s">
        <v>17</v>
      </c>
      <c r="E581" s="950">
        <v>150</v>
      </c>
      <c r="F581" s="950">
        <v>1</v>
      </c>
      <c r="G581" s="951">
        <v>320</v>
      </c>
      <c r="H581" s="951">
        <v>288</v>
      </c>
      <c r="I581" s="18"/>
    </row>
    <row r="582" spans="1:9">
      <c r="A582" s="943">
        <v>3</v>
      </c>
      <c r="B582" s="944">
        <v>309</v>
      </c>
      <c r="C582" s="944" t="s">
        <v>256</v>
      </c>
      <c r="D582" s="943" t="s">
        <v>100</v>
      </c>
      <c r="E582" s="952">
        <v>9800</v>
      </c>
      <c r="F582" s="945">
        <v>2</v>
      </c>
      <c r="G582" s="946">
        <v>6.25</v>
      </c>
      <c r="H582" s="946">
        <v>5.38</v>
      </c>
    </row>
    <row r="583" spans="1:9" s="26" customFormat="1">
      <c r="A583" s="947">
        <v>3</v>
      </c>
      <c r="B583" s="948">
        <v>347.1</v>
      </c>
      <c r="C583" s="948" t="s">
        <v>260</v>
      </c>
      <c r="D583" s="947" t="s">
        <v>17</v>
      </c>
      <c r="E583" s="950">
        <v>600</v>
      </c>
      <c r="F583" s="950">
        <v>1</v>
      </c>
      <c r="G583" s="951">
        <v>100</v>
      </c>
      <c r="H583" s="951">
        <v>98.75</v>
      </c>
      <c r="I583" s="18"/>
    </row>
    <row r="584" spans="1:9">
      <c r="A584" s="943">
        <v>3</v>
      </c>
      <c r="B584" s="944">
        <v>347.15</v>
      </c>
      <c r="C584" s="944" t="s">
        <v>1329</v>
      </c>
      <c r="D584" s="943" t="s">
        <v>17</v>
      </c>
      <c r="E584" s="945">
        <v>200</v>
      </c>
      <c r="F584" s="945">
        <v>1</v>
      </c>
      <c r="G584" s="946">
        <v>150</v>
      </c>
      <c r="H584" s="946">
        <v>150</v>
      </c>
    </row>
    <row r="585" spans="1:9" s="26" customFormat="1">
      <c r="A585" s="947">
        <v>3</v>
      </c>
      <c r="B585" s="948">
        <v>350.06</v>
      </c>
      <c r="C585" s="948" t="s">
        <v>264</v>
      </c>
      <c r="D585" s="947" t="s">
        <v>2</v>
      </c>
      <c r="E585" s="950">
        <v>16</v>
      </c>
      <c r="F585" s="950">
        <v>1</v>
      </c>
      <c r="G585" s="951">
        <v>2800</v>
      </c>
      <c r="H585" s="951">
        <v>2675</v>
      </c>
      <c r="I585" s="18"/>
    </row>
    <row r="586" spans="1:9">
      <c r="A586" s="943">
        <v>3</v>
      </c>
      <c r="B586" s="944">
        <v>357.06</v>
      </c>
      <c r="C586" s="944" t="s">
        <v>268</v>
      </c>
      <c r="D586" s="943" t="s">
        <v>2</v>
      </c>
      <c r="E586" s="945">
        <v>34</v>
      </c>
      <c r="F586" s="945">
        <v>2</v>
      </c>
      <c r="G586" s="946">
        <v>650</v>
      </c>
      <c r="H586" s="946">
        <v>656.92</v>
      </c>
    </row>
    <row r="587" spans="1:9" s="26" customFormat="1">
      <c r="A587" s="947">
        <v>3</v>
      </c>
      <c r="B587" s="948">
        <v>357.08</v>
      </c>
      <c r="C587" s="948" t="s">
        <v>269</v>
      </c>
      <c r="D587" s="947" t="s">
        <v>2</v>
      </c>
      <c r="E587" s="950">
        <v>39</v>
      </c>
      <c r="F587" s="950">
        <v>2</v>
      </c>
      <c r="G587" s="951">
        <v>650</v>
      </c>
      <c r="H587" s="951">
        <v>660.77</v>
      </c>
      <c r="I587" s="18"/>
    </row>
    <row r="588" spans="1:9">
      <c r="A588" s="943">
        <v>3</v>
      </c>
      <c r="B588" s="944">
        <v>357.1</v>
      </c>
      <c r="C588" s="944" t="s">
        <v>270</v>
      </c>
      <c r="D588" s="943" t="s">
        <v>2</v>
      </c>
      <c r="E588" s="945">
        <v>30</v>
      </c>
      <c r="F588" s="945">
        <v>1</v>
      </c>
      <c r="G588" s="946">
        <v>662.5</v>
      </c>
      <c r="H588" s="946">
        <v>661.67</v>
      </c>
    </row>
    <row r="589" spans="1:9" s="26" customFormat="1">
      <c r="A589" s="947">
        <v>3</v>
      </c>
      <c r="B589" s="948">
        <v>357.12</v>
      </c>
      <c r="C589" s="948" t="s">
        <v>271</v>
      </c>
      <c r="D589" s="947" t="s">
        <v>2</v>
      </c>
      <c r="E589" s="950">
        <v>47</v>
      </c>
      <c r="F589" s="950">
        <v>3</v>
      </c>
      <c r="G589" s="951">
        <v>662.5</v>
      </c>
      <c r="H589" s="951">
        <v>645.88</v>
      </c>
      <c r="I589" s="18"/>
    </row>
    <row r="590" spans="1:9">
      <c r="A590" s="943">
        <v>3</v>
      </c>
      <c r="B590" s="944">
        <v>358</v>
      </c>
      <c r="C590" s="944" t="s">
        <v>274</v>
      </c>
      <c r="D590" s="943" t="s">
        <v>2</v>
      </c>
      <c r="E590" s="952">
        <v>1197</v>
      </c>
      <c r="F590" s="945">
        <v>7</v>
      </c>
      <c r="G590" s="946">
        <v>310</v>
      </c>
      <c r="H590" s="946">
        <v>296.10000000000002</v>
      </c>
    </row>
    <row r="591" spans="1:9" s="26" customFormat="1">
      <c r="A591" s="947">
        <v>3</v>
      </c>
      <c r="B591" s="948">
        <v>370.1</v>
      </c>
      <c r="C591" s="948" t="s">
        <v>282</v>
      </c>
      <c r="D591" s="947" t="s">
        <v>2</v>
      </c>
      <c r="E591" s="950">
        <v>7</v>
      </c>
      <c r="F591" s="950">
        <v>1</v>
      </c>
      <c r="G591" s="951">
        <v>10000</v>
      </c>
      <c r="H591" s="951">
        <v>9428.57</v>
      </c>
      <c r="I591" s="18"/>
    </row>
    <row r="592" spans="1:9">
      <c r="A592" s="943">
        <v>3</v>
      </c>
      <c r="B592" s="944">
        <v>370.2</v>
      </c>
      <c r="C592" s="944" t="s">
        <v>1343</v>
      </c>
      <c r="D592" s="943" t="s">
        <v>2</v>
      </c>
      <c r="E592" s="945">
        <v>6</v>
      </c>
      <c r="F592" s="945">
        <v>1</v>
      </c>
      <c r="G592" s="946">
        <v>15000</v>
      </c>
      <c r="H592" s="946">
        <v>14333.33</v>
      </c>
    </row>
    <row r="593" spans="1:9" s="26" customFormat="1">
      <c r="A593" s="947">
        <v>3</v>
      </c>
      <c r="B593" s="948">
        <v>370.4</v>
      </c>
      <c r="C593" s="948" t="s">
        <v>283</v>
      </c>
      <c r="D593" s="947" t="s">
        <v>2</v>
      </c>
      <c r="E593" s="950">
        <v>6</v>
      </c>
      <c r="F593" s="950">
        <v>1</v>
      </c>
      <c r="G593" s="951">
        <v>15000</v>
      </c>
      <c r="H593" s="951">
        <v>14666.67</v>
      </c>
      <c r="I593" s="18"/>
    </row>
    <row r="594" spans="1:9">
      <c r="A594" s="943">
        <v>3</v>
      </c>
      <c r="B594" s="944">
        <v>376.1</v>
      </c>
      <c r="C594" s="944" t="s">
        <v>291</v>
      </c>
      <c r="D594" s="943" t="s">
        <v>2</v>
      </c>
      <c r="E594" s="945">
        <v>7</v>
      </c>
      <c r="F594" s="945">
        <v>1</v>
      </c>
      <c r="G594" s="946">
        <v>4000</v>
      </c>
      <c r="H594" s="946">
        <v>3628.57</v>
      </c>
    </row>
    <row r="595" spans="1:9" s="26" customFormat="1">
      <c r="A595" s="947">
        <v>3</v>
      </c>
      <c r="B595" s="948">
        <v>376.2</v>
      </c>
      <c r="C595" s="948" t="s">
        <v>292</v>
      </c>
      <c r="D595" s="947" t="s">
        <v>2</v>
      </c>
      <c r="E595" s="950">
        <v>128</v>
      </c>
      <c r="F595" s="950">
        <v>4</v>
      </c>
      <c r="G595" s="951">
        <v>4000</v>
      </c>
      <c r="H595" s="951">
        <v>4162.07</v>
      </c>
      <c r="I595" s="18"/>
    </row>
    <row r="596" spans="1:9">
      <c r="A596" s="943">
        <v>3</v>
      </c>
      <c r="B596" s="944">
        <v>381</v>
      </c>
      <c r="C596" s="944" t="s">
        <v>295</v>
      </c>
      <c r="D596" s="943" t="s">
        <v>2</v>
      </c>
      <c r="E596" s="945">
        <v>462</v>
      </c>
      <c r="F596" s="945">
        <v>2</v>
      </c>
      <c r="G596" s="946">
        <v>500</v>
      </c>
      <c r="H596" s="946">
        <v>495.83</v>
      </c>
    </row>
    <row r="597" spans="1:9" s="26" customFormat="1">
      <c r="A597" s="947">
        <v>3</v>
      </c>
      <c r="B597" s="948">
        <v>381.01</v>
      </c>
      <c r="C597" s="948" t="s">
        <v>296</v>
      </c>
      <c r="D597" s="947" t="s">
        <v>2</v>
      </c>
      <c r="E597" s="950">
        <v>5</v>
      </c>
      <c r="F597" s="950">
        <v>1</v>
      </c>
      <c r="G597" s="951">
        <v>400</v>
      </c>
      <c r="H597" s="951">
        <v>408</v>
      </c>
      <c r="I597" s="18"/>
    </row>
    <row r="598" spans="1:9">
      <c r="A598" s="943">
        <v>3</v>
      </c>
      <c r="B598" s="944">
        <v>381.3</v>
      </c>
      <c r="C598" s="944" t="s">
        <v>298</v>
      </c>
      <c r="D598" s="943" t="s">
        <v>2</v>
      </c>
      <c r="E598" s="945">
        <v>431</v>
      </c>
      <c r="F598" s="945">
        <v>5</v>
      </c>
      <c r="G598" s="946">
        <v>225</v>
      </c>
      <c r="H598" s="946">
        <v>246.67</v>
      </c>
    </row>
    <row r="599" spans="1:9" s="26" customFormat="1">
      <c r="A599" s="947">
        <v>3</v>
      </c>
      <c r="B599" s="948">
        <v>384</v>
      </c>
      <c r="C599" s="948" t="s">
        <v>299</v>
      </c>
      <c r="D599" s="947" t="s">
        <v>2</v>
      </c>
      <c r="E599" s="950">
        <v>12</v>
      </c>
      <c r="F599" s="950">
        <v>1</v>
      </c>
      <c r="G599" s="951">
        <v>600</v>
      </c>
      <c r="H599" s="951">
        <v>593.33000000000004</v>
      </c>
      <c r="I599" s="18"/>
    </row>
    <row r="600" spans="1:9">
      <c r="A600" s="943">
        <v>3</v>
      </c>
      <c r="B600" s="944">
        <v>384.1</v>
      </c>
      <c r="C600" s="944" t="s">
        <v>1356</v>
      </c>
      <c r="D600" s="943" t="s">
        <v>2</v>
      </c>
      <c r="E600" s="945">
        <v>3</v>
      </c>
      <c r="F600" s="945">
        <v>1</v>
      </c>
      <c r="G600" s="946">
        <v>750</v>
      </c>
      <c r="H600" s="946">
        <v>700</v>
      </c>
    </row>
    <row r="601" spans="1:9" s="26" customFormat="1">
      <c r="A601" s="947">
        <v>3</v>
      </c>
      <c r="B601" s="948">
        <v>402</v>
      </c>
      <c r="C601" s="948" t="s">
        <v>301</v>
      </c>
      <c r="D601" s="947" t="s">
        <v>4</v>
      </c>
      <c r="E601" s="949">
        <v>52760</v>
      </c>
      <c r="F601" s="950">
        <v>6</v>
      </c>
      <c r="G601" s="951">
        <v>88</v>
      </c>
      <c r="H601" s="951">
        <v>91.95</v>
      </c>
      <c r="I601" s="18"/>
    </row>
    <row r="602" spans="1:9">
      <c r="A602" s="943">
        <v>3</v>
      </c>
      <c r="B602" s="944">
        <v>403.1</v>
      </c>
      <c r="C602" s="944" t="s">
        <v>304</v>
      </c>
      <c r="D602" s="943" t="s">
        <v>7</v>
      </c>
      <c r="E602" s="952">
        <v>8000</v>
      </c>
      <c r="F602" s="945">
        <v>1</v>
      </c>
      <c r="G602" s="946">
        <v>40</v>
      </c>
      <c r="H602" s="946">
        <v>36.880000000000003</v>
      </c>
    </row>
    <row r="603" spans="1:9" s="26" customFormat="1">
      <c r="A603" s="947">
        <v>3</v>
      </c>
      <c r="B603" s="948">
        <v>415.1</v>
      </c>
      <c r="C603" s="948" t="s">
        <v>1360</v>
      </c>
      <c r="D603" s="947" t="s">
        <v>1</v>
      </c>
      <c r="E603" s="949">
        <v>380200</v>
      </c>
      <c r="F603" s="950">
        <v>3</v>
      </c>
      <c r="G603" s="951">
        <v>9</v>
      </c>
      <c r="H603" s="951">
        <v>8.18</v>
      </c>
      <c r="I603" s="18"/>
    </row>
    <row r="604" spans="1:9">
      <c r="A604" s="943">
        <v>3</v>
      </c>
      <c r="B604" s="944">
        <v>415.2</v>
      </c>
      <c r="C604" s="944" t="s">
        <v>1361</v>
      </c>
      <c r="D604" s="943" t="s">
        <v>1</v>
      </c>
      <c r="E604" s="952">
        <v>3191643</v>
      </c>
      <c r="F604" s="945">
        <v>11</v>
      </c>
      <c r="G604" s="946">
        <v>13.75</v>
      </c>
      <c r="H604" s="946">
        <v>10.63</v>
      </c>
    </row>
    <row r="605" spans="1:9" s="26" customFormat="1">
      <c r="A605" s="947">
        <v>3</v>
      </c>
      <c r="B605" s="948">
        <v>415.4</v>
      </c>
      <c r="C605" s="948" t="s">
        <v>1362</v>
      </c>
      <c r="D605" s="947" t="s">
        <v>1</v>
      </c>
      <c r="E605" s="949">
        <v>16002</v>
      </c>
      <c r="F605" s="950">
        <v>2</v>
      </c>
      <c r="G605" s="951">
        <v>30</v>
      </c>
      <c r="H605" s="951">
        <v>26.92</v>
      </c>
      <c r="I605" s="18"/>
    </row>
    <row r="606" spans="1:9">
      <c r="A606" s="943">
        <v>3</v>
      </c>
      <c r="B606" s="944">
        <v>431</v>
      </c>
      <c r="C606" s="944" t="s">
        <v>27</v>
      </c>
      <c r="D606" s="943" t="s">
        <v>1</v>
      </c>
      <c r="E606" s="952">
        <v>3510</v>
      </c>
      <c r="F606" s="945">
        <v>2</v>
      </c>
      <c r="G606" s="946">
        <v>75</v>
      </c>
      <c r="H606" s="946">
        <v>75.33</v>
      </c>
    </row>
    <row r="607" spans="1:9" s="26" customFormat="1">
      <c r="A607" s="947">
        <v>3</v>
      </c>
      <c r="B607" s="948">
        <v>440</v>
      </c>
      <c r="C607" s="948" t="s">
        <v>305</v>
      </c>
      <c r="D607" s="947" t="s">
        <v>100</v>
      </c>
      <c r="E607" s="949">
        <v>761350</v>
      </c>
      <c r="F607" s="950">
        <v>6</v>
      </c>
      <c r="G607" s="951">
        <v>0.3</v>
      </c>
      <c r="H607" s="951">
        <v>0.34</v>
      </c>
      <c r="I607" s="18"/>
    </row>
    <row r="608" spans="1:9">
      <c r="A608" s="943">
        <v>3</v>
      </c>
      <c r="B608" s="944">
        <v>443</v>
      </c>
      <c r="C608" s="944" t="s">
        <v>306</v>
      </c>
      <c r="D608" s="943" t="s">
        <v>307</v>
      </c>
      <c r="E608" s="953">
        <v>1204.8</v>
      </c>
      <c r="F608" s="945">
        <v>7</v>
      </c>
      <c r="G608" s="946">
        <v>60</v>
      </c>
      <c r="H608" s="946">
        <v>56.85</v>
      </c>
    </row>
    <row r="609" spans="1:9" s="26" customFormat="1">
      <c r="A609" s="947">
        <v>3</v>
      </c>
      <c r="B609" s="948">
        <v>450.22</v>
      </c>
      <c r="C609" s="948" t="s">
        <v>4033</v>
      </c>
      <c r="D609" s="947" t="s">
        <v>7</v>
      </c>
      <c r="E609" s="949">
        <v>9826</v>
      </c>
      <c r="F609" s="950">
        <v>3</v>
      </c>
      <c r="G609" s="951">
        <v>185</v>
      </c>
      <c r="H609" s="951">
        <v>195.88</v>
      </c>
      <c r="I609" s="18"/>
    </row>
    <row r="610" spans="1:9">
      <c r="A610" s="943">
        <v>3</v>
      </c>
      <c r="B610" s="944">
        <v>450.221</v>
      </c>
      <c r="C610" s="944" t="s">
        <v>4034</v>
      </c>
      <c r="D610" s="943" t="s">
        <v>7</v>
      </c>
      <c r="E610" s="952">
        <v>2835</v>
      </c>
      <c r="F610" s="945">
        <v>3</v>
      </c>
      <c r="G610" s="946">
        <v>261</v>
      </c>
      <c r="H610" s="946">
        <v>248.74</v>
      </c>
    </row>
    <row r="611" spans="1:9" s="26" customFormat="1">
      <c r="A611" s="947">
        <v>3</v>
      </c>
      <c r="B611" s="948">
        <v>450.23</v>
      </c>
      <c r="C611" s="948" t="s">
        <v>308</v>
      </c>
      <c r="D611" s="947" t="s">
        <v>7</v>
      </c>
      <c r="E611" s="949">
        <v>36881</v>
      </c>
      <c r="F611" s="950">
        <v>3</v>
      </c>
      <c r="G611" s="951">
        <v>155</v>
      </c>
      <c r="H611" s="951">
        <v>206.78</v>
      </c>
      <c r="I611" s="18"/>
    </row>
    <row r="612" spans="1:9">
      <c r="A612" s="943">
        <v>3</v>
      </c>
      <c r="B612" s="944">
        <v>450.23099999999999</v>
      </c>
      <c r="C612" s="944" t="s">
        <v>1367</v>
      </c>
      <c r="D612" s="943" t="s">
        <v>7</v>
      </c>
      <c r="E612" s="952">
        <v>186095</v>
      </c>
      <c r="F612" s="945">
        <v>7</v>
      </c>
      <c r="G612" s="946">
        <v>152</v>
      </c>
      <c r="H612" s="946">
        <v>157.86000000000001</v>
      </c>
    </row>
    <row r="613" spans="1:9" s="26" customFormat="1">
      <c r="A613" s="947">
        <v>3</v>
      </c>
      <c r="B613" s="948">
        <v>450.31</v>
      </c>
      <c r="C613" s="948" t="s">
        <v>53</v>
      </c>
      <c r="D613" s="947" t="s">
        <v>7</v>
      </c>
      <c r="E613" s="949">
        <v>69232</v>
      </c>
      <c r="F613" s="950">
        <v>5</v>
      </c>
      <c r="G613" s="951">
        <v>170</v>
      </c>
      <c r="H613" s="951">
        <v>164.35</v>
      </c>
      <c r="I613" s="18"/>
    </row>
    <row r="614" spans="1:9">
      <c r="A614" s="943">
        <v>3</v>
      </c>
      <c r="B614" s="944">
        <v>450.32</v>
      </c>
      <c r="C614" s="944" t="s">
        <v>309</v>
      </c>
      <c r="D614" s="943" t="s">
        <v>7</v>
      </c>
      <c r="E614" s="952">
        <v>88516</v>
      </c>
      <c r="F614" s="945">
        <v>7</v>
      </c>
      <c r="G614" s="946">
        <v>140</v>
      </c>
      <c r="H614" s="946">
        <v>144.91</v>
      </c>
    </row>
    <row r="615" spans="1:9" s="26" customFormat="1">
      <c r="A615" s="947">
        <v>3</v>
      </c>
      <c r="B615" s="948">
        <v>450.42</v>
      </c>
      <c r="C615" s="948" t="s">
        <v>37</v>
      </c>
      <c r="D615" s="947" t="s">
        <v>7</v>
      </c>
      <c r="E615" s="949">
        <v>120190</v>
      </c>
      <c r="F615" s="950">
        <v>6</v>
      </c>
      <c r="G615" s="951">
        <v>145</v>
      </c>
      <c r="H615" s="951">
        <v>146.05000000000001</v>
      </c>
      <c r="I615" s="18"/>
    </row>
    <row r="616" spans="1:9">
      <c r="A616" s="943">
        <v>3</v>
      </c>
      <c r="B616" s="944">
        <v>450.52</v>
      </c>
      <c r="C616" s="944" t="s">
        <v>310</v>
      </c>
      <c r="D616" s="943" t="s">
        <v>7</v>
      </c>
      <c r="E616" s="952">
        <v>1500</v>
      </c>
      <c r="F616" s="945">
        <v>2</v>
      </c>
      <c r="G616" s="946">
        <v>127</v>
      </c>
      <c r="H616" s="946">
        <v>124.08</v>
      </c>
    </row>
    <row r="617" spans="1:9" s="26" customFormat="1">
      <c r="A617" s="947">
        <v>3</v>
      </c>
      <c r="B617" s="948">
        <v>450.53</v>
      </c>
      <c r="C617" s="948" t="s">
        <v>1372</v>
      </c>
      <c r="D617" s="947" t="s">
        <v>7</v>
      </c>
      <c r="E617" s="950">
        <v>300</v>
      </c>
      <c r="F617" s="950">
        <v>1</v>
      </c>
      <c r="G617" s="951">
        <v>220</v>
      </c>
      <c r="H617" s="951">
        <v>234.17</v>
      </c>
      <c r="I617" s="18"/>
    </row>
    <row r="618" spans="1:9">
      <c r="A618" s="943">
        <v>3</v>
      </c>
      <c r="B618" s="944">
        <v>450.6</v>
      </c>
      <c r="C618" s="944" t="s">
        <v>311</v>
      </c>
      <c r="D618" s="943" t="s">
        <v>7</v>
      </c>
      <c r="E618" s="945">
        <v>473</v>
      </c>
      <c r="F618" s="945">
        <v>2</v>
      </c>
      <c r="G618" s="946">
        <v>347.5</v>
      </c>
      <c r="H618" s="946">
        <v>322.92</v>
      </c>
    </row>
    <row r="619" spans="1:9" s="26" customFormat="1">
      <c r="A619" s="947">
        <v>3</v>
      </c>
      <c r="B619" s="948">
        <v>450.601</v>
      </c>
      <c r="C619" s="948" t="s">
        <v>1373</v>
      </c>
      <c r="D619" s="947" t="s">
        <v>7</v>
      </c>
      <c r="E619" s="949">
        <v>7590</v>
      </c>
      <c r="F619" s="950">
        <v>4</v>
      </c>
      <c r="G619" s="951">
        <v>322.5</v>
      </c>
      <c r="H619" s="951">
        <v>322.92</v>
      </c>
      <c r="I619" s="18"/>
    </row>
    <row r="620" spans="1:9">
      <c r="A620" s="943">
        <v>3</v>
      </c>
      <c r="B620" s="944">
        <v>450.7</v>
      </c>
      <c r="C620" s="944" t="s">
        <v>313</v>
      </c>
      <c r="D620" s="943" t="s">
        <v>7</v>
      </c>
      <c r="E620" s="945">
        <v>216</v>
      </c>
      <c r="F620" s="945">
        <v>2</v>
      </c>
      <c r="G620" s="946">
        <v>345</v>
      </c>
      <c r="H620" s="946">
        <v>335</v>
      </c>
    </row>
    <row r="621" spans="1:9" s="26" customFormat="1">
      <c r="A621" s="947">
        <v>3</v>
      </c>
      <c r="B621" s="948">
        <v>450.70100000000002</v>
      </c>
      <c r="C621" s="948" t="s">
        <v>1375</v>
      </c>
      <c r="D621" s="947" t="s">
        <v>7</v>
      </c>
      <c r="E621" s="949">
        <v>2535</v>
      </c>
      <c r="F621" s="950">
        <v>3</v>
      </c>
      <c r="G621" s="951">
        <v>292.5</v>
      </c>
      <c r="H621" s="951">
        <v>282.89</v>
      </c>
      <c r="I621" s="18"/>
    </row>
    <row r="622" spans="1:9">
      <c r="A622" s="943">
        <v>3</v>
      </c>
      <c r="B622" s="944">
        <v>450.71</v>
      </c>
      <c r="C622" s="944" t="s">
        <v>4035</v>
      </c>
      <c r="D622" s="943" t="s">
        <v>7</v>
      </c>
      <c r="E622" s="945">
        <v>25</v>
      </c>
      <c r="F622" s="945">
        <v>1</v>
      </c>
      <c r="G622" s="946">
        <v>362.5</v>
      </c>
      <c r="H622" s="946">
        <v>383</v>
      </c>
    </row>
    <row r="623" spans="1:9" s="26" customFormat="1">
      <c r="A623" s="947">
        <v>3</v>
      </c>
      <c r="B623" s="948">
        <v>450.71100000000001</v>
      </c>
      <c r="C623" s="948" t="s">
        <v>4036</v>
      </c>
      <c r="D623" s="947" t="s">
        <v>7</v>
      </c>
      <c r="E623" s="950">
        <v>800</v>
      </c>
      <c r="F623" s="950">
        <v>1</v>
      </c>
      <c r="G623" s="951">
        <v>225</v>
      </c>
      <c r="H623" s="951">
        <v>225</v>
      </c>
      <c r="I623" s="18"/>
    </row>
    <row r="624" spans="1:9">
      <c r="A624" s="943">
        <v>3</v>
      </c>
      <c r="B624" s="944">
        <v>451</v>
      </c>
      <c r="C624" s="944" t="s">
        <v>36</v>
      </c>
      <c r="D624" s="943" t="s">
        <v>7</v>
      </c>
      <c r="E624" s="953">
        <v>15441.5</v>
      </c>
      <c r="F624" s="945">
        <v>15</v>
      </c>
      <c r="G624" s="946">
        <v>275</v>
      </c>
      <c r="H624" s="946">
        <v>266.41000000000003</v>
      </c>
    </row>
    <row r="625" spans="1:9" s="26" customFormat="1">
      <c r="A625" s="947">
        <v>3</v>
      </c>
      <c r="B625" s="948">
        <v>452</v>
      </c>
      <c r="C625" s="948" t="s">
        <v>31</v>
      </c>
      <c r="D625" s="947" t="s">
        <v>20</v>
      </c>
      <c r="E625" s="949">
        <v>402939</v>
      </c>
      <c r="F625" s="950">
        <v>17</v>
      </c>
      <c r="G625" s="951">
        <v>8.3000000000000007</v>
      </c>
      <c r="H625" s="951">
        <v>7.87</v>
      </c>
      <c r="I625" s="18"/>
    </row>
    <row r="626" spans="1:9">
      <c r="A626" s="943">
        <v>3</v>
      </c>
      <c r="B626" s="944">
        <v>453</v>
      </c>
      <c r="C626" s="944" t="s">
        <v>3962</v>
      </c>
      <c r="D626" s="943" t="s">
        <v>17</v>
      </c>
      <c r="E626" s="952">
        <v>644471</v>
      </c>
      <c r="F626" s="945">
        <v>10</v>
      </c>
      <c r="G626" s="946">
        <v>1.23</v>
      </c>
      <c r="H626" s="946">
        <v>1.02</v>
      </c>
    </row>
    <row r="627" spans="1:9" s="26" customFormat="1">
      <c r="A627" s="947">
        <v>3</v>
      </c>
      <c r="B627" s="948">
        <v>457.1</v>
      </c>
      <c r="C627" s="948" t="s">
        <v>1378</v>
      </c>
      <c r="D627" s="947" t="s">
        <v>7</v>
      </c>
      <c r="E627" s="949">
        <v>3640</v>
      </c>
      <c r="F627" s="950">
        <v>3</v>
      </c>
      <c r="G627" s="951">
        <v>375</v>
      </c>
      <c r="H627" s="951">
        <v>386.67</v>
      </c>
      <c r="I627" s="18"/>
    </row>
    <row r="628" spans="1:9">
      <c r="A628" s="943">
        <v>3</v>
      </c>
      <c r="B628" s="944">
        <v>457.2</v>
      </c>
      <c r="C628" s="944" t="s">
        <v>1379</v>
      </c>
      <c r="D628" s="943" t="s">
        <v>7</v>
      </c>
      <c r="E628" s="945">
        <v>450</v>
      </c>
      <c r="F628" s="945">
        <v>1</v>
      </c>
      <c r="G628" s="946">
        <v>700</v>
      </c>
      <c r="H628" s="946">
        <v>691.67</v>
      </c>
    </row>
    <row r="629" spans="1:9" s="26" customFormat="1">
      <c r="A629" s="947">
        <v>3</v>
      </c>
      <c r="B629" s="948">
        <v>458.2</v>
      </c>
      <c r="C629" s="948" t="s">
        <v>4037</v>
      </c>
      <c r="D629" s="947" t="s">
        <v>7</v>
      </c>
      <c r="E629" s="949">
        <v>284448</v>
      </c>
      <c r="F629" s="950">
        <v>1</v>
      </c>
      <c r="G629" s="951">
        <v>162</v>
      </c>
      <c r="H629" s="951">
        <v>159.33000000000001</v>
      </c>
      <c r="I629" s="18"/>
    </row>
    <row r="630" spans="1:9">
      <c r="A630" s="943">
        <v>3</v>
      </c>
      <c r="B630" s="944">
        <v>470</v>
      </c>
      <c r="C630" s="944" t="s">
        <v>1382</v>
      </c>
      <c r="D630" s="943" t="s">
        <v>7</v>
      </c>
      <c r="E630" s="953">
        <v>4063.2</v>
      </c>
      <c r="F630" s="945">
        <v>7</v>
      </c>
      <c r="G630" s="946">
        <v>320</v>
      </c>
      <c r="H630" s="946">
        <v>313.89</v>
      </c>
    </row>
    <row r="631" spans="1:9" s="26" customFormat="1">
      <c r="A631" s="947">
        <v>3</v>
      </c>
      <c r="B631" s="948">
        <v>472</v>
      </c>
      <c r="C631" s="948" t="s">
        <v>1383</v>
      </c>
      <c r="D631" s="947" t="s">
        <v>7</v>
      </c>
      <c r="E631" s="949">
        <v>28913</v>
      </c>
      <c r="F631" s="950">
        <v>11</v>
      </c>
      <c r="G631" s="951">
        <v>227.5</v>
      </c>
      <c r="H631" s="951">
        <v>237.35</v>
      </c>
      <c r="I631" s="18"/>
    </row>
    <row r="632" spans="1:9">
      <c r="A632" s="943">
        <v>3</v>
      </c>
      <c r="B632" s="944">
        <v>477</v>
      </c>
      <c r="C632" s="944" t="s">
        <v>1384</v>
      </c>
      <c r="D632" s="943" t="s">
        <v>17</v>
      </c>
      <c r="E632" s="952">
        <v>512132</v>
      </c>
      <c r="F632" s="945">
        <v>4</v>
      </c>
      <c r="G632" s="946">
        <v>0.4</v>
      </c>
      <c r="H632" s="946">
        <v>0.68</v>
      </c>
    </row>
    <row r="633" spans="1:9" s="26" customFormat="1">
      <c r="A633" s="947">
        <v>3</v>
      </c>
      <c r="B633" s="948">
        <v>477.1</v>
      </c>
      <c r="C633" s="948" t="s">
        <v>1385</v>
      </c>
      <c r="D633" s="947" t="s">
        <v>17</v>
      </c>
      <c r="E633" s="949">
        <v>30000</v>
      </c>
      <c r="F633" s="950">
        <v>1</v>
      </c>
      <c r="G633" s="951">
        <v>1.45</v>
      </c>
      <c r="H633" s="951">
        <v>2.25</v>
      </c>
      <c r="I633" s="18"/>
    </row>
    <row r="634" spans="1:9">
      <c r="A634" s="943">
        <v>3</v>
      </c>
      <c r="B634" s="944">
        <v>477.2</v>
      </c>
      <c r="C634" s="944" t="s">
        <v>1386</v>
      </c>
      <c r="D634" s="943" t="s">
        <v>17</v>
      </c>
      <c r="E634" s="952">
        <v>60045</v>
      </c>
      <c r="F634" s="945">
        <v>1</v>
      </c>
      <c r="G634" s="946">
        <v>1.2</v>
      </c>
      <c r="H634" s="946">
        <v>1.3</v>
      </c>
    </row>
    <row r="635" spans="1:9" s="26" customFormat="1">
      <c r="A635" s="947">
        <v>3</v>
      </c>
      <c r="B635" s="948">
        <v>480.2</v>
      </c>
      <c r="C635" s="948" t="s">
        <v>4002</v>
      </c>
      <c r="D635" s="947" t="s">
        <v>20</v>
      </c>
      <c r="E635" s="949">
        <v>18012</v>
      </c>
      <c r="F635" s="950">
        <v>1</v>
      </c>
      <c r="G635" s="951">
        <v>17</v>
      </c>
      <c r="H635" s="951">
        <v>16.5</v>
      </c>
      <c r="I635" s="18"/>
    </row>
    <row r="636" spans="1:9">
      <c r="A636" s="943">
        <v>3</v>
      </c>
      <c r="B636" s="944">
        <v>482.3</v>
      </c>
      <c r="C636" s="944" t="s">
        <v>319</v>
      </c>
      <c r="D636" s="943" t="s">
        <v>17</v>
      </c>
      <c r="E636" s="952">
        <v>1440</v>
      </c>
      <c r="F636" s="945">
        <v>2</v>
      </c>
      <c r="G636" s="946">
        <v>6</v>
      </c>
      <c r="H636" s="946">
        <v>5.5</v>
      </c>
    </row>
    <row r="637" spans="1:9" s="26" customFormat="1">
      <c r="A637" s="947">
        <v>3</v>
      </c>
      <c r="B637" s="948">
        <v>482.31</v>
      </c>
      <c r="C637" s="948" t="s">
        <v>4038</v>
      </c>
      <c r="D637" s="947" t="s">
        <v>17</v>
      </c>
      <c r="E637" s="949">
        <v>6871</v>
      </c>
      <c r="F637" s="950">
        <v>8</v>
      </c>
      <c r="G637" s="951">
        <v>42</v>
      </c>
      <c r="H637" s="951">
        <v>38.76</v>
      </c>
      <c r="I637" s="18"/>
    </row>
    <row r="638" spans="1:9">
      <c r="A638" s="943">
        <v>3</v>
      </c>
      <c r="B638" s="944">
        <v>482.4</v>
      </c>
      <c r="C638" s="944" t="s">
        <v>321</v>
      </c>
      <c r="D638" s="943" t="s">
        <v>17</v>
      </c>
      <c r="E638" s="945">
        <v>460</v>
      </c>
      <c r="F638" s="945">
        <v>3</v>
      </c>
      <c r="G638" s="946">
        <v>7</v>
      </c>
      <c r="H638" s="946">
        <v>7</v>
      </c>
    </row>
    <row r="639" spans="1:9" s="26" customFormat="1">
      <c r="A639" s="947">
        <v>3</v>
      </c>
      <c r="B639" s="948">
        <v>482.5</v>
      </c>
      <c r="C639" s="948" t="s">
        <v>43</v>
      </c>
      <c r="D639" s="947" t="s">
        <v>17</v>
      </c>
      <c r="E639" s="949">
        <v>10280</v>
      </c>
      <c r="F639" s="950">
        <v>2</v>
      </c>
      <c r="G639" s="951">
        <v>4</v>
      </c>
      <c r="H639" s="951">
        <v>3.65</v>
      </c>
      <c r="I639" s="18"/>
    </row>
    <row r="640" spans="1:9">
      <c r="A640" s="943">
        <v>3</v>
      </c>
      <c r="B640" s="944">
        <v>503</v>
      </c>
      <c r="C640" s="944" t="s">
        <v>323</v>
      </c>
      <c r="D640" s="943" t="s">
        <v>17</v>
      </c>
      <c r="E640" s="952">
        <v>5600</v>
      </c>
      <c r="F640" s="945">
        <v>2</v>
      </c>
      <c r="G640" s="946">
        <v>62.38</v>
      </c>
      <c r="H640" s="946">
        <v>63.69</v>
      </c>
    </row>
    <row r="641" spans="1:9" s="26" customFormat="1">
      <c r="A641" s="947">
        <v>3</v>
      </c>
      <c r="B641" s="948">
        <v>503.1</v>
      </c>
      <c r="C641" s="948" t="s">
        <v>324</v>
      </c>
      <c r="D641" s="947" t="s">
        <v>17</v>
      </c>
      <c r="E641" s="950">
        <v>300</v>
      </c>
      <c r="F641" s="950">
        <v>1</v>
      </c>
      <c r="G641" s="951">
        <v>86.38</v>
      </c>
      <c r="H641" s="951">
        <v>86.38</v>
      </c>
      <c r="I641" s="18"/>
    </row>
    <row r="642" spans="1:9">
      <c r="A642" s="943">
        <v>3</v>
      </c>
      <c r="B642" s="944">
        <v>504</v>
      </c>
      <c r="C642" s="944" t="s">
        <v>325</v>
      </c>
      <c r="D642" s="943" t="s">
        <v>17</v>
      </c>
      <c r="E642" s="952">
        <v>2300</v>
      </c>
      <c r="F642" s="945">
        <v>1</v>
      </c>
      <c r="G642" s="946">
        <v>75</v>
      </c>
      <c r="H642" s="946">
        <v>73.400000000000006</v>
      </c>
    </row>
    <row r="643" spans="1:9" s="26" customFormat="1">
      <c r="A643" s="947">
        <v>3</v>
      </c>
      <c r="B643" s="948">
        <v>504.1</v>
      </c>
      <c r="C643" s="948" t="s">
        <v>326</v>
      </c>
      <c r="D643" s="947" t="s">
        <v>17</v>
      </c>
      <c r="E643" s="949">
        <v>1050</v>
      </c>
      <c r="F643" s="950">
        <v>1</v>
      </c>
      <c r="G643" s="951">
        <v>81</v>
      </c>
      <c r="H643" s="951">
        <v>79</v>
      </c>
      <c r="I643" s="18"/>
    </row>
    <row r="644" spans="1:9">
      <c r="A644" s="943">
        <v>3</v>
      </c>
      <c r="B644" s="944">
        <v>505</v>
      </c>
      <c r="C644" s="944" t="s">
        <v>328</v>
      </c>
      <c r="D644" s="943" t="s">
        <v>17</v>
      </c>
      <c r="E644" s="952">
        <v>3550</v>
      </c>
      <c r="F644" s="945">
        <v>3</v>
      </c>
      <c r="G644" s="946">
        <v>82.5</v>
      </c>
      <c r="H644" s="946">
        <v>88.78</v>
      </c>
    </row>
    <row r="645" spans="1:9" s="26" customFormat="1">
      <c r="A645" s="947">
        <v>3</v>
      </c>
      <c r="B645" s="948">
        <v>506</v>
      </c>
      <c r="C645" s="948" t="s">
        <v>40</v>
      </c>
      <c r="D645" s="947" t="s">
        <v>17</v>
      </c>
      <c r="E645" s="949">
        <v>142600</v>
      </c>
      <c r="F645" s="950">
        <v>3</v>
      </c>
      <c r="G645" s="951">
        <v>60</v>
      </c>
      <c r="H645" s="951">
        <v>63.55</v>
      </c>
      <c r="I645" s="18"/>
    </row>
    <row r="646" spans="1:9">
      <c r="A646" s="943">
        <v>3</v>
      </c>
      <c r="B646" s="944">
        <v>506.1</v>
      </c>
      <c r="C646" s="944" t="s">
        <v>41</v>
      </c>
      <c r="D646" s="943" t="s">
        <v>17</v>
      </c>
      <c r="E646" s="952">
        <v>27600</v>
      </c>
      <c r="F646" s="945">
        <v>3</v>
      </c>
      <c r="G646" s="946">
        <v>75</v>
      </c>
      <c r="H646" s="946">
        <v>78.47</v>
      </c>
    </row>
    <row r="647" spans="1:9" s="26" customFormat="1">
      <c r="A647" s="947">
        <v>3</v>
      </c>
      <c r="B647" s="948">
        <v>509</v>
      </c>
      <c r="C647" s="948" t="s">
        <v>1394</v>
      </c>
      <c r="D647" s="947" t="s">
        <v>17</v>
      </c>
      <c r="E647" s="949">
        <v>12120</v>
      </c>
      <c r="F647" s="950">
        <v>7</v>
      </c>
      <c r="G647" s="951">
        <v>76</v>
      </c>
      <c r="H647" s="951">
        <v>77.209999999999994</v>
      </c>
      <c r="I647" s="18"/>
    </row>
    <row r="648" spans="1:9">
      <c r="A648" s="943">
        <v>3</v>
      </c>
      <c r="B648" s="944">
        <v>509.1</v>
      </c>
      <c r="C648" s="944" t="s">
        <v>1395</v>
      </c>
      <c r="D648" s="943" t="s">
        <v>17</v>
      </c>
      <c r="E648" s="952">
        <v>17620</v>
      </c>
      <c r="F648" s="945">
        <v>7</v>
      </c>
      <c r="G648" s="946">
        <v>86</v>
      </c>
      <c r="H648" s="946">
        <v>90.14</v>
      </c>
    </row>
    <row r="649" spans="1:9" s="26" customFormat="1">
      <c r="A649" s="947">
        <v>3</v>
      </c>
      <c r="B649" s="948">
        <v>510</v>
      </c>
      <c r="C649" s="948" t="s">
        <v>330</v>
      </c>
      <c r="D649" s="947" t="s">
        <v>17</v>
      </c>
      <c r="E649" s="950">
        <v>150</v>
      </c>
      <c r="F649" s="950">
        <v>1</v>
      </c>
      <c r="G649" s="951">
        <v>63</v>
      </c>
      <c r="H649" s="951">
        <v>66.2</v>
      </c>
      <c r="I649" s="18"/>
    </row>
    <row r="650" spans="1:9">
      <c r="A650" s="943">
        <v>3</v>
      </c>
      <c r="B650" s="944">
        <v>510.1</v>
      </c>
      <c r="C650" s="944" t="s">
        <v>331</v>
      </c>
      <c r="D650" s="943" t="s">
        <v>17</v>
      </c>
      <c r="E650" s="945">
        <v>48</v>
      </c>
      <c r="F650" s="945">
        <v>1</v>
      </c>
      <c r="G650" s="946">
        <v>100</v>
      </c>
      <c r="H650" s="946">
        <v>92.5</v>
      </c>
    </row>
    <row r="651" spans="1:9" s="26" customFormat="1">
      <c r="A651" s="947">
        <v>3</v>
      </c>
      <c r="B651" s="948">
        <v>511.1</v>
      </c>
      <c r="C651" s="948" t="s">
        <v>332</v>
      </c>
      <c r="D651" s="947" t="s">
        <v>17</v>
      </c>
      <c r="E651" s="949">
        <v>1286</v>
      </c>
      <c r="F651" s="950">
        <v>2</v>
      </c>
      <c r="G651" s="951">
        <v>60</v>
      </c>
      <c r="H651" s="951">
        <v>64.599999999999994</v>
      </c>
      <c r="I651" s="18"/>
    </row>
    <row r="652" spans="1:9">
      <c r="A652" s="943">
        <v>3</v>
      </c>
      <c r="B652" s="944">
        <v>514</v>
      </c>
      <c r="C652" s="944" t="s">
        <v>38</v>
      </c>
      <c r="D652" s="943" t="s">
        <v>2</v>
      </c>
      <c r="E652" s="952">
        <v>1025</v>
      </c>
      <c r="F652" s="945">
        <v>6</v>
      </c>
      <c r="G652" s="946">
        <v>632</v>
      </c>
      <c r="H652" s="946">
        <v>652.05999999999995</v>
      </c>
    </row>
    <row r="653" spans="1:9" s="26" customFormat="1">
      <c r="A653" s="947">
        <v>3</v>
      </c>
      <c r="B653" s="948">
        <v>515</v>
      </c>
      <c r="C653" s="948" t="s">
        <v>45</v>
      </c>
      <c r="D653" s="947" t="s">
        <v>2</v>
      </c>
      <c r="E653" s="950">
        <v>94</v>
      </c>
      <c r="F653" s="950">
        <v>2</v>
      </c>
      <c r="G653" s="951">
        <v>800</v>
      </c>
      <c r="H653" s="951">
        <v>809.79</v>
      </c>
      <c r="I653" s="18"/>
    </row>
    <row r="654" spans="1:9">
      <c r="A654" s="943">
        <v>3</v>
      </c>
      <c r="B654" s="944">
        <v>516</v>
      </c>
      <c r="C654" s="944" t="s">
        <v>47</v>
      </c>
      <c r="D654" s="943" t="s">
        <v>2</v>
      </c>
      <c r="E654" s="945">
        <v>472</v>
      </c>
      <c r="F654" s="945">
        <v>3</v>
      </c>
      <c r="G654" s="946">
        <v>418</v>
      </c>
      <c r="H654" s="946">
        <v>413.31</v>
      </c>
    </row>
    <row r="655" spans="1:9" s="26" customFormat="1">
      <c r="A655" s="947">
        <v>3</v>
      </c>
      <c r="B655" s="948">
        <v>570</v>
      </c>
      <c r="C655" s="948" t="s">
        <v>337</v>
      </c>
      <c r="D655" s="947" t="s">
        <v>17</v>
      </c>
      <c r="E655" s="949">
        <v>10200</v>
      </c>
      <c r="F655" s="950">
        <v>1</v>
      </c>
      <c r="G655" s="951">
        <v>6.25</v>
      </c>
      <c r="H655" s="951">
        <v>6.25</v>
      </c>
      <c r="I655" s="18"/>
    </row>
    <row r="656" spans="1:9">
      <c r="A656" s="943">
        <v>3</v>
      </c>
      <c r="B656" s="944">
        <v>570.29999999999995</v>
      </c>
      <c r="C656" s="944" t="s">
        <v>339</v>
      </c>
      <c r="D656" s="943" t="s">
        <v>17</v>
      </c>
      <c r="E656" s="952">
        <v>18600</v>
      </c>
      <c r="F656" s="945">
        <v>3</v>
      </c>
      <c r="G656" s="946">
        <v>15</v>
      </c>
      <c r="H656" s="946">
        <v>12.75</v>
      </c>
    </row>
    <row r="657" spans="1:9" s="26" customFormat="1">
      <c r="A657" s="947">
        <v>3</v>
      </c>
      <c r="B657" s="948">
        <v>580</v>
      </c>
      <c r="C657" s="948" t="s">
        <v>56</v>
      </c>
      <c r="D657" s="947" t="s">
        <v>17</v>
      </c>
      <c r="E657" s="949">
        <v>54320</v>
      </c>
      <c r="F657" s="950">
        <v>7</v>
      </c>
      <c r="G657" s="951">
        <v>40</v>
      </c>
      <c r="H657" s="951">
        <v>42.78</v>
      </c>
      <c r="I657" s="18"/>
    </row>
    <row r="658" spans="1:9">
      <c r="A658" s="943">
        <v>3</v>
      </c>
      <c r="B658" s="944">
        <v>581</v>
      </c>
      <c r="C658" s="944" t="s">
        <v>340</v>
      </c>
      <c r="D658" s="943" t="s">
        <v>2</v>
      </c>
      <c r="E658" s="945">
        <v>23</v>
      </c>
      <c r="F658" s="945">
        <v>3</v>
      </c>
      <c r="G658" s="946">
        <v>250</v>
      </c>
      <c r="H658" s="946">
        <v>230</v>
      </c>
    </row>
    <row r="659" spans="1:9" s="26" customFormat="1">
      <c r="A659" s="947">
        <v>3</v>
      </c>
      <c r="B659" s="948">
        <v>582</v>
      </c>
      <c r="C659" s="948" t="s">
        <v>341</v>
      </c>
      <c r="D659" s="947" t="s">
        <v>2</v>
      </c>
      <c r="E659" s="950">
        <v>196</v>
      </c>
      <c r="F659" s="950">
        <v>1</v>
      </c>
      <c r="G659" s="951">
        <v>137.5</v>
      </c>
      <c r="H659" s="951">
        <v>142.5</v>
      </c>
      <c r="I659" s="18"/>
    </row>
    <row r="660" spans="1:9">
      <c r="A660" s="943">
        <v>3</v>
      </c>
      <c r="B660" s="944">
        <v>583</v>
      </c>
      <c r="C660" s="944" t="s">
        <v>342</v>
      </c>
      <c r="D660" s="943" t="s">
        <v>17</v>
      </c>
      <c r="E660" s="952">
        <v>38567</v>
      </c>
      <c r="F660" s="945">
        <v>6</v>
      </c>
      <c r="G660" s="946">
        <v>35</v>
      </c>
      <c r="H660" s="946">
        <v>32.840000000000003</v>
      </c>
    </row>
    <row r="661" spans="1:9" s="26" customFormat="1">
      <c r="A661" s="947">
        <v>3</v>
      </c>
      <c r="B661" s="948">
        <v>590</v>
      </c>
      <c r="C661" s="948" t="s">
        <v>343</v>
      </c>
      <c r="D661" s="947" t="s">
        <v>17</v>
      </c>
      <c r="E661" s="949">
        <v>1725</v>
      </c>
      <c r="F661" s="950">
        <v>2</v>
      </c>
      <c r="G661" s="951">
        <v>10</v>
      </c>
      <c r="H661" s="951">
        <v>8.9700000000000006</v>
      </c>
      <c r="I661" s="18"/>
    </row>
    <row r="662" spans="1:9">
      <c r="A662" s="943">
        <v>3</v>
      </c>
      <c r="B662" s="944">
        <v>592</v>
      </c>
      <c r="C662" s="944" t="s">
        <v>345</v>
      </c>
      <c r="D662" s="943" t="s">
        <v>2</v>
      </c>
      <c r="E662" s="945">
        <v>8</v>
      </c>
      <c r="F662" s="945">
        <v>1</v>
      </c>
      <c r="G662" s="946">
        <v>220</v>
      </c>
      <c r="H662" s="946">
        <v>225</v>
      </c>
    </row>
    <row r="663" spans="1:9" s="26" customFormat="1">
      <c r="A663" s="947">
        <v>3</v>
      </c>
      <c r="B663" s="948">
        <v>593</v>
      </c>
      <c r="C663" s="948" t="s">
        <v>2407</v>
      </c>
      <c r="D663" s="947" t="s">
        <v>17</v>
      </c>
      <c r="E663" s="949">
        <v>1317</v>
      </c>
      <c r="F663" s="950">
        <v>3</v>
      </c>
      <c r="G663" s="951">
        <v>11.3</v>
      </c>
      <c r="H663" s="951">
        <v>10.99</v>
      </c>
      <c r="I663" s="18"/>
    </row>
    <row r="664" spans="1:9">
      <c r="A664" s="943">
        <v>3</v>
      </c>
      <c r="B664" s="944">
        <v>594</v>
      </c>
      <c r="C664" s="944" t="s">
        <v>346</v>
      </c>
      <c r="D664" s="943" t="s">
        <v>17</v>
      </c>
      <c r="E664" s="952">
        <v>5500</v>
      </c>
      <c r="F664" s="945">
        <v>1</v>
      </c>
      <c r="G664" s="946">
        <v>10</v>
      </c>
      <c r="H664" s="946">
        <v>10</v>
      </c>
    </row>
    <row r="665" spans="1:9" s="26" customFormat="1">
      <c r="A665" s="947">
        <v>3</v>
      </c>
      <c r="B665" s="948">
        <v>595</v>
      </c>
      <c r="C665" s="948" t="s">
        <v>347</v>
      </c>
      <c r="D665" s="947" t="s">
        <v>2</v>
      </c>
      <c r="E665" s="950">
        <v>15</v>
      </c>
      <c r="F665" s="950">
        <v>1</v>
      </c>
      <c r="G665" s="951">
        <v>100</v>
      </c>
      <c r="H665" s="951">
        <v>93.33</v>
      </c>
      <c r="I665" s="18"/>
    </row>
    <row r="666" spans="1:9">
      <c r="A666" s="943">
        <v>3</v>
      </c>
      <c r="B666" s="944">
        <v>597</v>
      </c>
      <c r="C666" s="944" t="s">
        <v>349</v>
      </c>
      <c r="D666" s="943" t="s">
        <v>17</v>
      </c>
      <c r="E666" s="952">
        <v>1935</v>
      </c>
      <c r="F666" s="945">
        <v>2</v>
      </c>
      <c r="G666" s="946">
        <v>8</v>
      </c>
      <c r="H666" s="946">
        <v>8.26</v>
      </c>
    </row>
    <row r="667" spans="1:9" s="26" customFormat="1">
      <c r="A667" s="947">
        <v>3</v>
      </c>
      <c r="B667" s="948">
        <v>620.12</v>
      </c>
      <c r="C667" s="948" t="s">
        <v>1252</v>
      </c>
      <c r="D667" s="947" t="s">
        <v>17</v>
      </c>
      <c r="E667" s="949">
        <v>11825</v>
      </c>
      <c r="F667" s="950">
        <v>5</v>
      </c>
      <c r="G667" s="951">
        <v>36</v>
      </c>
      <c r="H667" s="951">
        <v>37.93</v>
      </c>
      <c r="I667" s="18"/>
    </row>
    <row r="668" spans="1:9">
      <c r="A668" s="943">
        <v>3</v>
      </c>
      <c r="B668" s="944">
        <v>620.13</v>
      </c>
      <c r="C668" s="944" t="s">
        <v>1398</v>
      </c>
      <c r="D668" s="943" t="s">
        <v>17</v>
      </c>
      <c r="E668" s="952">
        <v>145721</v>
      </c>
      <c r="F668" s="945">
        <v>7</v>
      </c>
      <c r="G668" s="946">
        <v>42.5</v>
      </c>
      <c r="H668" s="946">
        <v>42.04</v>
      </c>
    </row>
    <row r="669" spans="1:9" s="26" customFormat="1">
      <c r="A669" s="947">
        <v>3</v>
      </c>
      <c r="B669" s="948">
        <v>620.13099999999997</v>
      </c>
      <c r="C669" s="948" t="s">
        <v>1399</v>
      </c>
      <c r="D669" s="947" t="s">
        <v>17</v>
      </c>
      <c r="E669" s="949">
        <v>15000</v>
      </c>
      <c r="F669" s="950">
        <v>4</v>
      </c>
      <c r="G669" s="951">
        <v>57.74</v>
      </c>
      <c r="H669" s="951">
        <v>57.19</v>
      </c>
      <c r="I669" s="18"/>
    </row>
    <row r="670" spans="1:9">
      <c r="A670" s="943">
        <v>3</v>
      </c>
      <c r="B670" s="944">
        <v>620.32000000000005</v>
      </c>
      <c r="C670" s="944" t="s">
        <v>1253</v>
      </c>
      <c r="D670" s="943" t="s">
        <v>17</v>
      </c>
      <c r="E670" s="952">
        <v>1180</v>
      </c>
      <c r="F670" s="945">
        <v>3</v>
      </c>
      <c r="G670" s="946">
        <v>49.25</v>
      </c>
      <c r="H670" s="946">
        <v>47.58</v>
      </c>
    </row>
    <row r="671" spans="1:9" s="26" customFormat="1">
      <c r="A671" s="947">
        <v>3</v>
      </c>
      <c r="B671" s="948">
        <v>620.33000000000004</v>
      </c>
      <c r="C671" s="948" t="s">
        <v>1400</v>
      </c>
      <c r="D671" s="947" t="s">
        <v>17</v>
      </c>
      <c r="E671" s="954">
        <v>1957.5</v>
      </c>
      <c r="F671" s="950">
        <v>3</v>
      </c>
      <c r="G671" s="951">
        <v>49.25</v>
      </c>
      <c r="H671" s="951">
        <v>50.18</v>
      </c>
      <c r="I671" s="18"/>
    </row>
    <row r="672" spans="1:9">
      <c r="A672" s="943">
        <v>3</v>
      </c>
      <c r="B672" s="944">
        <v>627.1</v>
      </c>
      <c r="C672" s="944" t="s">
        <v>1403</v>
      </c>
      <c r="D672" s="943" t="s">
        <v>2</v>
      </c>
      <c r="E672" s="945">
        <v>190</v>
      </c>
      <c r="F672" s="945">
        <v>6</v>
      </c>
      <c r="G672" s="946">
        <v>2540</v>
      </c>
      <c r="H672" s="946">
        <v>2633.33</v>
      </c>
    </row>
    <row r="673" spans="1:9" s="26" customFormat="1">
      <c r="A673" s="947">
        <v>3</v>
      </c>
      <c r="B673" s="948">
        <v>627.73</v>
      </c>
      <c r="C673" s="948" t="s">
        <v>1405</v>
      </c>
      <c r="D673" s="947" t="s">
        <v>2</v>
      </c>
      <c r="E673" s="950">
        <v>14</v>
      </c>
      <c r="F673" s="950">
        <v>2</v>
      </c>
      <c r="G673" s="951">
        <v>15000</v>
      </c>
      <c r="H673" s="951">
        <v>15804.42</v>
      </c>
      <c r="I673" s="18"/>
    </row>
    <row r="674" spans="1:9">
      <c r="A674" s="943">
        <v>3</v>
      </c>
      <c r="B674" s="944">
        <v>627.82000000000005</v>
      </c>
      <c r="C674" s="944" t="s">
        <v>1406</v>
      </c>
      <c r="D674" s="943" t="s">
        <v>2</v>
      </c>
      <c r="E674" s="945">
        <v>199</v>
      </c>
      <c r="F674" s="945">
        <v>4</v>
      </c>
      <c r="G674" s="946">
        <v>5900</v>
      </c>
      <c r="H674" s="946">
        <v>5998.46</v>
      </c>
    </row>
    <row r="675" spans="1:9" s="26" customFormat="1">
      <c r="A675" s="947">
        <v>3</v>
      </c>
      <c r="B675" s="948">
        <v>627.83000000000004</v>
      </c>
      <c r="C675" s="948" t="s">
        <v>1407</v>
      </c>
      <c r="D675" s="947" t="s">
        <v>2</v>
      </c>
      <c r="E675" s="950">
        <v>819</v>
      </c>
      <c r="F675" s="950">
        <v>6</v>
      </c>
      <c r="G675" s="951">
        <v>5600</v>
      </c>
      <c r="H675" s="951">
        <v>5720.58</v>
      </c>
      <c r="I675" s="18"/>
    </row>
    <row r="676" spans="1:9">
      <c r="A676" s="943">
        <v>3</v>
      </c>
      <c r="B676" s="944">
        <v>627.91999999999996</v>
      </c>
      <c r="C676" s="944" t="s">
        <v>1408</v>
      </c>
      <c r="D676" s="943" t="s">
        <v>2</v>
      </c>
      <c r="E676" s="945">
        <v>8</v>
      </c>
      <c r="F676" s="945">
        <v>1</v>
      </c>
      <c r="G676" s="946">
        <v>6645.5</v>
      </c>
      <c r="H676" s="946">
        <v>6848.88</v>
      </c>
    </row>
    <row r="677" spans="1:9" s="26" customFormat="1">
      <c r="A677" s="947">
        <v>3</v>
      </c>
      <c r="B677" s="948">
        <v>627.92999999999995</v>
      </c>
      <c r="C677" s="948" t="s">
        <v>1409</v>
      </c>
      <c r="D677" s="947" t="s">
        <v>2</v>
      </c>
      <c r="E677" s="950">
        <v>118</v>
      </c>
      <c r="F677" s="950">
        <v>2</v>
      </c>
      <c r="G677" s="951">
        <v>5800</v>
      </c>
      <c r="H677" s="951">
        <v>5763.85</v>
      </c>
      <c r="I677" s="18"/>
    </row>
    <row r="678" spans="1:9">
      <c r="A678" s="943">
        <v>3</v>
      </c>
      <c r="B678" s="944">
        <v>628.21</v>
      </c>
      <c r="C678" s="944" t="s">
        <v>1410</v>
      </c>
      <c r="D678" s="943" t="s">
        <v>2</v>
      </c>
      <c r="E678" s="945">
        <v>438</v>
      </c>
      <c r="F678" s="945">
        <v>4</v>
      </c>
      <c r="G678" s="946">
        <v>1770</v>
      </c>
      <c r="H678" s="946">
        <v>1796.36</v>
      </c>
    </row>
    <row r="679" spans="1:9" s="26" customFormat="1">
      <c r="A679" s="947">
        <v>3</v>
      </c>
      <c r="B679" s="948">
        <v>628.22</v>
      </c>
      <c r="C679" s="948" t="s">
        <v>1411</v>
      </c>
      <c r="D679" s="947" t="s">
        <v>2</v>
      </c>
      <c r="E679" s="950">
        <v>18</v>
      </c>
      <c r="F679" s="950">
        <v>1</v>
      </c>
      <c r="G679" s="951">
        <v>8000</v>
      </c>
      <c r="H679" s="951">
        <v>7266.67</v>
      </c>
      <c r="I679" s="18"/>
    </row>
    <row r="680" spans="1:9">
      <c r="A680" s="943">
        <v>3</v>
      </c>
      <c r="B680" s="944">
        <v>628.24</v>
      </c>
      <c r="C680" s="944" t="s">
        <v>1413</v>
      </c>
      <c r="D680" s="943" t="s">
        <v>2</v>
      </c>
      <c r="E680" s="945">
        <v>24</v>
      </c>
      <c r="F680" s="945">
        <v>1</v>
      </c>
      <c r="G680" s="946">
        <v>6450</v>
      </c>
      <c r="H680" s="946">
        <v>6670.83</v>
      </c>
    </row>
    <row r="681" spans="1:9" s="26" customFormat="1">
      <c r="A681" s="947">
        <v>3</v>
      </c>
      <c r="B681" s="948">
        <v>628.25</v>
      </c>
      <c r="C681" s="948" t="s">
        <v>1414</v>
      </c>
      <c r="D681" s="947" t="s">
        <v>2</v>
      </c>
      <c r="E681" s="950">
        <v>18</v>
      </c>
      <c r="F681" s="950">
        <v>2</v>
      </c>
      <c r="G681" s="951">
        <v>1050</v>
      </c>
      <c r="H681" s="951">
        <v>1025.5</v>
      </c>
      <c r="I681" s="18"/>
    </row>
    <row r="682" spans="1:9">
      <c r="A682" s="943">
        <v>3</v>
      </c>
      <c r="B682" s="944">
        <v>628.30399999999997</v>
      </c>
      <c r="C682" s="944" t="s">
        <v>2412</v>
      </c>
      <c r="D682" s="943" t="s">
        <v>2</v>
      </c>
      <c r="E682" s="945">
        <v>128</v>
      </c>
      <c r="F682" s="945">
        <v>6</v>
      </c>
      <c r="G682" s="946">
        <v>7700</v>
      </c>
      <c r="H682" s="946">
        <v>7904.18</v>
      </c>
    </row>
    <row r="683" spans="1:9" s="26" customFormat="1">
      <c r="A683" s="947">
        <v>3</v>
      </c>
      <c r="B683" s="948">
        <v>628.30499999999995</v>
      </c>
      <c r="C683" s="948" t="s">
        <v>2413</v>
      </c>
      <c r="D683" s="947" t="s">
        <v>2</v>
      </c>
      <c r="E683" s="950">
        <v>17</v>
      </c>
      <c r="F683" s="950">
        <v>2</v>
      </c>
      <c r="G683" s="951">
        <v>8000</v>
      </c>
      <c r="H683" s="951">
        <v>7614.29</v>
      </c>
      <c r="I683" s="18"/>
    </row>
    <row r="684" spans="1:9">
      <c r="A684" s="943">
        <v>3</v>
      </c>
      <c r="B684" s="944">
        <v>628.31500000000005</v>
      </c>
      <c r="C684" s="944" t="s">
        <v>2417</v>
      </c>
      <c r="D684" s="943" t="s">
        <v>2</v>
      </c>
      <c r="E684" s="945">
        <v>14</v>
      </c>
      <c r="F684" s="945">
        <v>2</v>
      </c>
      <c r="G684" s="946">
        <v>7000</v>
      </c>
      <c r="H684" s="946">
        <v>7100</v>
      </c>
    </row>
    <row r="685" spans="1:9" s="26" customFormat="1">
      <c r="A685" s="947">
        <v>3</v>
      </c>
      <c r="B685" s="948">
        <v>628.4</v>
      </c>
      <c r="C685" s="948" t="s">
        <v>3901</v>
      </c>
      <c r="D685" s="947" t="s">
        <v>2</v>
      </c>
      <c r="E685" s="950">
        <v>373</v>
      </c>
      <c r="F685" s="950">
        <v>7</v>
      </c>
      <c r="G685" s="951">
        <v>1975</v>
      </c>
      <c r="H685" s="951">
        <v>1870.37</v>
      </c>
      <c r="I685" s="18"/>
    </row>
    <row r="686" spans="1:9">
      <c r="A686" s="943">
        <v>3</v>
      </c>
      <c r="B686" s="944">
        <v>629.1</v>
      </c>
      <c r="C686" s="944" t="s">
        <v>353</v>
      </c>
      <c r="D686" s="943" t="s">
        <v>17</v>
      </c>
      <c r="E686" s="945">
        <v>316</v>
      </c>
      <c r="F686" s="945">
        <v>1</v>
      </c>
      <c r="G686" s="946">
        <v>275</v>
      </c>
      <c r="H686" s="946">
        <v>237.5</v>
      </c>
    </row>
    <row r="687" spans="1:9" s="26" customFormat="1">
      <c r="A687" s="947">
        <v>3</v>
      </c>
      <c r="B687" s="948">
        <v>630</v>
      </c>
      <c r="C687" s="948" t="s">
        <v>356</v>
      </c>
      <c r="D687" s="947" t="s">
        <v>17</v>
      </c>
      <c r="E687" s="949">
        <v>2280</v>
      </c>
      <c r="F687" s="950">
        <v>4</v>
      </c>
      <c r="G687" s="951">
        <v>49</v>
      </c>
      <c r="H687" s="951">
        <v>46.53</v>
      </c>
      <c r="I687" s="18"/>
    </row>
    <row r="688" spans="1:9">
      <c r="A688" s="943">
        <v>3</v>
      </c>
      <c r="B688" s="944">
        <v>630.20000000000005</v>
      </c>
      <c r="C688" s="944" t="s">
        <v>358</v>
      </c>
      <c r="D688" s="943" t="s">
        <v>17</v>
      </c>
      <c r="E688" s="952">
        <v>228058</v>
      </c>
      <c r="F688" s="945">
        <v>10</v>
      </c>
      <c r="G688" s="946">
        <v>5.5</v>
      </c>
      <c r="H688" s="946">
        <v>5.01</v>
      </c>
    </row>
    <row r="689" spans="1:9" s="26" customFormat="1">
      <c r="A689" s="947">
        <v>3</v>
      </c>
      <c r="B689" s="948">
        <v>631</v>
      </c>
      <c r="C689" s="948" t="s">
        <v>1417</v>
      </c>
      <c r="D689" s="947" t="s">
        <v>2</v>
      </c>
      <c r="E689" s="950">
        <v>14</v>
      </c>
      <c r="F689" s="950">
        <v>1</v>
      </c>
      <c r="G689" s="951">
        <v>900</v>
      </c>
      <c r="H689" s="951">
        <v>885.71</v>
      </c>
      <c r="I689" s="18"/>
    </row>
    <row r="690" spans="1:9">
      <c r="A690" s="943">
        <v>3</v>
      </c>
      <c r="B690" s="944">
        <v>632</v>
      </c>
      <c r="C690" s="944" t="s">
        <v>359</v>
      </c>
      <c r="D690" s="943" t="s">
        <v>2</v>
      </c>
      <c r="E690" s="945">
        <v>750</v>
      </c>
      <c r="F690" s="945">
        <v>5</v>
      </c>
      <c r="G690" s="946">
        <v>190</v>
      </c>
      <c r="H690" s="946">
        <v>178.55</v>
      </c>
    </row>
    <row r="691" spans="1:9" s="26" customFormat="1">
      <c r="A691" s="947">
        <v>3</v>
      </c>
      <c r="B691" s="948">
        <v>632.11</v>
      </c>
      <c r="C691" s="948" t="s">
        <v>2423</v>
      </c>
      <c r="D691" s="947" t="s">
        <v>2</v>
      </c>
      <c r="E691" s="950">
        <v>60</v>
      </c>
      <c r="F691" s="950">
        <v>1</v>
      </c>
      <c r="G691" s="951">
        <v>145</v>
      </c>
      <c r="H691" s="951">
        <v>147.16</v>
      </c>
      <c r="I691" s="18"/>
    </row>
    <row r="692" spans="1:9">
      <c r="A692" s="943">
        <v>3</v>
      </c>
      <c r="B692" s="944">
        <v>632.20000000000005</v>
      </c>
      <c r="C692" s="944" t="s">
        <v>1418</v>
      </c>
      <c r="D692" s="943" t="s">
        <v>2</v>
      </c>
      <c r="E692" s="945">
        <v>170</v>
      </c>
      <c r="F692" s="945">
        <v>1</v>
      </c>
      <c r="G692" s="946">
        <v>30</v>
      </c>
      <c r="H692" s="946">
        <v>25</v>
      </c>
    </row>
    <row r="693" spans="1:9" s="26" customFormat="1">
      <c r="A693" s="947">
        <v>3</v>
      </c>
      <c r="B693" s="948">
        <v>632.4</v>
      </c>
      <c r="C693" s="948" t="s">
        <v>361</v>
      </c>
      <c r="D693" s="947" t="s">
        <v>2</v>
      </c>
      <c r="E693" s="950">
        <v>482</v>
      </c>
      <c r="F693" s="950">
        <v>3</v>
      </c>
      <c r="G693" s="951">
        <v>24.4</v>
      </c>
      <c r="H693" s="951">
        <v>26.63</v>
      </c>
      <c r="I693" s="18"/>
    </row>
    <row r="694" spans="1:9">
      <c r="A694" s="943">
        <v>3</v>
      </c>
      <c r="B694" s="944">
        <v>633</v>
      </c>
      <c r="C694" s="944" t="s">
        <v>362</v>
      </c>
      <c r="D694" s="943" t="s">
        <v>2</v>
      </c>
      <c r="E694" s="952">
        <v>4880</v>
      </c>
      <c r="F694" s="945">
        <v>2</v>
      </c>
      <c r="G694" s="946">
        <v>27.51</v>
      </c>
      <c r="H694" s="946">
        <v>26.4</v>
      </c>
    </row>
    <row r="695" spans="1:9" s="26" customFormat="1">
      <c r="A695" s="947">
        <v>3</v>
      </c>
      <c r="B695" s="948">
        <v>633.1</v>
      </c>
      <c r="C695" s="948" t="s">
        <v>363</v>
      </c>
      <c r="D695" s="947" t="s">
        <v>2</v>
      </c>
      <c r="E695" s="950">
        <v>315</v>
      </c>
      <c r="F695" s="950">
        <v>3</v>
      </c>
      <c r="G695" s="951">
        <v>42.28</v>
      </c>
      <c r="H695" s="951">
        <v>74.94</v>
      </c>
      <c r="I695" s="18"/>
    </row>
    <row r="696" spans="1:9">
      <c r="A696" s="943">
        <v>3</v>
      </c>
      <c r="B696" s="944">
        <v>634</v>
      </c>
      <c r="C696" s="944" t="s">
        <v>364</v>
      </c>
      <c r="D696" s="943" t="s">
        <v>2</v>
      </c>
      <c r="E696" s="952">
        <v>4920</v>
      </c>
      <c r="F696" s="945">
        <v>3</v>
      </c>
      <c r="G696" s="946">
        <v>325</v>
      </c>
      <c r="H696" s="946">
        <v>320.82</v>
      </c>
    </row>
    <row r="697" spans="1:9" s="26" customFormat="1">
      <c r="A697" s="947">
        <v>3</v>
      </c>
      <c r="B697" s="948">
        <v>634.1</v>
      </c>
      <c r="C697" s="948" t="s">
        <v>365</v>
      </c>
      <c r="D697" s="947" t="s">
        <v>2</v>
      </c>
      <c r="E697" s="950">
        <v>572</v>
      </c>
      <c r="F697" s="950">
        <v>4</v>
      </c>
      <c r="G697" s="951">
        <v>472</v>
      </c>
      <c r="H697" s="951">
        <v>452.52</v>
      </c>
      <c r="I697" s="18"/>
    </row>
    <row r="698" spans="1:9">
      <c r="A698" s="943">
        <v>3</v>
      </c>
      <c r="B698" s="944">
        <v>644.048</v>
      </c>
      <c r="C698" s="944" t="s">
        <v>2428</v>
      </c>
      <c r="D698" s="943" t="s">
        <v>17</v>
      </c>
      <c r="E698" s="952">
        <v>2400</v>
      </c>
      <c r="F698" s="945">
        <v>1</v>
      </c>
      <c r="G698" s="946">
        <v>40</v>
      </c>
      <c r="H698" s="946">
        <v>38.46</v>
      </c>
    </row>
    <row r="699" spans="1:9" s="26" customFormat="1">
      <c r="A699" s="947">
        <v>3</v>
      </c>
      <c r="B699" s="948">
        <v>644.05999999999995</v>
      </c>
      <c r="C699" s="948" t="s">
        <v>367</v>
      </c>
      <c r="D699" s="947" t="s">
        <v>17</v>
      </c>
      <c r="E699" s="949">
        <v>3920</v>
      </c>
      <c r="F699" s="950">
        <v>3</v>
      </c>
      <c r="G699" s="951">
        <v>90</v>
      </c>
      <c r="H699" s="951">
        <v>87.09</v>
      </c>
      <c r="I699" s="18"/>
    </row>
    <row r="700" spans="1:9">
      <c r="A700" s="943">
        <v>3</v>
      </c>
      <c r="B700" s="944">
        <v>644.072</v>
      </c>
      <c r="C700" s="944" t="s">
        <v>368</v>
      </c>
      <c r="D700" s="943" t="s">
        <v>17</v>
      </c>
      <c r="E700" s="952">
        <v>11850</v>
      </c>
      <c r="F700" s="945">
        <v>2</v>
      </c>
      <c r="G700" s="946">
        <v>60.27</v>
      </c>
      <c r="H700" s="946">
        <v>60.42</v>
      </c>
    </row>
    <row r="701" spans="1:9" s="26" customFormat="1">
      <c r="A701" s="947">
        <v>3</v>
      </c>
      <c r="B701" s="948">
        <v>644.096</v>
      </c>
      <c r="C701" s="948" t="s">
        <v>2430</v>
      </c>
      <c r="D701" s="947" t="s">
        <v>17</v>
      </c>
      <c r="E701" s="950">
        <v>450</v>
      </c>
      <c r="F701" s="950">
        <v>1</v>
      </c>
      <c r="G701" s="951">
        <v>70</v>
      </c>
      <c r="H701" s="951">
        <v>62.55</v>
      </c>
      <c r="I701" s="18"/>
    </row>
    <row r="702" spans="1:9">
      <c r="A702" s="943">
        <v>3</v>
      </c>
      <c r="B702" s="944">
        <v>644.17200000000003</v>
      </c>
      <c r="C702" s="944" t="s">
        <v>371</v>
      </c>
      <c r="D702" s="943" t="s">
        <v>17</v>
      </c>
      <c r="E702" s="952">
        <v>1800</v>
      </c>
      <c r="F702" s="945">
        <v>1</v>
      </c>
      <c r="G702" s="946">
        <v>77</v>
      </c>
      <c r="H702" s="946">
        <v>73.58</v>
      </c>
    </row>
    <row r="703" spans="1:9" s="26" customFormat="1">
      <c r="A703" s="947">
        <v>3</v>
      </c>
      <c r="B703" s="948">
        <v>645.14800000000002</v>
      </c>
      <c r="C703" s="948" t="s">
        <v>375</v>
      </c>
      <c r="D703" s="947" t="s">
        <v>17</v>
      </c>
      <c r="E703" s="949">
        <v>3120</v>
      </c>
      <c r="F703" s="950">
        <v>1</v>
      </c>
      <c r="G703" s="951">
        <v>66</v>
      </c>
      <c r="H703" s="951">
        <v>66.67</v>
      </c>
      <c r="I703" s="18"/>
    </row>
    <row r="704" spans="1:9">
      <c r="A704" s="943">
        <v>3</v>
      </c>
      <c r="B704" s="944">
        <v>647.072</v>
      </c>
      <c r="C704" s="944" t="s">
        <v>2451</v>
      </c>
      <c r="D704" s="943" t="s">
        <v>17</v>
      </c>
      <c r="E704" s="952">
        <v>2295</v>
      </c>
      <c r="F704" s="945">
        <v>1</v>
      </c>
      <c r="G704" s="946">
        <v>57.76</v>
      </c>
      <c r="H704" s="946">
        <v>56.59</v>
      </c>
    </row>
    <row r="705" spans="1:9" s="26" customFormat="1">
      <c r="A705" s="947">
        <v>3</v>
      </c>
      <c r="B705" s="948">
        <v>650.048</v>
      </c>
      <c r="C705" s="948" t="s">
        <v>377</v>
      </c>
      <c r="D705" s="947" t="s">
        <v>17</v>
      </c>
      <c r="E705" s="950">
        <v>60</v>
      </c>
      <c r="F705" s="950">
        <v>1</v>
      </c>
      <c r="G705" s="951">
        <v>497.5</v>
      </c>
      <c r="H705" s="951">
        <v>434.17</v>
      </c>
      <c r="I705" s="18"/>
    </row>
    <row r="706" spans="1:9">
      <c r="A706" s="943">
        <v>3</v>
      </c>
      <c r="B706" s="944">
        <v>650.072</v>
      </c>
      <c r="C706" s="944" t="s">
        <v>378</v>
      </c>
      <c r="D706" s="943" t="s">
        <v>17</v>
      </c>
      <c r="E706" s="945">
        <v>950</v>
      </c>
      <c r="F706" s="945">
        <v>2</v>
      </c>
      <c r="G706" s="946">
        <v>221.76</v>
      </c>
      <c r="H706" s="946">
        <v>233.7</v>
      </c>
    </row>
    <row r="707" spans="1:9" s="26" customFormat="1">
      <c r="A707" s="947">
        <v>3</v>
      </c>
      <c r="B707" s="948">
        <v>651.072</v>
      </c>
      <c r="C707" s="948" t="s">
        <v>379</v>
      </c>
      <c r="D707" s="947" t="s">
        <v>17</v>
      </c>
      <c r="E707" s="950">
        <v>660</v>
      </c>
      <c r="F707" s="950">
        <v>1</v>
      </c>
      <c r="G707" s="951">
        <v>185</v>
      </c>
      <c r="H707" s="951">
        <v>189.51</v>
      </c>
      <c r="I707" s="18"/>
    </row>
    <row r="708" spans="1:9">
      <c r="A708" s="943">
        <v>3</v>
      </c>
      <c r="B708" s="944">
        <v>652.048</v>
      </c>
      <c r="C708" s="944" t="s">
        <v>380</v>
      </c>
      <c r="D708" s="943" t="s">
        <v>2</v>
      </c>
      <c r="E708" s="945">
        <v>70</v>
      </c>
      <c r="F708" s="945">
        <v>2</v>
      </c>
      <c r="G708" s="946">
        <v>424</v>
      </c>
      <c r="H708" s="946">
        <v>310.5</v>
      </c>
    </row>
    <row r="709" spans="1:9" s="26" customFormat="1">
      <c r="A709" s="947">
        <v>3</v>
      </c>
      <c r="B709" s="948">
        <v>652.05999999999995</v>
      </c>
      <c r="C709" s="948" t="s">
        <v>2475</v>
      </c>
      <c r="D709" s="947" t="s">
        <v>2</v>
      </c>
      <c r="E709" s="950">
        <v>46</v>
      </c>
      <c r="F709" s="950">
        <v>1</v>
      </c>
      <c r="G709" s="951">
        <v>125</v>
      </c>
      <c r="H709" s="951">
        <v>125</v>
      </c>
      <c r="I709" s="18"/>
    </row>
    <row r="710" spans="1:9">
      <c r="A710" s="943">
        <v>3</v>
      </c>
      <c r="B710" s="944">
        <v>652.072</v>
      </c>
      <c r="C710" s="944" t="s">
        <v>381</v>
      </c>
      <c r="D710" s="943" t="s">
        <v>2</v>
      </c>
      <c r="E710" s="945">
        <v>80</v>
      </c>
      <c r="F710" s="945">
        <v>1</v>
      </c>
      <c r="G710" s="946">
        <v>125</v>
      </c>
      <c r="H710" s="946">
        <v>125</v>
      </c>
    </row>
    <row r="711" spans="1:9" s="26" customFormat="1">
      <c r="A711" s="947">
        <v>3</v>
      </c>
      <c r="B711" s="948">
        <v>652.096</v>
      </c>
      <c r="C711" s="948" t="s">
        <v>2477</v>
      </c>
      <c r="D711" s="947" t="s">
        <v>2</v>
      </c>
      <c r="E711" s="950">
        <v>30</v>
      </c>
      <c r="F711" s="950">
        <v>1</v>
      </c>
      <c r="G711" s="951">
        <v>125</v>
      </c>
      <c r="H711" s="951">
        <v>125</v>
      </c>
      <c r="I711" s="18"/>
    </row>
    <row r="712" spans="1:9">
      <c r="A712" s="943">
        <v>3</v>
      </c>
      <c r="B712" s="944">
        <v>653.048</v>
      </c>
      <c r="C712" s="944" t="s">
        <v>382</v>
      </c>
      <c r="D712" s="943" t="s">
        <v>2</v>
      </c>
      <c r="E712" s="945">
        <v>32</v>
      </c>
      <c r="F712" s="945">
        <v>1</v>
      </c>
      <c r="G712" s="946">
        <v>125</v>
      </c>
      <c r="H712" s="946">
        <v>125</v>
      </c>
    </row>
    <row r="713" spans="1:9" s="26" customFormat="1">
      <c r="A713" s="947">
        <v>3</v>
      </c>
      <c r="B713" s="948">
        <v>653.05999999999995</v>
      </c>
      <c r="C713" s="948" t="s">
        <v>2481</v>
      </c>
      <c r="D713" s="947" t="s">
        <v>2</v>
      </c>
      <c r="E713" s="950">
        <v>32</v>
      </c>
      <c r="F713" s="950">
        <v>1</v>
      </c>
      <c r="G713" s="951">
        <v>125</v>
      </c>
      <c r="H713" s="951">
        <v>125</v>
      </c>
      <c r="I713" s="18"/>
    </row>
    <row r="714" spans="1:9">
      <c r="A714" s="943">
        <v>3</v>
      </c>
      <c r="B714" s="944">
        <v>653.072</v>
      </c>
      <c r="C714" s="944" t="s">
        <v>383</v>
      </c>
      <c r="D714" s="943" t="s">
        <v>2</v>
      </c>
      <c r="E714" s="945">
        <v>160</v>
      </c>
      <c r="F714" s="945">
        <v>1</v>
      </c>
      <c r="G714" s="946">
        <v>125</v>
      </c>
      <c r="H714" s="946">
        <v>125</v>
      </c>
    </row>
    <row r="715" spans="1:9" s="26" customFormat="1">
      <c r="A715" s="947">
        <v>3</v>
      </c>
      <c r="B715" s="948">
        <v>653.08399999999995</v>
      </c>
      <c r="C715" s="948" t="s">
        <v>2482</v>
      </c>
      <c r="D715" s="947" t="s">
        <v>2</v>
      </c>
      <c r="E715" s="950">
        <v>32</v>
      </c>
      <c r="F715" s="950">
        <v>1</v>
      </c>
      <c r="G715" s="951">
        <v>125</v>
      </c>
      <c r="H715" s="951">
        <v>125</v>
      </c>
      <c r="I715" s="18"/>
    </row>
    <row r="716" spans="1:9">
      <c r="A716" s="943">
        <v>3</v>
      </c>
      <c r="B716" s="944">
        <v>653.096</v>
      </c>
      <c r="C716" s="944" t="s">
        <v>384</v>
      </c>
      <c r="D716" s="943" t="s">
        <v>2</v>
      </c>
      <c r="E716" s="945">
        <v>12</v>
      </c>
      <c r="F716" s="945">
        <v>1</v>
      </c>
      <c r="G716" s="946">
        <v>125</v>
      </c>
      <c r="H716" s="946">
        <v>125</v>
      </c>
    </row>
    <row r="717" spans="1:9" s="26" customFormat="1">
      <c r="A717" s="947">
        <v>3</v>
      </c>
      <c r="B717" s="948">
        <v>654.048</v>
      </c>
      <c r="C717" s="948" t="s">
        <v>2486</v>
      </c>
      <c r="D717" s="947" t="s">
        <v>17</v>
      </c>
      <c r="E717" s="949">
        <v>2400</v>
      </c>
      <c r="F717" s="950">
        <v>1</v>
      </c>
      <c r="G717" s="951">
        <v>13.35</v>
      </c>
      <c r="H717" s="951">
        <v>13.77</v>
      </c>
      <c r="I717" s="18"/>
    </row>
    <row r="718" spans="1:9">
      <c r="A718" s="943">
        <v>3</v>
      </c>
      <c r="B718" s="944">
        <v>654.05999999999995</v>
      </c>
      <c r="C718" s="944" t="s">
        <v>2487</v>
      </c>
      <c r="D718" s="943" t="s">
        <v>17</v>
      </c>
      <c r="E718" s="952">
        <v>1050</v>
      </c>
      <c r="F718" s="945">
        <v>1</v>
      </c>
      <c r="G718" s="946">
        <v>15</v>
      </c>
      <c r="H718" s="946">
        <v>15.5</v>
      </c>
    </row>
    <row r="719" spans="1:9" s="26" customFormat="1">
      <c r="A719" s="947">
        <v>3</v>
      </c>
      <c r="B719" s="948">
        <v>654.072</v>
      </c>
      <c r="C719" s="948" t="s">
        <v>385</v>
      </c>
      <c r="D719" s="947" t="s">
        <v>17</v>
      </c>
      <c r="E719" s="949">
        <v>3000</v>
      </c>
      <c r="F719" s="950">
        <v>1</v>
      </c>
      <c r="G719" s="951">
        <v>22</v>
      </c>
      <c r="H719" s="951">
        <v>20.86</v>
      </c>
      <c r="I719" s="18"/>
    </row>
    <row r="720" spans="1:9">
      <c r="A720" s="943">
        <v>3</v>
      </c>
      <c r="B720" s="944">
        <v>654.096</v>
      </c>
      <c r="C720" s="944" t="s">
        <v>2489</v>
      </c>
      <c r="D720" s="943" t="s">
        <v>17</v>
      </c>
      <c r="E720" s="945">
        <v>450</v>
      </c>
      <c r="F720" s="945">
        <v>1</v>
      </c>
      <c r="G720" s="946">
        <v>23.65</v>
      </c>
      <c r="H720" s="946">
        <v>22.05</v>
      </c>
    </row>
    <row r="721" spans="1:9" s="26" customFormat="1">
      <c r="A721" s="947">
        <v>3</v>
      </c>
      <c r="B721" s="948">
        <v>657</v>
      </c>
      <c r="C721" s="948" t="s">
        <v>387</v>
      </c>
      <c r="D721" s="947" t="s">
        <v>17</v>
      </c>
      <c r="E721" s="949">
        <v>1345</v>
      </c>
      <c r="F721" s="950">
        <v>3</v>
      </c>
      <c r="G721" s="951">
        <v>40</v>
      </c>
      <c r="H721" s="951">
        <v>40.32</v>
      </c>
      <c r="I721" s="18"/>
    </row>
    <row r="722" spans="1:9">
      <c r="A722" s="943">
        <v>3</v>
      </c>
      <c r="B722" s="944">
        <v>658</v>
      </c>
      <c r="C722" s="944" t="s">
        <v>2493</v>
      </c>
      <c r="D722" s="943" t="s">
        <v>2</v>
      </c>
      <c r="E722" s="945">
        <v>4</v>
      </c>
      <c r="F722" s="945">
        <v>1</v>
      </c>
      <c r="G722" s="946">
        <v>185</v>
      </c>
      <c r="H722" s="946">
        <v>172.5</v>
      </c>
    </row>
    <row r="723" spans="1:9" s="26" customFormat="1">
      <c r="A723" s="947">
        <v>3</v>
      </c>
      <c r="B723" s="948">
        <v>665</v>
      </c>
      <c r="C723" s="948" t="s">
        <v>390</v>
      </c>
      <c r="D723" s="947" t="s">
        <v>17</v>
      </c>
      <c r="E723" s="950">
        <v>840</v>
      </c>
      <c r="F723" s="950">
        <v>1</v>
      </c>
      <c r="G723" s="951">
        <v>22</v>
      </c>
      <c r="H723" s="951">
        <v>23.5</v>
      </c>
      <c r="I723" s="18"/>
    </row>
    <row r="724" spans="1:9">
      <c r="A724" s="943">
        <v>3</v>
      </c>
      <c r="B724" s="944">
        <v>666</v>
      </c>
      <c r="C724" s="944" t="s">
        <v>391</v>
      </c>
      <c r="D724" s="943" t="s">
        <v>17</v>
      </c>
      <c r="E724" s="952">
        <v>3610</v>
      </c>
      <c r="F724" s="945">
        <v>3</v>
      </c>
      <c r="G724" s="946">
        <v>69.5</v>
      </c>
      <c r="H724" s="946">
        <v>64.150000000000006</v>
      </c>
    </row>
    <row r="725" spans="1:9" s="26" customFormat="1">
      <c r="A725" s="947">
        <v>3</v>
      </c>
      <c r="B725" s="948">
        <v>668</v>
      </c>
      <c r="C725" s="948" t="s">
        <v>4040</v>
      </c>
      <c r="D725" s="947" t="s">
        <v>2</v>
      </c>
      <c r="E725" s="950">
        <v>14</v>
      </c>
      <c r="F725" s="950">
        <v>1</v>
      </c>
      <c r="G725" s="951">
        <v>500</v>
      </c>
      <c r="H725" s="951">
        <v>450</v>
      </c>
      <c r="I725" s="18"/>
    </row>
    <row r="726" spans="1:9">
      <c r="A726" s="943">
        <v>3</v>
      </c>
      <c r="B726" s="944">
        <v>669</v>
      </c>
      <c r="C726" s="944" t="s">
        <v>393</v>
      </c>
      <c r="D726" s="943" t="s">
        <v>17</v>
      </c>
      <c r="E726" s="952">
        <v>2200</v>
      </c>
      <c r="F726" s="945">
        <v>3</v>
      </c>
      <c r="G726" s="946">
        <v>15</v>
      </c>
      <c r="H726" s="946">
        <v>17.739999999999998</v>
      </c>
    </row>
    <row r="727" spans="1:9" s="26" customFormat="1">
      <c r="A727" s="947">
        <v>3</v>
      </c>
      <c r="B727" s="948">
        <v>670</v>
      </c>
      <c r="C727" s="948" t="s">
        <v>394</v>
      </c>
      <c r="D727" s="947" t="s">
        <v>17</v>
      </c>
      <c r="E727" s="950">
        <v>182</v>
      </c>
      <c r="F727" s="950">
        <v>1</v>
      </c>
      <c r="G727" s="951">
        <v>101.5</v>
      </c>
      <c r="H727" s="951">
        <v>107.57</v>
      </c>
      <c r="I727" s="18"/>
    </row>
    <row r="728" spans="1:9">
      <c r="A728" s="943">
        <v>3</v>
      </c>
      <c r="B728" s="944">
        <v>671</v>
      </c>
      <c r="C728" s="944" t="s">
        <v>2496</v>
      </c>
      <c r="D728" s="943" t="s">
        <v>2</v>
      </c>
      <c r="E728" s="945">
        <v>10</v>
      </c>
      <c r="F728" s="945">
        <v>2</v>
      </c>
      <c r="G728" s="946">
        <v>694</v>
      </c>
      <c r="H728" s="946">
        <v>699.5</v>
      </c>
    </row>
    <row r="729" spans="1:9" s="26" customFormat="1">
      <c r="A729" s="947">
        <v>3</v>
      </c>
      <c r="B729" s="948">
        <v>672</v>
      </c>
      <c r="C729" s="948" t="s">
        <v>395</v>
      </c>
      <c r="D729" s="947" t="s">
        <v>2</v>
      </c>
      <c r="E729" s="950">
        <v>6</v>
      </c>
      <c r="F729" s="950">
        <v>1</v>
      </c>
      <c r="G729" s="951">
        <v>4500</v>
      </c>
      <c r="H729" s="951">
        <v>4366.67</v>
      </c>
      <c r="I729" s="18"/>
    </row>
    <row r="730" spans="1:9">
      <c r="A730" s="943">
        <v>3</v>
      </c>
      <c r="B730" s="944">
        <v>685</v>
      </c>
      <c r="C730" s="944" t="s">
        <v>396</v>
      </c>
      <c r="D730" s="943" t="s">
        <v>4</v>
      </c>
      <c r="E730" s="952">
        <v>1878</v>
      </c>
      <c r="F730" s="945">
        <v>3</v>
      </c>
      <c r="G730" s="946">
        <v>1200</v>
      </c>
      <c r="H730" s="946">
        <v>1145.5899999999999</v>
      </c>
    </row>
    <row r="731" spans="1:9" s="26" customFormat="1">
      <c r="A731" s="947">
        <v>3</v>
      </c>
      <c r="B731" s="948">
        <v>690.1</v>
      </c>
      <c r="C731" s="948" t="s">
        <v>398</v>
      </c>
      <c r="D731" s="947" t="s">
        <v>4</v>
      </c>
      <c r="E731" s="950">
        <v>450</v>
      </c>
      <c r="F731" s="950">
        <v>2</v>
      </c>
      <c r="G731" s="951">
        <v>1200</v>
      </c>
      <c r="H731" s="951">
        <v>1192.75</v>
      </c>
      <c r="I731" s="18"/>
    </row>
    <row r="732" spans="1:9">
      <c r="A732" s="943">
        <v>3</v>
      </c>
      <c r="B732" s="944">
        <v>691</v>
      </c>
      <c r="C732" s="944" t="s">
        <v>399</v>
      </c>
      <c r="D732" s="943" t="s">
        <v>17</v>
      </c>
      <c r="E732" s="952">
        <v>6635</v>
      </c>
      <c r="F732" s="945">
        <v>2</v>
      </c>
      <c r="G732" s="946">
        <v>175</v>
      </c>
      <c r="H732" s="946">
        <v>186.64</v>
      </c>
    </row>
    <row r="733" spans="1:9" s="26" customFormat="1">
      <c r="A733" s="947">
        <v>3</v>
      </c>
      <c r="B733" s="948">
        <v>697</v>
      </c>
      <c r="C733" s="948" t="s">
        <v>400</v>
      </c>
      <c r="D733" s="947" t="s">
        <v>17</v>
      </c>
      <c r="E733" s="949">
        <v>43000</v>
      </c>
      <c r="F733" s="950">
        <v>2</v>
      </c>
      <c r="G733" s="951">
        <v>7</v>
      </c>
      <c r="H733" s="951">
        <v>6.64</v>
      </c>
      <c r="I733" s="18"/>
    </row>
    <row r="734" spans="1:9">
      <c r="A734" s="943">
        <v>3</v>
      </c>
      <c r="B734" s="944">
        <v>697.1</v>
      </c>
      <c r="C734" s="944" t="s">
        <v>401</v>
      </c>
      <c r="D734" s="943" t="s">
        <v>2</v>
      </c>
      <c r="E734" s="952">
        <v>2664</v>
      </c>
      <c r="F734" s="945">
        <v>10</v>
      </c>
      <c r="G734" s="946">
        <v>155</v>
      </c>
      <c r="H734" s="946">
        <v>163.53</v>
      </c>
    </row>
    <row r="735" spans="1:9" s="26" customFormat="1">
      <c r="A735" s="947">
        <v>3</v>
      </c>
      <c r="B735" s="948">
        <v>697.2</v>
      </c>
      <c r="C735" s="948" t="s">
        <v>402</v>
      </c>
      <c r="D735" s="947" t="s">
        <v>17</v>
      </c>
      <c r="E735" s="949">
        <v>14400</v>
      </c>
      <c r="F735" s="950">
        <v>3</v>
      </c>
      <c r="G735" s="951">
        <v>40</v>
      </c>
      <c r="H735" s="951">
        <v>36.47</v>
      </c>
      <c r="I735" s="18"/>
    </row>
    <row r="736" spans="1:9">
      <c r="A736" s="943">
        <v>3</v>
      </c>
      <c r="B736" s="944">
        <v>698.1</v>
      </c>
      <c r="C736" s="944" t="s">
        <v>403</v>
      </c>
      <c r="D736" s="943" t="s">
        <v>1</v>
      </c>
      <c r="E736" s="952">
        <v>17200</v>
      </c>
      <c r="F736" s="945">
        <v>2</v>
      </c>
      <c r="G736" s="946">
        <v>10</v>
      </c>
      <c r="H736" s="946">
        <v>8.76</v>
      </c>
    </row>
    <row r="737" spans="1:9" s="26" customFormat="1">
      <c r="A737" s="947">
        <v>3</v>
      </c>
      <c r="B737" s="948">
        <v>698.3</v>
      </c>
      <c r="C737" s="948" t="s">
        <v>404</v>
      </c>
      <c r="D737" s="947" t="s">
        <v>1</v>
      </c>
      <c r="E737" s="949">
        <v>13530</v>
      </c>
      <c r="F737" s="950">
        <v>5</v>
      </c>
      <c r="G737" s="951">
        <v>10</v>
      </c>
      <c r="H737" s="951">
        <v>9.76</v>
      </c>
      <c r="I737" s="18"/>
    </row>
    <row r="738" spans="1:9">
      <c r="A738" s="943">
        <v>3</v>
      </c>
      <c r="B738" s="944">
        <v>698.4</v>
      </c>
      <c r="C738" s="944" t="s">
        <v>405</v>
      </c>
      <c r="D738" s="943" t="s">
        <v>1</v>
      </c>
      <c r="E738" s="952">
        <v>2295</v>
      </c>
      <c r="F738" s="945">
        <v>4</v>
      </c>
      <c r="G738" s="946">
        <v>10</v>
      </c>
      <c r="H738" s="946">
        <v>18.149999999999999</v>
      </c>
    </row>
    <row r="739" spans="1:9" s="26" customFormat="1">
      <c r="A739" s="947">
        <v>3</v>
      </c>
      <c r="B739" s="948">
        <v>701</v>
      </c>
      <c r="C739" s="948" t="s">
        <v>406</v>
      </c>
      <c r="D739" s="947" t="s">
        <v>1</v>
      </c>
      <c r="E739" s="949">
        <v>38360</v>
      </c>
      <c r="F739" s="950">
        <v>7</v>
      </c>
      <c r="G739" s="951">
        <v>96</v>
      </c>
      <c r="H739" s="951">
        <v>87.47</v>
      </c>
      <c r="I739" s="18"/>
    </row>
    <row r="740" spans="1:9">
      <c r="A740" s="943">
        <v>3</v>
      </c>
      <c r="B740" s="944">
        <v>701.1</v>
      </c>
      <c r="C740" s="944" t="s">
        <v>407</v>
      </c>
      <c r="D740" s="943" t="s">
        <v>1</v>
      </c>
      <c r="E740" s="952">
        <v>8748</v>
      </c>
      <c r="F740" s="945">
        <v>4</v>
      </c>
      <c r="G740" s="946">
        <v>95.5</v>
      </c>
      <c r="H740" s="946">
        <v>97.74</v>
      </c>
    </row>
    <row r="741" spans="1:9" s="26" customFormat="1">
      <c r="A741" s="947">
        <v>3</v>
      </c>
      <c r="B741" s="948">
        <v>701.2</v>
      </c>
      <c r="C741" s="948" t="s">
        <v>1422</v>
      </c>
      <c r="D741" s="947" t="s">
        <v>1</v>
      </c>
      <c r="E741" s="949">
        <v>14690</v>
      </c>
      <c r="F741" s="950">
        <v>6</v>
      </c>
      <c r="G741" s="951">
        <v>120</v>
      </c>
      <c r="H741" s="951">
        <v>118.03</v>
      </c>
      <c r="I741" s="18"/>
    </row>
    <row r="742" spans="1:9">
      <c r="A742" s="943">
        <v>3</v>
      </c>
      <c r="B742" s="944">
        <v>702</v>
      </c>
      <c r="C742" s="944" t="s">
        <v>1423</v>
      </c>
      <c r="D742" s="943" t="s">
        <v>7</v>
      </c>
      <c r="E742" s="952">
        <v>26695</v>
      </c>
      <c r="F742" s="945">
        <v>10</v>
      </c>
      <c r="G742" s="946">
        <v>247.5</v>
      </c>
      <c r="H742" s="946">
        <v>256.82</v>
      </c>
    </row>
    <row r="743" spans="1:9" s="26" customFormat="1">
      <c r="A743" s="947">
        <v>3</v>
      </c>
      <c r="B743" s="948">
        <v>707.1</v>
      </c>
      <c r="C743" s="948" t="s">
        <v>60</v>
      </c>
      <c r="D743" s="947" t="s">
        <v>2</v>
      </c>
      <c r="E743" s="950">
        <v>28</v>
      </c>
      <c r="F743" s="950">
        <v>2</v>
      </c>
      <c r="G743" s="951">
        <v>4500</v>
      </c>
      <c r="H743" s="951">
        <v>4592.8599999999997</v>
      </c>
      <c r="I743" s="18"/>
    </row>
    <row r="744" spans="1:9">
      <c r="A744" s="943">
        <v>3</v>
      </c>
      <c r="B744" s="944">
        <v>707.9</v>
      </c>
      <c r="C744" s="944" t="s">
        <v>61</v>
      </c>
      <c r="D744" s="943" t="s">
        <v>2</v>
      </c>
      <c r="E744" s="945">
        <v>18</v>
      </c>
      <c r="F744" s="945">
        <v>1</v>
      </c>
      <c r="G744" s="946">
        <v>1700</v>
      </c>
      <c r="H744" s="946">
        <v>1725</v>
      </c>
    </row>
    <row r="745" spans="1:9" s="26" customFormat="1">
      <c r="A745" s="947">
        <v>3</v>
      </c>
      <c r="B745" s="948">
        <v>710.4</v>
      </c>
      <c r="C745" s="948" t="s">
        <v>417</v>
      </c>
      <c r="D745" s="947" t="s">
        <v>2</v>
      </c>
      <c r="E745" s="950">
        <v>10</v>
      </c>
      <c r="F745" s="950">
        <v>1</v>
      </c>
      <c r="G745" s="951">
        <v>1000</v>
      </c>
      <c r="H745" s="951">
        <v>976</v>
      </c>
      <c r="I745" s="18"/>
    </row>
    <row r="746" spans="1:9">
      <c r="A746" s="943">
        <v>3</v>
      </c>
      <c r="B746" s="944">
        <v>711</v>
      </c>
      <c r="C746" s="944" t="s">
        <v>418</v>
      </c>
      <c r="D746" s="943" t="s">
        <v>2</v>
      </c>
      <c r="E746" s="945">
        <v>26</v>
      </c>
      <c r="F746" s="945">
        <v>3</v>
      </c>
      <c r="G746" s="946">
        <v>712.5</v>
      </c>
      <c r="H746" s="946">
        <v>746.67</v>
      </c>
    </row>
    <row r="747" spans="1:9" s="26" customFormat="1">
      <c r="A747" s="947">
        <v>3</v>
      </c>
      <c r="B747" s="948">
        <v>712</v>
      </c>
      <c r="C747" s="948" t="s">
        <v>44</v>
      </c>
      <c r="D747" s="947" t="s">
        <v>2</v>
      </c>
      <c r="E747" s="950">
        <v>9</v>
      </c>
      <c r="F747" s="950">
        <v>1</v>
      </c>
      <c r="G747" s="951">
        <v>310</v>
      </c>
      <c r="H747" s="951">
        <v>326.67</v>
      </c>
      <c r="I747" s="18"/>
    </row>
    <row r="748" spans="1:9">
      <c r="A748" s="943">
        <v>3</v>
      </c>
      <c r="B748" s="944">
        <v>714</v>
      </c>
      <c r="C748" s="944" t="s">
        <v>420</v>
      </c>
      <c r="D748" s="943" t="s">
        <v>2</v>
      </c>
      <c r="E748" s="945">
        <v>7</v>
      </c>
      <c r="F748" s="945">
        <v>2</v>
      </c>
      <c r="G748" s="946">
        <v>5000</v>
      </c>
      <c r="H748" s="946">
        <v>4142.8599999999997</v>
      </c>
    </row>
    <row r="749" spans="1:9" s="26" customFormat="1">
      <c r="A749" s="947">
        <v>3</v>
      </c>
      <c r="B749" s="948">
        <v>715</v>
      </c>
      <c r="C749" s="948" t="s">
        <v>422</v>
      </c>
      <c r="D749" s="947" t="s">
        <v>2</v>
      </c>
      <c r="E749" s="950">
        <v>719</v>
      </c>
      <c r="F749" s="950">
        <v>7</v>
      </c>
      <c r="G749" s="951">
        <v>250</v>
      </c>
      <c r="H749" s="951">
        <v>245.87</v>
      </c>
      <c r="I749" s="18"/>
    </row>
    <row r="750" spans="1:9">
      <c r="A750" s="943">
        <v>3</v>
      </c>
      <c r="B750" s="944">
        <v>740</v>
      </c>
      <c r="C750" s="944" t="s">
        <v>4023</v>
      </c>
      <c r="D750" s="943" t="s">
        <v>428</v>
      </c>
      <c r="E750" s="952">
        <v>1613</v>
      </c>
      <c r="F750" s="945">
        <v>14</v>
      </c>
      <c r="G750" s="946">
        <v>3200</v>
      </c>
      <c r="H750" s="946">
        <v>3261.3</v>
      </c>
    </row>
    <row r="751" spans="1:9" s="26" customFormat="1">
      <c r="A751" s="947">
        <v>3</v>
      </c>
      <c r="B751" s="948">
        <v>748</v>
      </c>
      <c r="C751" s="948" t="s">
        <v>430</v>
      </c>
      <c r="D751" s="947" t="s">
        <v>22</v>
      </c>
      <c r="E751" s="950">
        <v>54</v>
      </c>
      <c r="F751" s="950">
        <v>13</v>
      </c>
      <c r="G751" s="951">
        <v>109700</v>
      </c>
      <c r="H751" s="951">
        <v>93823.74</v>
      </c>
      <c r="I751" s="18"/>
    </row>
    <row r="752" spans="1:9">
      <c r="A752" s="943">
        <v>3</v>
      </c>
      <c r="B752" s="944">
        <v>748.1</v>
      </c>
      <c r="C752" s="944" t="s">
        <v>431</v>
      </c>
      <c r="D752" s="943" t="s">
        <v>2</v>
      </c>
      <c r="E752" s="945">
        <v>100</v>
      </c>
      <c r="F752" s="945">
        <v>10</v>
      </c>
      <c r="G752" s="946">
        <v>500</v>
      </c>
      <c r="H752" s="946">
        <v>447</v>
      </c>
    </row>
    <row r="753" spans="1:9" s="26" customFormat="1">
      <c r="A753" s="947">
        <v>3</v>
      </c>
      <c r="B753" s="948">
        <v>751</v>
      </c>
      <c r="C753" s="948" t="s">
        <v>3902</v>
      </c>
      <c r="D753" s="947" t="s">
        <v>4</v>
      </c>
      <c r="E753" s="949">
        <v>45705</v>
      </c>
      <c r="F753" s="950">
        <v>11</v>
      </c>
      <c r="G753" s="951">
        <v>80</v>
      </c>
      <c r="H753" s="951">
        <v>82.11</v>
      </c>
      <c r="I753" s="18"/>
    </row>
    <row r="754" spans="1:9">
      <c r="A754" s="943">
        <v>3</v>
      </c>
      <c r="B754" s="944">
        <v>751.1</v>
      </c>
      <c r="C754" s="944" t="s">
        <v>4004</v>
      </c>
      <c r="D754" s="943" t="s">
        <v>4</v>
      </c>
      <c r="E754" s="945">
        <v>840</v>
      </c>
      <c r="F754" s="945">
        <v>1</v>
      </c>
      <c r="G754" s="946">
        <v>90</v>
      </c>
      <c r="H754" s="946">
        <v>90.67</v>
      </c>
    </row>
    <row r="755" spans="1:9" s="26" customFormat="1">
      <c r="A755" s="947">
        <v>3</v>
      </c>
      <c r="B755" s="948">
        <v>751.7</v>
      </c>
      <c r="C755" s="948" t="s">
        <v>4005</v>
      </c>
      <c r="D755" s="947" t="s">
        <v>4</v>
      </c>
      <c r="E755" s="950">
        <v>788</v>
      </c>
      <c r="F755" s="950">
        <v>3</v>
      </c>
      <c r="G755" s="951">
        <v>100</v>
      </c>
      <c r="H755" s="951">
        <v>95.61</v>
      </c>
      <c r="I755" s="18"/>
    </row>
    <row r="756" spans="1:9">
      <c r="A756" s="943">
        <v>3</v>
      </c>
      <c r="B756" s="944">
        <v>755.35</v>
      </c>
      <c r="C756" s="944" t="s">
        <v>1428</v>
      </c>
      <c r="D756" s="943" t="s">
        <v>22</v>
      </c>
      <c r="E756" s="945">
        <v>12</v>
      </c>
      <c r="F756" s="945">
        <v>4</v>
      </c>
      <c r="G756" s="946">
        <v>25000</v>
      </c>
      <c r="H756" s="946">
        <v>25187.5</v>
      </c>
    </row>
    <row r="757" spans="1:9" s="26" customFormat="1">
      <c r="A757" s="947">
        <v>3</v>
      </c>
      <c r="B757" s="948">
        <v>755.45</v>
      </c>
      <c r="C757" s="948" t="s">
        <v>1429</v>
      </c>
      <c r="D757" s="947" t="s">
        <v>1</v>
      </c>
      <c r="E757" s="950">
        <v>520</v>
      </c>
      <c r="F757" s="950">
        <v>1</v>
      </c>
      <c r="G757" s="951">
        <v>100</v>
      </c>
      <c r="H757" s="951">
        <v>102</v>
      </c>
      <c r="I757" s="18"/>
    </row>
    <row r="758" spans="1:9">
      <c r="A758" s="943">
        <v>3</v>
      </c>
      <c r="B758" s="944">
        <v>755.75</v>
      </c>
      <c r="C758" s="944" t="s">
        <v>1430</v>
      </c>
      <c r="D758" s="943" t="s">
        <v>24</v>
      </c>
      <c r="E758" s="952">
        <v>1100</v>
      </c>
      <c r="F758" s="945">
        <v>4</v>
      </c>
      <c r="G758" s="946">
        <v>190</v>
      </c>
      <c r="H758" s="946">
        <v>173.26</v>
      </c>
    </row>
    <row r="759" spans="1:9" s="26" customFormat="1">
      <c r="A759" s="947">
        <v>3</v>
      </c>
      <c r="B759" s="948">
        <v>755.76</v>
      </c>
      <c r="C759" s="948" t="s">
        <v>1431</v>
      </c>
      <c r="D759" s="947" t="s">
        <v>22</v>
      </c>
      <c r="E759" s="950">
        <v>10</v>
      </c>
      <c r="F759" s="950">
        <v>3</v>
      </c>
      <c r="G759" s="951">
        <v>7750</v>
      </c>
      <c r="H759" s="951">
        <v>6600</v>
      </c>
      <c r="I759" s="18"/>
    </row>
    <row r="760" spans="1:9">
      <c r="A760" s="943">
        <v>3</v>
      </c>
      <c r="B760" s="944">
        <v>756</v>
      </c>
      <c r="C760" s="944" t="s">
        <v>432</v>
      </c>
      <c r="D760" s="943" t="s">
        <v>22</v>
      </c>
      <c r="E760" s="945">
        <v>27</v>
      </c>
      <c r="F760" s="945">
        <v>7</v>
      </c>
      <c r="G760" s="946">
        <v>15000</v>
      </c>
      <c r="H760" s="946">
        <v>13931.48</v>
      </c>
    </row>
    <row r="761" spans="1:9" s="26" customFormat="1">
      <c r="A761" s="947">
        <v>3</v>
      </c>
      <c r="B761" s="948">
        <v>765</v>
      </c>
      <c r="C761" s="948" t="s">
        <v>34</v>
      </c>
      <c r="D761" s="947" t="s">
        <v>1</v>
      </c>
      <c r="E761" s="949">
        <v>258487</v>
      </c>
      <c r="F761" s="950">
        <v>8</v>
      </c>
      <c r="G761" s="951">
        <v>3</v>
      </c>
      <c r="H761" s="951">
        <v>2.75</v>
      </c>
      <c r="I761" s="18"/>
    </row>
    <row r="762" spans="1:9">
      <c r="A762" s="943">
        <v>3</v>
      </c>
      <c r="B762" s="944">
        <v>765.2</v>
      </c>
      <c r="C762" s="944" t="s">
        <v>2531</v>
      </c>
      <c r="D762" s="943" t="s">
        <v>1</v>
      </c>
      <c r="E762" s="952">
        <v>1568</v>
      </c>
      <c r="F762" s="945">
        <v>1</v>
      </c>
      <c r="G762" s="946">
        <v>4.75</v>
      </c>
      <c r="H762" s="946">
        <v>4.7699999999999996</v>
      </c>
    </row>
    <row r="763" spans="1:9" s="26" customFormat="1">
      <c r="A763" s="947">
        <v>3</v>
      </c>
      <c r="B763" s="948">
        <v>767.12099999999998</v>
      </c>
      <c r="C763" s="948" t="s">
        <v>1436</v>
      </c>
      <c r="D763" s="947" t="s">
        <v>17</v>
      </c>
      <c r="E763" s="949">
        <v>212995</v>
      </c>
      <c r="F763" s="950">
        <v>11</v>
      </c>
      <c r="G763" s="951">
        <v>6.3</v>
      </c>
      <c r="H763" s="951">
        <v>6.64</v>
      </c>
      <c r="I763" s="18"/>
    </row>
    <row r="764" spans="1:9">
      <c r="A764" s="943">
        <v>3</v>
      </c>
      <c r="B764" s="944">
        <v>767.4</v>
      </c>
      <c r="C764" s="944" t="s">
        <v>440</v>
      </c>
      <c r="D764" s="943" t="s">
        <v>4</v>
      </c>
      <c r="E764" s="945">
        <v>360</v>
      </c>
      <c r="F764" s="945">
        <v>1</v>
      </c>
      <c r="G764" s="946">
        <v>85.25</v>
      </c>
      <c r="H764" s="946">
        <v>84.75</v>
      </c>
    </row>
    <row r="765" spans="1:9" s="26" customFormat="1">
      <c r="A765" s="947">
        <v>3</v>
      </c>
      <c r="B765" s="948">
        <v>767.6</v>
      </c>
      <c r="C765" s="948" t="s">
        <v>441</v>
      </c>
      <c r="D765" s="947" t="s">
        <v>4</v>
      </c>
      <c r="E765" s="949">
        <v>1055</v>
      </c>
      <c r="F765" s="950">
        <v>2</v>
      </c>
      <c r="G765" s="951">
        <v>88</v>
      </c>
      <c r="H765" s="951">
        <v>87.91</v>
      </c>
      <c r="I765" s="18"/>
    </row>
    <row r="766" spans="1:9">
      <c r="A766" s="943">
        <v>3</v>
      </c>
      <c r="B766" s="944">
        <v>767.9</v>
      </c>
      <c r="C766" s="944" t="s">
        <v>1437</v>
      </c>
      <c r="D766" s="943" t="s">
        <v>1</v>
      </c>
      <c r="E766" s="952">
        <v>11800</v>
      </c>
      <c r="F766" s="945">
        <v>3</v>
      </c>
      <c r="G766" s="946">
        <v>7.5</v>
      </c>
      <c r="H766" s="946">
        <v>7.28</v>
      </c>
    </row>
    <row r="767" spans="1:9" s="26" customFormat="1">
      <c r="A767" s="947">
        <v>3</v>
      </c>
      <c r="B767" s="948">
        <v>769</v>
      </c>
      <c r="C767" s="948" t="s">
        <v>443</v>
      </c>
      <c r="D767" s="947" t="s">
        <v>17</v>
      </c>
      <c r="E767" s="949">
        <v>120640</v>
      </c>
      <c r="F767" s="950">
        <v>10</v>
      </c>
      <c r="G767" s="951">
        <v>10</v>
      </c>
      <c r="H767" s="951">
        <v>10.65</v>
      </c>
      <c r="I767" s="18"/>
    </row>
    <row r="768" spans="1:9">
      <c r="A768" s="943">
        <v>3</v>
      </c>
      <c r="B768" s="944">
        <v>776.52300000000002</v>
      </c>
      <c r="C768" s="944" t="s">
        <v>4012</v>
      </c>
      <c r="D768" s="943" t="s">
        <v>2</v>
      </c>
      <c r="E768" s="945">
        <v>27</v>
      </c>
      <c r="F768" s="945">
        <v>1</v>
      </c>
      <c r="G768" s="946">
        <v>710</v>
      </c>
      <c r="H768" s="946">
        <v>736.56</v>
      </c>
    </row>
    <row r="769" spans="1:9" s="26" customFormat="1">
      <c r="A769" s="947">
        <v>3</v>
      </c>
      <c r="B769" s="948">
        <v>776.83600000000001</v>
      </c>
      <c r="C769" s="948" t="s">
        <v>1477</v>
      </c>
      <c r="D769" s="947" t="s">
        <v>2</v>
      </c>
      <c r="E769" s="950">
        <v>24</v>
      </c>
      <c r="F769" s="950">
        <v>1</v>
      </c>
      <c r="G769" s="951">
        <v>944.5</v>
      </c>
      <c r="H769" s="951">
        <v>958</v>
      </c>
      <c r="I769" s="18"/>
    </row>
    <row r="770" spans="1:9">
      <c r="A770" s="943">
        <v>3</v>
      </c>
      <c r="B770" s="944">
        <v>783.46699999999998</v>
      </c>
      <c r="C770" s="944" t="s">
        <v>463</v>
      </c>
      <c r="D770" s="943" t="s">
        <v>2</v>
      </c>
      <c r="E770" s="945">
        <v>20</v>
      </c>
      <c r="F770" s="945">
        <v>1</v>
      </c>
      <c r="G770" s="946">
        <v>797.5</v>
      </c>
      <c r="H770" s="946">
        <v>773.63</v>
      </c>
    </row>
    <row r="771" spans="1:9" s="26" customFormat="1">
      <c r="A771" s="947">
        <v>3</v>
      </c>
      <c r="B771" s="948">
        <v>785.73099999999999</v>
      </c>
      <c r="C771" s="948" t="s">
        <v>4014</v>
      </c>
      <c r="D771" s="947" t="s">
        <v>2</v>
      </c>
      <c r="E771" s="950">
        <v>68</v>
      </c>
      <c r="F771" s="950">
        <v>1</v>
      </c>
      <c r="G771" s="951">
        <v>95</v>
      </c>
      <c r="H771" s="951">
        <v>80</v>
      </c>
      <c r="I771" s="18"/>
    </row>
    <row r="772" spans="1:9">
      <c r="A772" s="943">
        <v>3</v>
      </c>
      <c r="B772" s="944">
        <v>789.63300000000004</v>
      </c>
      <c r="C772" s="944" t="s">
        <v>4008</v>
      </c>
      <c r="D772" s="943" t="s">
        <v>2</v>
      </c>
      <c r="E772" s="945">
        <v>312</v>
      </c>
      <c r="F772" s="945">
        <v>1</v>
      </c>
      <c r="G772" s="946">
        <v>122.5</v>
      </c>
      <c r="H772" s="946">
        <v>118</v>
      </c>
    </row>
    <row r="773" spans="1:9" s="26" customFormat="1">
      <c r="A773" s="947">
        <v>3</v>
      </c>
      <c r="B773" s="948">
        <v>790.71699999999998</v>
      </c>
      <c r="C773" s="948" t="s">
        <v>4059</v>
      </c>
      <c r="D773" s="947" t="s">
        <v>2</v>
      </c>
      <c r="E773" s="950">
        <v>176</v>
      </c>
      <c r="F773" s="950">
        <v>1</v>
      </c>
      <c r="G773" s="951">
        <v>69</v>
      </c>
      <c r="H773" s="951">
        <v>64</v>
      </c>
      <c r="I773" s="18"/>
    </row>
    <row r="774" spans="1:9">
      <c r="A774" s="943">
        <v>3</v>
      </c>
      <c r="B774" s="944">
        <v>794.33100000000002</v>
      </c>
      <c r="C774" s="944" t="s">
        <v>4061</v>
      </c>
      <c r="D774" s="943" t="s">
        <v>2</v>
      </c>
      <c r="E774" s="945">
        <v>276</v>
      </c>
      <c r="F774" s="945">
        <v>1</v>
      </c>
      <c r="G774" s="946">
        <v>55</v>
      </c>
      <c r="H774" s="946">
        <v>55</v>
      </c>
    </row>
    <row r="775" spans="1:9" s="26" customFormat="1">
      <c r="A775" s="947">
        <v>3</v>
      </c>
      <c r="B775" s="948">
        <v>794.73699999999997</v>
      </c>
      <c r="C775" s="948" t="s">
        <v>4010</v>
      </c>
      <c r="D775" s="947" t="s">
        <v>2</v>
      </c>
      <c r="E775" s="950">
        <v>90</v>
      </c>
      <c r="F775" s="950">
        <v>1</v>
      </c>
      <c r="G775" s="951">
        <v>55</v>
      </c>
      <c r="H775" s="951">
        <v>55</v>
      </c>
      <c r="I775" s="18"/>
    </row>
    <row r="776" spans="1:9">
      <c r="A776" s="943">
        <v>3</v>
      </c>
      <c r="B776" s="944">
        <v>795.15099999999995</v>
      </c>
      <c r="C776" s="944" t="s">
        <v>4019</v>
      </c>
      <c r="D776" s="943" t="s">
        <v>2</v>
      </c>
      <c r="E776" s="945">
        <v>16</v>
      </c>
      <c r="F776" s="945">
        <v>1</v>
      </c>
      <c r="G776" s="946">
        <v>69</v>
      </c>
      <c r="H776" s="946">
        <v>64.63</v>
      </c>
    </row>
    <row r="777" spans="1:9" s="26" customFormat="1">
      <c r="A777" s="947">
        <v>3</v>
      </c>
      <c r="B777" s="948">
        <v>795.15499999999997</v>
      </c>
      <c r="C777" s="948" t="s">
        <v>4020</v>
      </c>
      <c r="D777" s="947" t="s">
        <v>2</v>
      </c>
      <c r="E777" s="950">
        <v>104</v>
      </c>
      <c r="F777" s="950">
        <v>1</v>
      </c>
      <c r="G777" s="951">
        <v>69</v>
      </c>
      <c r="H777" s="951">
        <v>65.25</v>
      </c>
      <c r="I777" s="18"/>
    </row>
    <row r="778" spans="1:9">
      <c r="A778" s="943">
        <v>3</v>
      </c>
      <c r="B778" s="944">
        <v>795.43299999999999</v>
      </c>
      <c r="C778" s="944" t="s">
        <v>4065</v>
      </c>
      <c r="D778" s="943" t="s">
        <v>2</v>
      </c>
      <c r="E778" s="945">
        <v>126</v>
      </c>
      <c r="F778" s="945">
        <v>1</v>
      </c>
      <c r="G778" s="946">
        <v>102.5</v>
      </c>
      <c r="H778" s="946">
        <v>102</v>
      </c>
    </row>
    <row r="779" spans="1:9" s="26" customFormat="1">
      <c r="A779" s="947">
        <v>3</v>
      </c>
      <c r="B779" s="948">
        <v>801.42</v>
      </c>
      <c r="C779" s="948" t="s">
        <v>484</v>
      </c>
      <c r="D779" s="947" t="s">
        <v>17</v>
      </c>
      <c r="E779" s="949">
        <v>4800</v>
      </c>
      <c r="F779" s="950">
        <v>1</v>
      </c>
      <c r="G779" s="951">
        <v>86</v>
      </c>
      <c r="H779" s="951">
        <v>86.75</v>
      </c>
      <c r="I779" s="18"/>
    </row>
    <row r="780" spans="1:9">
      <c r="A780" s="943">
        <v>3</v>
      </c>
      <c r="B780" s="944">
        <v>804.3</v>
      </c>
      <c r="C780" s="944" t="s">
        <v>488</v>
      </c>
      <c r="D780" s="943" t="s">
        <v>17</v>
      </c>
      <c r="E780" s="952">
        <v>7820</v>
      </c>
      <c r="F780" s="945">
        <v>4</v>
      </c>
      <c r="G780" s="946">
        <v>62.5</v>
      </c>
      <c r="H780" s="946">
        <v>64.5</v>
      </c>
    </row>
    <row r="781" spans="1:9" s="26" customFormat="1">
      <c r="A781" s="947">
        <v>3</v>
      </c>
      <c r="B781" s="948">
        <v>804.4</v>
      </c>
      <c r="C781" s="948" t="s">
        <v>489</v>
      </c>
      <c r="D781" s="947" t="s">
        <v>17</v>
      </c>
      <c r="E781" s="949">
        <v>2400</v>
      </c>
      <c r="F781" s="950">
        <v>1</v>
      </c>
      <c r="G781" s="951">
        <v>38</v>
      </c>
      <c r="H781" s="951">
        <v>37.630000000000003</v>
      </c>
      <c r="I781" s="18"/>
    </row>
    <row r="782" spans="1:9">
      <c r="A782" s="943">
        <v>3</v>
      </c>
      <c r="B782" s="944">
        <v>811.22</v>
      </c>
      <c r="C782" s="944" t="s">
        <v>496</v>
      </c>
      <c r="D782" s="943" t="s">
        <v>2</v>
      </c>
      <c r="E782" s="945">
        <v>143</v>
      </c>
      <c r="F782" s="945">
        <v>3</v>
      </c>
      <c r="G782" s="946">
        <v>1880</v>
      </c>
      <c r="H782" s="946">
        <v>1914.17</v>
      </c>
    </row>
    <row r="783" spans="1:9" s="26" customFormat="1">
      <c r="A783" s="947">
        <v>3</v>
      </c>
      <c r="B783" s="948">
        <v>811.31</v>
      </c>
      <c r="C783" s="948" t="s">
        <v>501</v>
      </c>
      <c r="D783" s="947" t="s">
        <v>2</v>
      </c>
      <c r="E783" s="950">
        <v>39</v>
      </c>
      <c r="F783" s="950">
        <v>3</v>
      </c>
      <c r="G783" s="951">
        <v>1200</v>
      </c>
      <c r="H783" s="951">
        <v>1139.17</v>
      </c>
      <c r="I783" s="18"/>
    </row>
    <row r="784" spans="1:9">
      <c r="A784" s="943">
        <v>3</v>
      </c>
      <c r="B784" s="944">
        <v>811.35</v>
      </c>
      <c r="C784" s="944" t="s">
        <v>502</v>
      </c>
      <c r="D784" s="943" t="s">
        <v>2</v>
      </c>
      <c r="E784" s="945">
        <v>12</v>
      </c>
      <c r="F784" s="945">
        <v>1</v>
      </c>
      <c r="G784" s="946">
        <v>250</v>
      </c>
      <c r="H784" s="946">
        <v>250</v>
      </c>
    </row>
    <row r="785" spans="1:9" s="26" customFormat="1">
      <c r="A785" s="947">
        <v>3</v>
      </c>
      <c r="B785" s="948">
        <v>813.81</v>
      </c>
      <c r="C785" s="948" t="s">
        <v>525</v>
      </c>
      <c r="D785" s="947" t="s">
        <v>22</v>
      </c>
      <c r="E785" s="950">
        <v>4</v>
      </c>
      <c r="F785" s="950">
        <v>1</v>
      </c>
      <c r="G785" s="951">
        <v>5750</v>
      </c>
      <c r="H785" s="951">
        <v>5875</v>
      </c>
      <c r="I785" s="18"/>
    </row>
    <row r="786" spans="1:9">
      <c r="A786" s="943">
        <v>3</v>
      </c>
      <c r="B786" s="944">
        <v>815.1</v>
      </c>
      <c r="C786" s="944" t="s">
        <v>526</v>
      </c>
      <c r="D786" s="943" t="s">
        <v>22</v>
      </c>
      <c r="E786" s="945">
        <v>4</v>
      </c>
      <c r="F786" s="945">
        <v>1</v>
      </c>
      <c r="G786" s="946">
        <v>265000</v>
      </c>
      <c r="H786" s="946">
        <v>236500</v>
      </c>
    </row>
    <row r="787" spans="1:9" s="26" customFormat="1">
      <c r="A787" s="947">
        <v>3</v>
      </c>
      <c r="B787" s="948">
        <v>816.01</v>
      </c>
      <c r="C787" s="948" t="s">
        <v>531</v>
      </c>
      <c r="D787" s="947" t="s">
        <v>22</v>
      </c>
      <c r="E787" s="950">
        <v>5</v>
      </c>
      <c r="F787" s="950">
        <v>1</v>
      </c>
      <c r="G787" s="951">
        <v>102350</v>
      </c>
      <c r="H787" s="951">
        <v>110940</v>
      </c>
      <c r="I787" s="18"/>
    </row>
    <row r="788" spans="1:9">
      <c r="A788" s="943">
        <v>3</v>
      </c>
      <c r="B788" s="944">
        <v>816.02</v>
      </c>
      <c r="C788" s="944" t="s">
        <v>532</v>
      </c>
      <c r="D788" s="943" t="s">
        <v>22</v>
      </c>
      <c r="E788" s="945">
        <v>6</v>
      </c>
      <c r="F788" s="945">
        <v>1</v>
      </c>
      <c r="G788" s="946">
        <v>324000</v>
      </c>
      <c r="H788" s="946">
        <v>330166.67</v>
      </c>
    </row>
    <row r="789" spans="1:9" s="26" customFormat="1">
      <c r="A789" s="947">
        <v>3</v>
      </c>
      <c r="B789" s="948">
        <v>816.8</v>
      </c>
      <c r="C789" s="948" t="s">
        <v>534</v>
      </c>
      <c r="D789" s="947" t="s">
        <v>22</v>
      </c>
      <c r="E789" s="950">
        <v>4</v>
      </c>
      <c r="F789" s="950">
        <v>1</v>
      </c>
      <c r="G789" s="951">
        <v>8250</v>
      </c>
      <c r="H789" s="951">
        <v>7500</v>
      </c>
      <c r="I789" s="18"/>
    </row>
    <row r="790" spans="1:9">
      <c r="A790" s="943">
        <v>3</v>
      </c>
      <c r="B790" s="944">
        <v>816.81</v>
      </c>
      <c r="C790" s="944" t="s">
        <v>535</v>
      </c>
      <c r="D790" s="943" t="s">
        <v>22</v>
      </c>
      <c r="E790" s="945">
        <v>4</v>
      </c>
      <c r="F790" s="945">
        <v>1</v>
      </c>
      <c r="G790" s="946">
        <v>18000</v>
      </c>
      <c r="H790" s="946">
        <v>14750</v>
      </c>
    </row>
    <row r="791" spans="1:9" s="26" customFormat="1">
      <c r="A791" s="947">
        <v>3</v>
      </c>
      <c r="B791" s="948">
        <v>817.1</v>
      </c>
      <c r="C791" s="948" t="s">
        <v>537</v>
      </c>
      <c r="D791" s="947" t="s">
        <v>2</v>
      </c>
      <c r="E791" s="950">
        <v>12</v>
      </c>
      <c r="F791" s="950">
        <v>1</v>
      </c>
      <c r="G791" s="951">
        <v>1525</v>
      </c>
      <c r="H791" s="951">
        <v>1525</v>
      </c>
      <c r="I791" s="18"/>
    </row>
    <row r="792" spans="1:9">
      <c r="A792" s="943">
        <v>3</v>
      </c>
      <c r="B792" s="944">
        <v>818.03</v>
      </c>
      <c r="C792" s="944" t="s">
        <v>3157</v>
      </c>
      <c r="D792" s="943" t="s">
        <v>2</v>
      </c>
      <c r="E792" s="945">
        <v>2</v>
      </c>
      <c r="F792" s="945">
        <v>1</v>
      </c>
      <c r="G792" s="946">
        <v>1262.5</v>
      </c>
      <c r="H792" s="946">
        <v>1262.5</v>
      </c>
    </row>
    <row r="793" spans="1:9" s="26" customFormat="1">
      <c r="A793" s="947">
        <v>3</v>
      </c>
      <c r="B793" s="948">
        <v>819.83100000000002</v>
      </c>
      <c r="C793" s="948" t="s">
        <v>540</v>
      </c>
      <c r="D793" s="947" t="s">
        <v>17</v>
      </c>
      <c r="E793" s="949">
        <v>58700</v>
      </c>
      <c r="F793" s="950">
        <v>4</v>
      </c>
      <c r="G793" s="951">
        <v>14</v>
      </c>
      <c r="H793" s="951">
        <v>15.72</v>
      </c>
      <c r="I793" s="18"/>
    </row>
    <row r="794" spans="1:9">
      <c r="A794" s="943">
        <v>3</v>
      </c>
      <c r="B794" s="944">
        <v>829</v>
      </c>
      <c r="C794" s="944" t="s">
        <v>554</v>
      </c>
      <c r="D794" s="943" t="s">
        <v>3</v>
      </c>
      <c r="E794" s="945">
        <v>720</v>
      </c>
      <c r="F794" s="945">
        <v>1</v>
      </c>
      <c r="G794" s="946">
        <v>30</v>
      </c>
      <c r="H794" s="946">
        <v>30.19</v>
      </c>
    </row>
    <row r="795" spans="1:9" s="26" customFormat="1">
      <c r="A795" s="947">
        <v>3</v>
      </c>
      <c r="B795" s="948">
        <v>831</v>
      </c>
      <c r="C795" s="948" t="s">
        <v>555</v>
      </c>
      <c r="D795" s="947" t="s">
        <v>3</v>
      </c>
      <c r="E795" s="950">
        <v>930</v>
      </c>
      <c r="F795" s="950">
        <v>1</v>
      </c>
      <c r="G795" s="951">
        <v>37.5</v>
      </c>
      <c r="H795" s="951">
        <v>40.17</v>
      </c>
      <c r="I795" s="18"/>
    </row>
    <row r="796" spans="1:9">
      <c r="A796" s="943">
        <v>3</v>
      </c>
      <c r="B796" s="944">
        <v>832</v>
      </c>
      <c r="C796" s="944" t="s">
        <v>556</v>
      </c>
      <c r="D796" s="943" t="s">
        <v>3</v>
      </c>
      <c r="E796" s="952">
        <v>14375</v>
      </c>
      <c r="F796" s="945">
        <v>8</v>
      </c>
      <c r="G796" s="946">
        <v>15.5</v>
      </c>
      <c r="H796" s="946">
        <v>15.84</v>
      </c>
    </row>
    <row r="797" spans="1:9" s="26" customFormat="1">
      <c r="A797" s="947">
        <v>3</v>
      </c>
      <c r="B797" s="948">
        <v>833.5</v>
      </c>
      <c r="C797" s="948" t="s">
        <v>557</v>
      </c>
      <c r="D797" s="947" t="s">
        <v>2</v>
      </c>
      <c r="E797" s="949">
        <v>3529</v>
      </c>
      <c r="F797" s="950">
        <v>3</v>
      </c>
      <c r="G797" s="951">
        <v>9</v>
      </c>
      <c r="H797" s="951">
        <v>9.61</v>
      </c>
      <c r="I797" s="18"/>
    </row>
    <row r="798" spans="1:9">
      <c r="A798" s="943">
        <v>3</v>
      </c>
      <c r="B798" s="944">
        <v>833.7</v>
      </c>
      <c r="C798" s="944" t="s">
        <v>558</v>
      </c>
      <c r="D798" s="943" t="s">
        <v>2</v>
      </c>
      <c r="E798" s="952">
        <v>1309</v>
      </c>
      <c r="F798" s="945">
        <v>7</v>
      </c>
      <c r="G798" s="946">
        <v>85</v>
      </c>
      <c r="H798" s="946">
        <v>84.32</v>
      </c>
    </row>
    <row r="799" spans="1:9" s="26" customFormat="1">
      <c r="A799" s="947">
        <v>3</v>
      </c>
      <c r="B799" s="948">
        <v>834</v>
      </c>
      <c r="C799" s="948" t="s">
        <v>559</v>
      </c>
      <c r="D799" s="947" t="s">
        <v>2</v>
      </c>
      <c r="E799" s="950">
        <v>95</v>
      </c>
      <c r="F799" s="950">
        <v>2</v>
      </c>
      <c r="G799" s="951">
        <v>220</v>
      </c>
      <c r="H799" s="951">
        <v>231.6</v>
      </c>
      <c r="I799" s="18"/>
    </row>
    <row r="800" spans="1:9">
      <c r="A800" s="943">
        <v>3</v>
      </c>
      <c r="B800" s="944">
        <v>834.17</v>
      </c>
      <c r="C800" s="944" t="s">
        <v>560</v>
      </c>
      <c r="D800" s="943" t="s">
        <v>2</v>
      </c>
      <c r="E800" s="945">
        <v>47</v>
      </c>
      <c r="F800" s="945">
        <v>2</v>
      </c>
      <c r="G800" s="946">
        <v>73</v>
      </c>
      <c r="H800" s="946">
        <v>64.599999999999994</v>
      </c>
    </row>
    <row r="801" spans="1:9" s="26" customFormat="1">
      <c r="A801" s="947">
        <v>3</v>
      </c>
      <c r="B801" s="948">
        <v>834.18</v>
      </c>
      <c r="C801" s="948" t="s">
        <v>561</v>
      </c>
      <c r="D801" s="947" t="s">
        <v>2</v>
      </c>
      <c r="E801" s="949">
        <v>1487</v>
      </c>
      <c r="F801" s="950">
        <v>2</v>
      </c>
      <c r="G801" s="951">
        <v>50</v>
      </c>
      <c r="H801" s="951">
        <v>54.6</v>
      </c>
      <c r="I801" s="18"/>
    </row>
    <row r="802" spans="1:9">
      <c r="A802" s="943">
        <v>3</v>
      </c>
      <c r="B802" s="944">
        <v>836.5</v>
      </c>
      <c r="C802" s="944" t="s">
        <v>562</v>
      </c>
      <c r="D802" s="943" t="s">
        <v>2</v>
      </c>
      <c r="E802" s="945">
        <v>352</v>
      </c>
      <c r="F802" s="945">
        <v>2</v>
      </c>
      <c r="G802" s="946">
        <v>50</v>
      </c>
      <c r="H802" s="946">
        <v>60</v>
      </c>
    </row>
    <row r="803" spans="1:9" s="26" customFormat="1">
      <c r="A803" s="947">
        <v>3</v>
      </c>
      <c r="B803" s="948">
        <v>841.1</v>
      </c>
      <c r="C803" s="948" t="s">
        <v>566</v>
      </c>
      <c r="D803" s="947" t="s">
        <v>2</v>
      </c>
      <c r="E803" s="950">
        <v>48</v>
      </c>
      <c r="F803" s="950">
        <v>1</v>
      </c>
      <c r="G803" s="951">
        <v>2862.5</v>
      </c>
      <c r="H803" s="951">
        <v>2840.83</v>
      </c>
      <c r="I803" s="18"/>
    </row>
    <row r="804" spans="1:9">
      <c r="A804" s="943">
        <v>3</v>
      </c>
      <c r="B804" s="944">
        <v>841.8</v>
      </c>
      <c r="C804" s="944" t="s">
        <v>571</v>
      </c>
      <c r="D804" s="943" t="s">
        <v>2</v>
      </c>
      <c r="E804" s="945">
        <v>24</v>
      </c>
      <c r="F804" s="945">
        <v>1</v>
      </c>
      <c r="G804" s="946">
        <v>4375</v>
      </c>
      <c r="H804" s="946">
        <v>4466.88</v>
      </c>
    </row>
    <row r="805" spans="1:9" s="26" customFormat="1">
      <c r="A805" s="947">
        <v>3</v>
      </c>
      <c r="B805" s="948">
        <v>847.1</v>
      </c>
      <c r="C805" s="948" t="s">
        <v>578</v>
      </c>
      <c r="D805" s="947" t="s">
        <v>2</v>
      </c>
      <c r="E805" s="949">
        <v>2708</v>
      </c>
      <c r="F805" s="950">
        <v>7</v>
      </c>
      <c r="G805" s="951">
        <v>235</v>
      </c>
      <c r="H805" s="951">
        <v>237.53</v>
      </c>
      <c r="I805" s="18"/>
    </row>
    <row r="806" spans="1:9">
      <c r="A806" s="943">
        <v>3</v>
      </c>
      <c r="B806" s="944">
        <v>848.1</v>
      </c>
      <c r="C806" s="944" t="s">
        <v>579</v>
      </c>
      <c r="D806" s="943" t="s">
        <v>2</v>
      </c>
      <c r="E806" s="945">
        <v>52</v>
      </c>
      <c r="F806" s="945">
        <v>3</v>
      </c>
      <c r="G806" s="946">
        <v>450</v>
      </c>
      <c r="H806" s="946">
        <v>437.14</v>
      </c>
    </row>
    <row r="807" spans="1:9" s="26" customFormat="1">
      <c r="A807" s="947">
        <v>3</v>
      </c>
      <c r="B807" s="948">
        <v>850.41</v>
      </c>
      <c r="C807" s="948" t="s">
        <v>580</v>
      </c>
      <c r="D807" s="947" t="s">
        <v>24</v>
      </c>
      <c r="E807" s="949">
        <v>10960</v>
      </c>
      <c r="F807" s="950">
        <v>9</v>
      </c>
      <c r="G807" s="951">
        <v>70</v>
      </c>
      <c r="H807" s="951">
        <v>75.05</v>
      </c>
      <c r="I807" s="18"/>
    </row>
    <row r="808" spans="1:9">
      <c r="A808" s="943">
        <v>3</v>
      </c>
      <c r="B808" s="944">
        <v>851.1</v>
      </c>
      <c r="C808" s="944" t="s">
        <v>581</v>
      </c>
      <c r="D808" s="943" t="s">
        <v>42</v>
      </c>
      <c r="E808" s="952">
        <v>2960</v>
      </c>
      <c r="F808" s="945">
        <v>8</v>
      </c>
      <c r="G808" s="946">
        <v>100</v>
      </c>
      <c r="H808" s="946">
        <v>157.88999999999999</v>
      </c>
    </row>
    <row r="809" spans="1:9" s="26" customFormat="1">
      <c r="A809" s="947">
        <v>3</v>
      </c>
      <c r="B809" s="948">
        <v>852</v>
      </c>
      <c r="C809" s="948" t="s">
        <v>49</v>
      </c>
      <c r="D809" s="947" t="s">
        <v>3</v>
      </c>
      <c r="E809" s="949">
        <v>48052</v>
      </c>
      <c r="F809" s="950">
        <v>22</v>
      </c>
      <c r="G809" s="951">
        <v>23.5</v>
      </c>
      <c r="H809" s="951">
        <v>22.55</v>
      </c>
      <c r="I809" s="18"/>
    </row>
    <row r="810" spans="1:9">
      <c r="A810" s="943">
        <v>3</v>
      </c>
      <c r="B810" s="944">
        <v>853.1</v>
      </c>
      <c r="C810" s="944" t="s">
        <v>582</v>
      </c>
      <c r="D810" s="943" t="s">
        <v>2</v>
      </c>
      <c r="E810" s="945">
        <v>265</v>
      </c>
      <c r="F810" s="945">
        <v>8</v>
      </c>
      <c r="G810" s="946">
        <v>154</v>
      </c>
      <c r="H810" s="946">
        <v>159.56</v>
      </c>
    </row>
    <row r="811" spans="1:9" s="26" customFormat="1">
      <c r="A811" s="947">
        <v>3</v>
      </c>
      <c r="B811" s="948">
        <v>853.2</v>
      </c>
      <c r="C811" s="948" t="s">
        <v>1453</v>
      </c>
      <c r="D811" s="947" t="s">
        <v>17</v>
      </c>
      <c r="E811" s="949">
        <v>25740</v>
      </c>
      <c r="F811" s="950">
        <v>5</v>
      </c>
      <c r="G811" s="951">
        <v>50</v>
      </c>
      <c r="H811" s="951">
        <v>51.72</v>
      </c>
      <c r="I811" s="18"/>
    </row>
    <row r="812" spans="1:9">
      <c r="A812" s="943">
        <v>3</v>
      </c>
      <c r="B812" s="944">
        <v>853.21</v>
      </c>
      <c r="C812" s="944" t="s">
        <v>583</v>
      </c>
      <c r="D812" s="943" t="s">
        <v>17</v>
      </c>
      <c r="E812" s="952">
        <v>48460</v>
      </c>
      <c r="F812" s="945">
        <v>9</v>
      </c>
      <c r="G812" s="946">
        <v>20</v>
      </c>
      <c r="H812" s="946">
        <v>19.41</v>
      </c>
    </row>
    <row r="813" spans="1:9" s="26" customFormat="1">
      <c r="A813" s="947">
        <v>3</v>
      </c>
      <c r="B813" s="948">
        <v>853.23</v>
      </c>
      <c r="C813" s="948" t="s">
        <v>584</v>
      </c>
      <c r="D813" s="947" t="s">
        <v>17</v>
      </c>
      <c r="E813" s="949">
        <v>1500</v>
      </c>
      <c r="F813" s="950">
        <v>1</v>
      </c>
      <c r="G813" s="951">
        <v>75</v>
      </c>
      <c r="H813" s="951">
        <v>78.33</v>
      </c>
      <c r="I813" s="18"/>
    </row>
    <row r="814" spans="1:9">
      <c r="A814" s="943">
        <v>3</v>
      </c>
      <c r="B814" s="944">
        <v>853.33</v>
      </c>
      <c r="C814" s="944" t="s">
        <v>587</v>
      </c>
      <c r="D814" s="943" t="s">
        <v>17</v>
      </c>
      <c r="E814" s="952">
        <v>14140</v>
      </c>
      <c r="F814" s="945">
        <v>6</v>
      </c>
      <c r="G814" s="946">
        <v>77</v>
      </c>
      <c r="H814" s="946">
        <v>74.92</v>
      </c>
    </row>
    <row r="815" spans="1:9" s="26" customFormat="1">
      <c r="A815" s="947">
        <v>3</v>
      </c>
      <c r="B815" s="948">
        <v>853.40300000000002</v>
      </c>
      <c r="C815" s="948" t="s">
        <v>588</v>
      </c>
      <c r="D815" s="947" t="s">
        <v>42</v>
      </c>
      <c r="E815" s="949">
        <v>8071</v>
      </c>
      <c r="F815" s="950">
        <v>18</v>
      </c>
      <c r="G815" s="951">
        <v>147</v>
      </c>
      <c r="H815" s="951">
        <v>139.91</v>
      </c>
      <c r="I815" s="18"/>
    </row>
    <row r="816" spans="1:9">
      <c r="A816" s="943">
        <v>3</v>
      </c>
      <c r="B816" s="944">
        <v>853.8</v>
      </c>
      <c r="C816" s="944" t="s">
        <v>589</v>
      </c>
      <c r="D816" s="943" t="s">
        <v>42</v>
      </c>
      <c r="E816" s="952">
        <v>5330</v>
      </c>
      <c r="F816" s="945">
        <v>16</v>
      </c>
      <c r="G816" s="946">
        <v>50</v>
      </c>
      <c r="H816" s="946">
        <v>67.5</v>
      </c>
    </row>
    <row r="817" spans="1:9" s="26" customFormat="1">
      <c r="A817" s="947">
        <v>3</v>
      </c>
      <c r="B817" s="948">
        <v>854.01599999999996</v>
      </c>
      <c r="C817" s="948" t="s">
        <v>591</v>
      </c>
      <c r="D817" s="947" t="s">
        <v>17</v>
      </c>
      <c r="E817" s="949">
        <v>4844648</v>
      </c>
      <c r="F817" s="950">
        <v>9</v>
      </c>
      <c r="G817" s="951">
        <v>0.4</v>
      </c>
      <c r="H817" s="951">
        <v>0.35</v>
      </c>
      <c r="I817" s="18"/>
    </row>
    <row r="818" spans="1:9">
      <c r="A818" s="943">
        <v>3</v>
      </c>
      <c r="B818" s="944">
        <v>854.03599999999994</v>
      </c>
      <c r="C818" s="944" t="s">
        <v>592</v>
      </c>
      <c r="D818" s="943" t="s">
        <v>17</v>
      </c>
      <c r="E818" s="952">
        <v>543392</v>
      </c>
      <c r="F818" s="945">
        <v>12</v>
      </c>
      <c r="G818" s="946">
        <v>1.88</v>
      </c>
      <c r="H818" s="946">
        <v>1.83</v>
      </c>
    </row>
    <row r="819" spans="1:9" s="26" customFormat="1">
      <c r="A819" s="947">
        <v>3</v>
      </c>
      <c r="B819" s="948">
        <v>854.1</v>
      </c>
      <c r="C819" s="948" t="s">
        <v>593</v>
      </c>
      <c r="D819" s="947" t="s">
        <v>3</v>
      </c>
      <c r="E819" s="949">
        <v>147255</v>
      </c>
      <c r="F819" s="950">
        <v>8</v>
      </c>
      <c r="G819" s="951">
        <v>2.5</v>
      </c>
      <c r="H819" s="951">
        <v>2.5</v>
      </c>
      <c r="I819" s="18"/>
    </row>
    <row r="820" spans="1:9">
      <c r="A820" s="943">
        <v>3</v>
      </c>
      <c r="B820" s="944">
        <v>854.6</v>
      </c>
      <c r="C820" s="944" t="s">
        <v>1454</v>
      </c>
      <c r="D820" s="943" t="s">
        <v>42</v>
      </c>
      <c r="E820" s="952">
        <v>7795</v>
      </c>
      <c r="F820" s="945">
        <v>12</v>
      </c>
      <c r="G820" s="946">
        <v>50</v>
      </c>
      <c r="H820" s="946">
        <v>46.71</v>
      </c>
    </row>
    <row r="821" spans="1:9" s="26" customFormat="1">
      <c r="A821" s="947">
        <v>3</v>
      </c>
      <c r="B821" s="948">
        <v>856</v>
      </c>
      <c r="C821" s="948" t="s">
        <v>595</v>
      </c>
      <c r="D821" s="947" t="s">
        <v>42</v>
      </c>
      <c r="E821" s="949">
        <v>38728</v>
      </c>
      <c r="F821" s="950">
        <v>24</v>
      </c>
      <c r="G821" s="951">
        <v>10</v>
      </c>
      <c r="H821" s="951">
        <v>9.8000000000000007</v>
      </c>
      <c r="I821" s="18"/>
    </row>
    <row r="822" spans="1:9">
      <c r="A822" s="943">
        <v>3</v>
      </c>
      <c r="B822" s="944">
        <v>856.12</v>
      </c>
      <c r="C822" s="944" t="s">
        <v>596</v>
      </c>
      <c r="D822" s="943" t="s">
        <v>42</v>
      </c>
      <c r="E822" s="952">
        <v>101680</v>
      </c>
      <c r="F822" s="945">
        <v>23</v>
      </c>
      <c r="G822" s="946">
        <v>22.4</v>
      </c>
      <c r="H822" s="946">
        <v>23.37</v>
      </c>
    </row>
    <row r="823" spans="1:9" s="26" customFormat="1">
      <c r="A823" s="947">
        <v>3</v>
      </c>
      <c r="B823" s="948">
        <v>859</v>
      </c>
      <c r="C823" s="948" t="s">
        <v>28</v>
      </c>
      <c r="D823" s="947" t="s">
        <v>42</v>
      </c>
      <c r="E823" s="949">
        <v>3501116</v>
      </c>
      <c r="F823" s="950">
        <v>22</v>
      </c>
      <c r="G823" s="951">
        <v>0.25</v>
      </c>
      <c r="H823" s="951">
        <v>0.27</v>
      </c>
      <c r="I823" s="18"/>
    </row>
    <row r="824" spans="1:9">
      <c r="A824" s="943">
        <v>3</v>
      </c>
      <c r="B824" s="944">
        <v>859.1</v>
      </c>
      <c r="C824" s="944" t="s">
        <v>1455</v>
      </c>
      <c r="D824" s="943" t="s">
        <v>42</v>
      </c>
      <c r="E824" s="952">
        <v>52960</v>
      </c>
      <c r="F824" s="945">
        <v>21</v>
      </c>
      <c r="G824" s="946">
        <v>5</v>
      </c>
      <c r="H824" s="946">
        <v>4.7</v>
      </c>
    </row>
    <row r="825" spans="1:9" s="26" customFormat="1">
      <c r="A825" s="947">
        <v>3</v>
      </c>
      <c r="B825" s="948">
        <v>860.10599999999999</v>
      </c>
      <c r="C825" s="948" t="s">
        <v>597</v>
      </c>
      <c r="D825" s="947" t="s">
        <v>17</v>
      </c>
      <c r="E825" s="949">
        <v>16100</v>
      </c>
      <c r="F825" s="950">
        <v>2</v>
      </c>
      <c r="G825" s="951">
        <v>2.08</v>
      </c>
      <c r="H825" s="951">
        <v>1.91</v>
      </c>
      <c r="I825" s="18"/>
    </row>
    <row r="826" spans="1:9">
      <c r="A826" s="943">
        <v>3</v>
      </c>
      <c r="B826" s="944">
        <v>861.10599999999999</v>
      </c>
      <c r="C826" s="944" t="s">
        <v>599</v>
      </c>
      <c r="D826" s="943" t="s">
        <v>17</v>
      </c>
      <c r="E826" s="952">
        <v>16100</v>
      </c>
      <c r="F826" s="945">
        <v>2</v>
      </c>
      <c r="G826" s="946">
        <v>2.08</v>
      </c>
      <c r="H826" s="946">
        <v>1.91</v>
      </c>
    </row>
    <row r="827" spans="1:9" s="26" customFormat="1">
      <c r="A827" s="947">
        <v>3</v>
      </c>
      <c r="B827" s="948">
        <v>864.04</v>
      </c>
      <c r="C827" s="948" t="s">
        <v>1456</v>
      </c>
      <c r="D827" s="947" t="s">
        <v>3</v>
      </c>
      <c r="E827" s="949">
        <v>25962</v>
      </c>
      <c r="F827" s="950">
        <v>7</v>
      </c>
      <c r="G827" s="951">
        <v>14.5</v>
      </c>
      <c r="H827" s="951">
        <v>11</v>
      </c>
      <c r="I827" s="18"/>
    </row>
    <row r="828" spans="1:9">
      <c r="A828" s="943">
        <v>3</v>
      </c>
      <c r="B828" s="944">
        <v>864.07</v>
      </c>
      <c r="C828" s="944" t="s">
        <v>604</v>
      </c>
      <c r="D828" s="943" t="s">
        <v>3</v>
      </c>
      <c r="E828" s="952">
        <v>2640</v>
      </c>
      <c r="F828" s="945">
        <v>1</v>
      </c>
      <c r="G828" s="946">
        <v>8</v>
      </c>
      <c r="H828" s="946">
        <v>7.33</v>
      </c>
    </row>
    <row r="829" spans="1:9" s="26" customFormat="1">
      <c r="A829" s="947">
        <v>3</v>
      </c>
      <c r="B829" s="948">
        <v>864.31</v>
      </c>
      <c r="C829" s="948" t="s">
        <v>605</v>
      </c>
      <c r="D829" s="947" t="s">
        <v>2</v>
      </c>
      <c r="E829" s="949">
        <v>5130</v>
      </c>
      <c r="F829" s="950">
        <v>4</v>
      </c>
      <c r="G829" s="951">
        <v>28</v>
      </c>
      <c r="H829" s="951">
        <v>29.3</v>
      </c>
      <c r="I829" s="18"/>
    </row>
    <row r="830" spans="1:9">
      <c r="A830" s="943">
        <v>3</v>
      </c>
      <c r="B830" s="944">
        <v>864.32</v>
      </c>
      <c r="C830" s="944" t="s">
        <v>606</v>
      </c>
      <c r="D830" s="943" t="s">
        <v>2</v>
      </c>
      <c r="E830" s="952">
        <v>5100</v>
      </c>
      <c r="F830" s="945">
        <v>3</v>
      </c>
      <c r="G830" s="946">
        <v>25.25</v>
      </c>
      <c r="H830" s="946">
        <v>25.84</v>
      </c>
    </row>
    <row r="831" spans="1:9" s="26" customFormat="1">
      <c r="A831" s="947">
        <v>3</v>
      </c>
      <c r="B831" s="948">
        <v>864.33</v>
      </c>
      <c r="C831" s="948" t="s">
        <v>607</v>
      </c>
      <c r="D831" s="947" t="s">
        <v>2</v>
      </c>
      <c r="E831" s="949">
        <v>2320</v>
      </c>
      <c r="F831" s="950">
        <v>3</v>
      </c>
      <c r="G831" s="951">
        <v>34</v>
      </c>
      <c r="H831" s="951">
        <v>34.28</v>
      </c>
      <c r="I831" s="18"/>
    </row>
    <row r="832" spans="1:9">
      <c r="A832" s="943">
        <v>3</v>
      </c>
      <c r="B832" s="944">
        <v>864.34</v>
      </c>
      <c r="C832" s="944" t="s">
        <v>608</v>
      </c>
      <c r="D832" s="943" t="s">
        <v>2</v>
      </c>
      <c r="E832" s="945">
        <v>699</v>
      </c>
      <c r="F832" s="945">
        <v>3</v>
      </c>
      <c r="G832" s="946">
        <v>34</v>
      </c>
      <c r="H832" s="946">
        <v>34.28</v>
      </c>
    </row>
    <row r="833" spans="1:9" s="26" customFormat="1">
      <c r="A833" s="947">
        <v>3</v>
      </c>
      <c r="B833" s="948">
        <v>864.35</v>
      </c>
      <c r="C833" s="948" t="s">
        <v>609</v>
      </c>
      <c r="D833" s="947" t="s">
        <v>2</v>
      </c>
      <c r="E833" s="950">
        <v>500</v>
      </c>
      <c r="F833" s="950">
        <v>1</v>
      </c>
      <c r="G833" s="951">
        <v>26</v>
      </c>
      <c r="H833" s="951">
        <v>26</v>
      </c>
      <c r="I833" s="18"/>
    </row>
    <row r="834" spans="1:9">
      <c r="A834" s="943">
        <v>3</v>
      </c>
      <c r="B834" s="944">
        <v>866.10599999999999</v>
      </c>
      <c r="C834" s="944" t="s">
        <v>25</v>
      </c>
      <c r="D834" s="943" t="s">
        <v>17</v>
      </c>
      <c r="E834" s="952">
        <v>20560</v>
      </c>
      <c r="F834" s="945">
        <v>2</v>
      </c>
      <c r="G834" s="946">
        <v>2.5</v>
      </c>
      <c r="H834" s="946">
        <v>2.1800000000000002</v>
      </c>
    </row>
    <row r="835" spans="1:9" s="26" customFormat="1">
      <c r="A835" s="947">
        <v>3</v>
      </c>
      <c r="B835" s="948">
        <v>866.11199999999997</v>
      </c>
      <c r="C835" s="948" t="s">
        <v>610</v>
      </c>
      <c r="D835" s="947" t="s">
        <v>17</v>
      </c>
      <c r="E835" s="949">
        <v>57800</v>
      </c>
      <c r="F835" s="950">
        <v>2</v>
      </c>
      <c r="G835" s="951">
        <v>6.63</v>
      </c>
      <c r="H835" s="951">
        <v>6.53</v>
      </c>
      <c r="I835" s="18"/>
    </row>
    <row r="836" spans="1:9">
      <c r="A836" s="943">
        <v>3</v>
      </c>
      <c r="B836" s="944">
        <v>866.20600000000002</v>
      </c>
      <c r="C836" s="944" t="s">
        <v>611</v>
      </c>
      <c r="D836" s="943" t="s">
        <v>17</v>
      </c>
      <c r="E836" s="952">
        <v>408300</v>
      </c>
      <c r="F836" s="945">
        <v>6</v>
      </c>
      <c r="G836" s="946">
        <v>2.93</v>
      </c>
      <c r="H836" s="946">
        <v>2.99</v>
      </c>
    </row>
    <row r="837" spans="1:9" s="26" customFormat="1">
      <c r="A837" s="947">
        <v>3</v>
      </c>
      <c r="B837" s="948">
        <v>866.21199999999999</v>
      </c>
      <c r="C837" s="948" t="s">
        <v>612</v>
      </c>
      <c r="D837" s="947" t="s">
        <v>17</v>
      </c>
      <c r="E837" s="949">
        <v>13280</v>
      </c>
      <c r="F837" s="950">
        <v>2</v>
      </c>
      <c r="G837" s="951">
        <v>11.5</v>
      </c>
      <c r="H837" s="951">
        <v>11.55</v>
      </c>
      <c r="I837" s="18"/>
    </row>
    <row r="838" spans="1:9">
      <c r="A838" s="943">
        <v>3</v>
      </c>
      <c r="B838" s="944">
        <v>867.10599999999999</v>
      </c>
      <c r="C838" s="944" t="s">
        <v>613</v>
      </c>
      <c r="D838" s="943" t="s">
        <v>17</v>
      </c>
      <c r="E838" s="952">
        <v>31500</v>
      </c>
      <c r="F838" s="945">
        <v>2</v>
      </c>
      <c r="G838" s="946">
        <v>2.5</v>
      </c>
      <c r="H838" s="946">
        <v>2.17</v>
      </c>
    </row>
    <row r="839" spans="1:9" s="26" customFormat="1">
      <c r="A839" s="947">
        <v>3</v>
      </c>
      <c r="B839" s="948">
        <v>867.11199999999997</v>
      </c>
      <c r="C839" s="948" t="s">
        <v>50</v>
      </c>
      <c r="D839" s="947" t="s">
        <v>17</v>
      </c>
      <c r="E839" s="950">
        <v>550</v>
      </c>
      <c r="F839" s="950">
        <v>1</v>
      </c>
      <c r="G839" s="951">
        <v>7</v>
      </c>
      <c r="H839" s="951">
        <v>7.12</v>
      </c>
      <c r="I839" s="18"/>
    </row>
    <row r="840" spans="1:9">
      <c r="A840" s="943">
        <v>3</v>
      </c>
      <c r="B840" s="944">
        <v>867.20600000000002</v>
      </c>
      <c r="C840" s="944" t="s">
        <v>614</v>
      </c>
      <c r="D840" s="943" t="s">
        <v>17</v>
      </c>
      <c r="E840" s="952">
        <v>387880</v>
      </c>
      <c r="F840" s="945">
        <v>6</v>
      </c>
      <c r="G840" s="946">
        <v>2.85</v>
      </c>
      <c r="H840" s="946">
        <v>2.98</v>
      </c>
    </row>
    <row r="841" spans="1:9" s="26" customFormat="1">
      <c r="A841" s="947">
        <v>3</v>
      </c>
      <c r="B841" s="948">
        <v>868.06</v>
      </c>
      <c r="C841" s="948" t="s">
        <v>3317</v>
      </c>
      <c r="D841" s="947" t="s">
        <v>17</v>
      </c>
      <c r="E841" s="949">
        <v>6660</v>
      </c>
      <c r="F841" s="950">
        <v>1</v>
      </c>
      <c r="G841" s="951">
        <v>2.2000000000000002</v>
      </c>
      <c r="H841" s="951">
        <v>2.35</v>
      </c>
      <c r="I841" s="18"/>
    </row>
    <row r="842" spans="1:9">
      <c r="A842" s="943">
        <v>3</v>
      </c>
      <c r="B842" s="944">
        <v>868.12</v>
      </c>
      <c r="C842" s="944" t="s">
        <v>615</v>
      </c>
      <c r="D842" s="943" t="s">
        <v>17</v>
      </c>
      <c r="E842" s="952">
        <v>2600</v>
      </c>
      <c r="F842" s="945">
        <v>1</v>
      </c>
      <c r="G842" s="946">
        <v>6.7</v>
      </c>
      <c r="H842" s="946">
        <v>7.84</v>
      </c>
    </row>
    <row r="843" spans="1:9" s="26" customFormat="1">
      <c r="A843" s="947">
        <v>3</v>
      </c>
      <c r="B843" s="948">
        <v>869.06</v>
      </c>
      <c r="C843" s="948" t="s">
        <v>3318</v>
      </c>
      <c r="D843" s="947" t="s">
        <v>17</v>
      </c>
      <c r="E843" s="949">
        <v>6700</v>
      </c>
      <c r="F843" s="950">
        <v>1</v>
      </c>
      <c r="G843" s="951">
        <v>2.2000000000000002</v>
      </c>
      <c r="H843" s="951">
        <v>2.35</v>
      </c>
      <c r="I843" s="18"/>
    </row>
    <row r="844" spans="1:9">
      <c r="A844" s="943">
        <v>3</v>
      </c>
      <c r="B844" s="944">
        <v>869.12</v>
      </c>
      <c r="C844" s="944" t="s">
        <v>616</v>
      </c>
      <c r="D844" s="943" t="s">
        <v>17</v>
      </c>
      <c r="E844" s="945">
        <v>280</v>
      </c>
      <c r="F844" s="945">
        <v>1</v>
      </c>
      <c r="G844" s="946">
        <v>6.7</v>
      </c>
      <c r="H844" s="946">
        <v>7.3</v>
      </c>
    </row>
    <row r="845" spans="1:9" s="26" customFormat="1">
      <c r="A845" s="947">
        <v>3</v>
      </c>
      <c r="B845" s="948">
        <v>874</v>
      </c>
      <c r="C845" s="948" t="s">
        <v>23</v>
      </c>
      <c r="D845" s="947" t="s">
        <v>2</v>
      </c>
      <c r="E845" s="950">
        <v>662</v>
      </c>
      <c r="F845" s="950">
        <v>5</v>
      </c>
      <c r="G845" s="951">
        <v>110</v>
      </c>
      <c r="H845" s="951">
        <v>118.84</v>
      </c>
      <c r="I845" s="18"/>
    </row>
    <row r="846" spans="1:9">
      <c r="A846" s="943">
        <v>3</v>
      </c>
      <c r="B846" s="944">
        <v>874.2</v>
      </c>
      <c r="C846" s="944" t="s">
        <v>618</v>
      </c>
      <c r="D846" s="943" t="s">
        <v>2</v>
      </c>
      <c r="E846" s="945">
        <v>218</v>
      </c>
      <c r="F846" s="945">
        <v>5</v>
      </c>
      <c r="G846" s="946">
        <v>200</v>
      </c>
      <c r="H846" s="946">
        <v>201.92</v>
      </c>
    </row>
    <row r="847" spans="1:9" s="26" customFormat="1">
      <c r="A847" s="947">
        <v>3</v>
      </c>
      <c r="B847" s="948">
        <v>874.4</v>
      </c>
      <c r="C847" s="948" t="s">
        <v>620</v>
      </c>
      <c r="D847" s="947" t="s">
        <v>2</v>
      </c>
      <c r="E847" s="949">
        <v>1008</v>
      </c>
      <c r="F847" s="950">
        <v>4</v>
      </c>
      <c r="G847" s="951">
        <v>45</v>
      </c>
      <c r="H847" s="951">
        <v>47.56</v>
      </c>
      <c r="I847" s="18"/>
    </row>
    <row r="848" spans="1:9">
      <c r="A848" s="943">
        <v>3</v>
      </c>
      <c r="B848" s="944">
        <v>877</v>
      </c>
      <c r="C848" s="944" t="s">
        <v>621</v>
      </c>
      <c r="D848" s="943" t="s">
        <v>2</v>
      </c>
      <c r="E848" s="945">
        <v>16</v>
      </c>
      <c r="F848" s="945">
        <v>1</v>
      </c>
      <c r="G848" s="946">
        <v>225</v>
      </c>
      <c r="H848" s="946">
        <v>222.5</v>
      </c>
    </row>
    <row r="849" spans="1:9" s="26" customFormat="1">
      <c r="A849" s="947">
        <v>3</v>
      </c>
      <c r="B849" s="948">
        <v>877.1</v>
      </c>
      <c r="C849" s="948" t="s">
        <v>622</v>
      </c>
      <c r="D849" s="947" t="s">
        <v>2</v>
      </c>
      <c r="E849" s="950">
        <v>76</v>
      </c>
      <c r="F849" s="950">
        <v>2</v>
      </c>
      <c r="G849" s="951">
        <v>25</v>
      </c>
      <c r="H849" s="951">
        <v>28.2</v>
      </c>
      <c r="I849" s="18"/>
    </row>
    <row r="850" spans="1:9">
      <c r="A850" s="943">
        <v>3</v>
      </c>
      <c r="B850" s="944">
        <v>901</v>
      </c>
      <c r="C850" s="944" t="s">
        <v>624</v>
      </c>
      <c r="D850" s="943" t="s">
        <v>4</v>
      </c>
      <c r="E850" s="945">
        <v>124</v>
      </c>
      <c r="F850" s="945">
        <v>3</v>
      </c>
      <c r="G850" s="946">
        <v>2600</v>
      </c>
      <c r="H850" s="946">
        <v>2457.35</v>
      </c>
    </row>
    <row r="851" spans="1:9" s="26" customFormat="1">
      <c r="A851" s="947">
        <v>3</v>
      </c>
      <c r="B851" s="948">
        <v>901.3</v>
      </c>
      <c r="C851" s="948" t="s">
        <v>625</v>
      </c>
      <c r="D851" s="947" t="s">
        <v>4</v>
      </c>
      <c r="E851" s="950">
        <v>60</v>
      </c>
      <c r="F851" s="950">
        <v>1</v>
      </c>
      <c r="G851" s="951">
        <v>285</v>
      </c>
      <c r="H851" s="951">
        <v>295</v>
      </c>
      <c r="I851" s="18"/>
    </row>
    <row r="852" spans="1:9">
      <c r="A852" s="943">
        <v>3</v>
      </c>
      <c r="B852" s="944">
        <v>903</v>
      </c>
      <c r="C852" s="944" t="s">
        <v>626</v>
      </c>
      <c r="D852" s="943" t="s">
        <v>4</v>
      </c>
      <c r="E852" s="945">
        <v>42</v>
      </c>
      <c r="F852" s="945">
        <v>2</v>
      </c>
      <c r="G852" s="946">
        <v>550</v>
      </c>
      <c r="H852" s="946">
        <v>497.5</v>
      </c>
    </row>
    <row r="853" spans="1:9" s="26" customFormat="1">
      <c r="A853" s="947">
        <v>3</v>
      </c>
      <c r="B853" s="948">
        <v>904</v>
      </c>
      <c r="C853" s="948" t="s">
        <v>627</v>
      </c>
      <c r="D853" s="947" t="s">
        <v>4</v>
      </c>
      <c r="E853" s="950">
        <v>110</v>
      </c>
      <c r="F853" s="950">
        <v>1</v>
      </c>
      <c r="G853" s="951">
        <v>1700</v>
      </c>
      <c r="H853" s="951">
        <v>1627.27</v>
      </c>
      <c r="I853" s="18"/>
    </row>
    <row r="854" spans="1:9">
      <c r="A854" s="943">
        <v>3</v>
      </c>
      <c r="B854" s="944">
        <v>904.1</v>
      </c>
      <c r="C854" s="944" t="s">
        <v>3333</v>
      </c>
      <c r="D854" s="943" t="s">
        <v>4</v>
      </c>
      <c r="E854" s="945">
        <v>24</v>
      </c>
      <c r="F854" s="945">
        <v>1</v>
      </c>
      <c r="G854" s="946">
        <v>9000</v>
      </c>
      <c r="H854" s="946">
        <v>8530</v>
      </c>
    </row>
    <row r="855" spans="1:9" s="26" customFormat="1">
      <c r="A855" s="947">
        <v>3</v>
      </c>
      <c r="B855" s="948">
        <v>904.4</v>
      </c>
      <c r="C855" s="948" t="s">
        <v>629</v>
      </c>
      <c r="D855" s="947" t="s">
        <v>4</v>
      </c>
      <c r="E855" s="950">
        <v>400</v>
      </c>
      <c r="F855" s="950">
        <v>1</v>
      </c>
      <c r="G855" s="951">
        <v>1800</v>
      </c>
      <c r="H855" s="951">
        <v>1828.13</v>
      </c>
      <c r="I855" s="18"/>
    </row>
    <row r="856" spans="1:9">
      <c r="A856" s="943">
        <v>3</v>
      </c>
      <c r="B856" s="944">
        <v>905</v>
      </c>
      <c r="C856" s="944" t="s">
        <v>630</v>
      </c>
      <c r="D856" s="943" t="s">
        <v>4</v>
      </c>
      <c r="E856" s="952">
        <v>2379</v>
      </c>
      <c r="F856" s="945">
        <v>8</v>
      </c>
      <c r="G856" s="946">
        <v>4092.5</v>
      </c>
      <c r="H856" s="946">
        <v>3789.77</v>
      </c>
    </row>
    <row r="857" spans="1:9" s="26" customFormat="1">
      <c r="A857" s="947">
        <v>3</v>
      </c>
      <c r="B857" s="948">
        <v>908</v>
      </c>
      <c r="C857" s="948" t="s">
        <v>633</v>
      </c>
      <c r="D857" s="947" t="s">
        <v>634</v>
      </c>
      <c r="E857" s="950">
        <v>320</v>
      </c>
      <c r="F857" s="950">
        <v>1</v>
      </c>
      <c r="G857" s="951">
        <v>152.5</v>
      </c>
      <c r="H857" s="951">
        <v>152.5</v>
      </c>
      <c r="I857" s="18"/>
    </row>
    <row r="858" spans="1:9">
      <c r="A858" s="943">
        <v>3</v>
      </c>
      <c r="B858" s="944">
        <v>909.2</v>
      </c>
      <c r="C858" s="944" t="s">
        <v>635</v>
      </c>
      <c r="D858" s="943" t="s">
        <v>3</v>
      </c>
      <c r="E858" s="952">
        <v>1100</v>
      </c>
      <c r="F858" s="945">
        <v>7</v>
      </c>
      <c r="G858" s="946">
        <v>125</v>
      </c>
      <c r="H858" s="946">
        <v>126.06</v>
      </c>
    </row>
    <row r="859" spans="1:9" s="26" customFormat="1">
      <c r="A859" s="947">
        <v>3</v>
      </c>
      <c r="B859" s="948">
        <v>910</v>
      </c>
      <c r="C859" s="948" t="s">
        <v>636</v>
      </c>
      <c r="D859" s="947" t="s">
        <v>100</v>
      </c>
      <c r="E859" s="949">
        <v>1500</v>
      </c>
      <c r="F859" s="950">
        <v>2</v>
      </c>
      <c r="G859" s="951">
        <v>10</v>
      </c>
      <c r="H859" s="951">
        <v>9.3800000000000008</v>
      </c>
      <c r="I859" s="18"/>
    </row>
    <row r="860" spans="1:9">
      <c r="A860" s="943">
        <v>3</v>
      </c>
      <c r="B860" s="944">
        <v>910.1</v>
      </c>
      <c r="C860" s="944" t="s">
        <v>637</v>
      </c>
      <c r="D860" s="943" t="s">
        <v>100</v>
      </c>
      <c r="E860" s="952">
        <v>229700</v>
      </c>
      <c r="F860" s="945">
        <v>10</v>
      </c>
      <c r="G860" s="946">
        <v>3.3</v>
      </c>
      <c r="H860" s="946">
        <v>2.96</v>
      </c>
    </row>
    <row r="861" spans="1:9" s="26" customFormat="1">
      <c r="A861" s="947">
        <v>3</v>
      </c>
      <c r="B861" s="948">
        <v>912</v>
      </c>
      <c r="C861" s="948" t="s">
        <v>641</v>
      </c>
      <c r="D861" s="947" t="s">
        <v>2</v>
      </c>
      <c r="E861" s="949">
        <v>1206</v>
      </c>
      <c r="F861" s="950">
        <v>5</v>
      </c>
      <c r="G861" s="951">
        <v>70</v>
      </c>
      <c r="H861" s="951">
        <v>70.400000000000006</v>
      </c>
      <c r="I861" s="18"/>
    </row>
    <row r="862" spans="1:9">
      <c r="A862" s="943">
        <v>3</v>
      </c>
      <c r="B862" s="944">
        <v>950.1</v>
      </c>
      <c r="C862" s="944" t="s">
        <v>656</v>
      </c>
      <c r="D862" s="943" t="s">
        <v>22</v>
      </c>
      <c r="E862" s="945">
        <v>4</v>
      </c>
      <c r="F862" s="945">
        <v>1</v>
      </c>
      <c r="G862" s="946">
        <v>75000</v>
      </c>
      <c r="H862" s="946">
        <v>72125</v>
      </c>
    </row>
    <row r="863" spans="1:9" s="26" customFormat="1">
      <c r="A863" s="947">
        <v>3</v>
      </c>
      <c r="B863" s="948">
        <v>961.20100000000002</v>
      </c>
      <c r="C863" s="948" t="s">
        <v>660</v>
      </c>
      <c r="D863" s="947" t="s">
        <v>22</v>
      </c>
      <c r="E863" s="950">
        <v>13</v>
      </c>
      <c r="F863" s="950">
        <v>4</v>
      </c>
      <c r="G863" s="951">
        <v>907500</v>
      </c>
      <c r="H863" s="951">
        <v>881002.77</v>
      </c>
      <c r="I863" s="18"/>
    </row>
    <row r="864" spans="1:9">
      <c r="A864" s="943">
        <v>3</v>
      </c>
      <c r="B864" s="944">
        <v>961.202</v>
      </c>
      <c r="C864" s="944" t="s">
        <v>660</v>
      </c>
      <c r="D864" s="943" t="s">
        <v>22</v>
      </c>
      <c r="E864" s="945">
        <v>14</v>
      </c>
      <c r="F864" s="945">
        <v>4</v>
      </c>
      <c r="G864" s="946">
        <v>600000</v>
      </c>
      <c r="H864" s="946">
        <v>569137.14</v>
      </c>
    </row>
    <row r="865" spans="1:9" s="26" customFormat="1">
      <c r="A865" s="947">
        <v>3</v>
      </c>
      <c r="B865" s="948">
        <v>961.20299999999997</v>
      </c>
      <c r="C865" s="948" t="s">
        <v>661</v>
      </c>
      <c r="D865" s="947" t="s">
        <v>22</v>
      </c>
      <c r="E865" s="950">
        <v>14</v>
      </c>
      <c r="F865" s="950">
        <v>4</v>
      </c>
      <c r="G865" s="951">
        <v>340000</v>
      </c>
      <c r="H865" s="951">
        <v>341391.07</v>
      </c>
      <c r="I865" s="18"/>
    </row>
    <row r="866" spans="1:9">
      <c r="A866" s="943">
        <v>3</v>
      </c>
      <c r="B866" s="944">
        <v>961.20399999999995</v>
      </c>
      <c r="C866" s="944" t="s">
        <v>660</v>
      </c>
      <c r="D866" s="943" t="s">
        <v>22</v>
      </c>
      <c r="E866" s="945">
        <v>14</v>
      </c>
      <c r="F866" s="945">
        <v>4</v>
      </c>
      <c r="G866" s="946">
        <v>430000</v>
      </c>
      <c r="H866" s="946">
        <v>391017.86</v>
      </c>
    </row>
    <row r="867" spans="1:9" s="26" customFormat="1">
      <c r="A867" s="947">
        <v>3</v>
      </c>
      <c r="B867" s="948">
        <v>961.20500000000004</v>
      </c>
      <c r="C867" s="948" t="s">
        <v>662</v>
      </c>
      <c r="D867" s="947" t="s">
        <v>22</v>
      </c>
      <c r="E867" s="950">
        <v>5</v>
      </c>
      <c r="F867" s="950">
        <v>1</v>
      </c>
      <c r="G867" s="951">
        <v>600000</v>
      </c>
      <c r="H867" s="951">
        <v>647272.4</v>
      </c>
      <c r="I867" s="18"/>
    </row>
    <row r="868" spans="1:9">
      <c r="A868" s="943">
        <v>3</v>
      </c>
      <c r="B868" s="944">
        <v>966</v>
      </c>
      <c r="C868" s="944" t="s">
        <v>1466</v>
      </c>
      <c r="D868" s="943" t="s">
        <v>3</v>
      </c>
      <c r="E868" s="952">
        <v>271500</v>
      </c>
      <c r="F868" s="945">
        <v>7</v>
      </c>
      <c r="G868" s="946">
        <v>4.25</v>
      </c>
      <c r="H868" s="946">
        <v>4.29</v>
      </c>
    </row>
    <row r="869" spans="1:9" s="26" customFormat="1">
      <c r="A869" s="947">
        <v>3</v>
      </c>
      <c r="B869" s="948">
        <v>970</v>
      </c>
      <c r="C869" s="948" t="s">
        <v>3585</v>
      </c>
      <c r="D869" s="947" t="s">
        <v>3</v>
      </c>
      <c r="E869" s="949">
        <v>2800</v>
      </c>
      <c r="F869" s="950">
        <v>1</v>
      </c>
      <c r="G869" s="951">
        <v>10</v>
      </c>
      <c r="H869" s="951">
        <v>9.1300000000000008</v>
      </c>
      <c r="I869" s="18"/>
    </row>
    <row r="870" spans="1:9">
      <c r="A870" s="943">
        <v>3</v>
      </c>
      <c r="B870" s="944">
        <v>983</v>
      </c>
      <c r="C870" s="944" t="s">
        <v>671</v>
      </c>
      <c r="D870" s="943" t="s">
        <v>7</v>
      </c>
      <c r="E870" s="952">
        <v>1760</v>
      </c>
      <c r="F870" s="945">
        <v>3</v>
      </c>
      <c r="G870" s="946">
        <v>100</v>
      </c>
      <c r="H870" s="946">
        <v>98.86</v>
      </c>
    </row>
    <row r="871" spans="1:9" s="26" customFormat="1">
      <c r="A871" s="947">
        <v>3</v>
      </c>
      <c r="B871" s="948">
        <v>983.1</v>
      </c>
      <c r="C871" s="948" t="s">
        <v>672</v>
      </c>
      <c r="D871" s="947" t="s">
        <v>7</v>
      </c>
      <c r="E871" s="950">
        <v>300</v>
      </c>
      <c r="F871" s="950">
        <v>1</v>
      </c>
      <c r="G871" s="951">
        <v>77.5</v>
      </c>
      <c r="H871" s="951">
        <v>77.5</v>
      </c>
      <c r="I871" s="18"/>
    </row>
    <row r="872" spans="1:9">
      <c r="A872" s="943">
        <v>3</v>
      </c>
      <c r="B872" s="944">
        <v>986</v>
      </c>
      <c r="C872" s="944" t="s">
        <v>675</v>
      </c>
      <c r="D872" s="943" t="s">
        <v>7</v>
      </c>
      <c r="E872" s="952">
        <v>2870</v>
      </c>
      <c r="F872" s="945">
        <v>2</v>
      </c>
      <c r="G872" s="946">
        <v>100</v>
      </c>
      <c r="H872" s="946">
        <v>99</v>
      </c>
    </row>
    <row r="873" spans="1:9" s="26" customFormat="1">
      <c r="A873" s="947">
        <v>3</v>
      </c>
      <c r="B873" s="948">
        <v>986.1</v>
      </c>
      <c r="C873" s="948" t="s">
        <v>675</v>
      </c>
      <c r="D873" s="947" t="s">
        <v>1</v>
      </c>
      <c r="E873" s="950">
        <v>775</v>
      </c>
      <c r="F873" s="950">
        <v>1</v>
      </c>
      <c r="G873" s="951">
        <v>120</v>
      </c>
      <c r="H873" s="951">
        <v>109</v>
      </c>
      <c r="I873" s="18"/>
    </row>
    <row r="874" spans="1:9">
      <c r="A874" s="943">
        <v>3</v>
      </c>
      <c r="B874" s="944">
        <v>987</v>
      </c>
      <c r="C874" s="944" t="s">
        <v>1433</v>
      </c>
      <c r="D874" s="943" t="s">
        <v>1</v>
      </c>
      <c r="E874" s="952">
        <v>5830</v>
      </c>
      <c r="F874" s="945">
        <v>6</v>
      </c>
      <c r="G874" s="946">
        <v>155</v>
      </c>
      <c r="H874" s="946">
        <v>180.7</v>
      </c>
    </row>
    <row r="875" spans="1:9" s="26" customFormat="1">
      <c r="A875" s="947">
        <v>3</v>
      </c>
      <c r="B875" s="948">
        <v>987.02</v>
      </c>
      <c r="C875" s="948" t="s">
        <v>676</v>
      </c>
      <c r="D875" s="947" t="s">
        <v>1</v>
      </c>
      <c r="E875" s="949">
        <v>3420</v>
      </c>
      <c r="F875" s="950">
        <v>4</v>
      </c>
      <c r="G875" s="951">
        <v>211.25</v>
      </c>
      <c r="H875" s="951">
        <v>215.63</v>
      </c>
      <c r="I875" s="18"/>
    </row>
    <row r="876" spans="1:9">
      <c r="A876" s="943">
        <v>3</v>
      </c>
      <c r="B876" s="944">
        <v>991.1</v>
      </c>
      <c r="C876" s="944" t="s">
        <v>678</v>
      </c>
      <c r="D876" s="943" t="s">
        <v>22</v>
      </c>
      <c r="E876" s="945">
        <v>15</v>
      </c>
      <c r="F876" s="945">
        <v>3</v>
      </c>
      <c r="G876" s="946">
        <v>256000</v>
      </c>
      <c r="H876" s="946">
        <v>241466.67</v>
      </c>
    </row>
    <row r="877" spans="1:9" s="26" customFormat="1">
      <c r="A877" s="947">
        <v>3</v>
      </c>
      <c r="B877" s="948">
        <v>992.1</v>
      </c>
      <c r="C877" s="948" t="s">
        <v>679</v>
      </c>
      <c r="D877" s="947" t="s">
        <v>22</v>
      </c>
      <c r="E877" s="950">
        <v>4</v>
      </c>
      <c r="F877" s="950">
        <v>1</v>
      </c>
      <c r="G877" s="951">
        <v>642245</v>
      </c>
      <c r="H877" s="951">
        <v>649620</v>
      </c>
      <c r="I877" s="18"/>
    </row>
    <row r="878" spans="1:9">
      <c r="A878" s="943">
        <v>3</v>
      </c>
      <c r="B878" s="944">
        <v>993.1</v>
      </c>
      <c r="C878" s="944" t="s">
        <v>681</v>
      </c>
      <c r="D878" s="943" t="s">
        <v>22</v>
      </c>
      <c r="E878" s="945">
        <v>7</v>
      </c>
      <c r="F878" s="945">
        <v>1</v>
      </c>
      <c r="G878" s="946">
        <v>819440</v>
      </c>
      <c r="H878" s="946">
        <v>822697.14</v>
      </c>
    </row>
    <row r="879" spans="1:9" s="26" customFormat="1">
      <c r="A879" s="947">
        <v>3</v>
      </c>
      <c r="B879" s="948">
        <v>994.01</v>
      </c>
      <c r="C879" s="948" t="s">
        <v>682</v>
      </c>
      <c r="D879" s="947" t="s">
        <v>22</v>
      </c>
      <c r="E879" s="950">
        <v>6</v>
      </c>
      <c r="F879" s="950">
        <v>2</v>
      </c>
      <c r="G879" s="951">
        <v>40000</v>
      </c>
      <c r="H879" s="951">
        <v>33333.33</v>
      </c>
      <c r="I879" s="18"/>
    </row>
    <row r="880" spans="1:9">
      <c r="A880" s="943">
        <v>3</v>
      </c>
      <c r="B880" s="944">
        <v>994.1</v>
      </c>
      <c r="C880" s="944" t="s">
        <v>683</v>
      </c>
      <c r="D880" s="943" t="s">
        <v>3</v>
      </c>
      <c r="E880" s="952">
        <v>33000</v>
      </c>
      <c r="F880" s="945">
        <v>7</v>
      </c>
      <c r="G880" s="946">
        <v>11.75</v>
      </c>
      <c r="H880" s="946">
        <v>10.37</v>
      </c>
    </row>
    <row r="881" spans="1:9" s="26" customFormat="1">
      <c r="A881" s="947">
        <v>3</v>
      </c>
      <c r="B881" s="948">
        <v>994.2</v>
      </c>
      <c r="C881" s="948" t="s">
        <v>3616</v>
      </c>
      <c r="D881" s="947" t="s">
        <v>3</v>
      </c>
      <c r="E881" s="949">
        <v>25200</v>
      </c>
      <c r="F881" s="950">
        <v>2</v>
      </c>
      <c r="G881" s="951">
        <v>12</v>
      </c>
      <c r="H881" s="951">
        <v>11.72</v>
      </c>
      <c r="I881" s="18"/>
    </row>
    <row r="882" spans="1:9">
      <c r="A882" s="943">
        <v>3</v>
      </c>
      <c r="B882" s="944">
        <v>995.01</v>
      </c>
      <c r="C882" s="944" t="s">
        <v>685</v>
      </c>
      <c r="D882" s="943" t="s">
        <v>22</v>
      </c>
      <c r="E882" s="945">
        <v>14</v>
      </c>
      <c r="F882" s="945">
        <v>2</v>
      </c>
      <c r="G882" s="946">
        <v>1219500</v>
      </c>
      <c r="H882" s="946">
        <v>1305517.68</v>
      </c>
    </row>
    <row r="883" spans="1:9" s="26" customFormat="1">
      <c r="A883" s="947">
        <v>3</v>
      </c>
      <c r="B883" s="948">
        <v>995.01099999999997</v>
      </c>
      <c r="C883" s="948" t="s">
        <v>686</v>
      </c>
      <c r="D883" s="947" t="s">
        <v>22</v>
      </c>
      <c r="E883" s="950">
        <v>8</v>
      </c>
      <c r="F883" s="950">
        <v>1</v>
      </c>
      <c r="G883" s="951">
        <v>380000</v>
      </c>
      <c r="H883" s="951">
        <v>373875</v>
      </c>
      <c r="I883" s="18"/>
    </row>
    <row r="884" spans="1:9">
      <c r="A884" s="943">
        <v>3</v>
      </c>
      <c r="B884" s="944">
        <v>995.02099999999996</v>
      </c>
      <c r="C884" s="944" t="s">
        <v>4068</v>
      </c>
      <c r="D884" s="943" t="s">
        <v>22</v>
      </c>
      <c r="E884" s="945">
        <v>8</v>
      </c>
      <c r="F884" s="945">
        <v>1</v>
      </c>
      <c r="G884" s="946">
        <v>495000</v>
      </c>
      <c r="H884" s="946">
        <v>491250</v>
      </c>
    </row>
    <row r="885" spans="1:9" s="26" customFormat="1">
      <c r="A885" s="947">
        <v>4</v>
      </c>
      <c r="B885" s="948">
        <v>100</v>
      </c>
      <c r="C885" s="948" t="s">
        <v>51</v>
      </c>
      <c r="D885" s="947" t="s">
        <v>22</v>
      </c>
      <c r="E885" s="950">
        <v>49</v>
      </c>
      <c r="F885" s="950">
        <v>12</v>
      </c>
      <c r="G885" s="951">
        <v>77500</v>
      </c>
      <c r="H885" s="951">
        <v>74744.899999999994</v>
      </c>
      <c r="I885" s="18"/>
    </row>
    <row r="886" spans="1:9">
      <c r="A886" s="943">
        <v>4</v>
      </c>
      <c r="B886" s="944">
        <v>100.002</v>
      </c>
      <c r="C886" s="944" t="s">
        <v>83</v>
      </c>
      <c r="D886" s="943" t="s">
        <v>24</v>
      </c>
      <c r="E886" s="945">
        <v>360</v>
      </c>
      <c r="F886" s="945">
        <v>1</v>
      </c>
      <c r="G886" s="946">
        <v>122</v>
      </c>
      <c r="H886" s="946">
        <v>122.33</v>
      </c>
    </row>
    <row r="887" spans="1:9" s="26" customFormat="1">
      <c r="A887" s="947">
        <v>4</v>
      </c>
      <c r="B887" s="948">
        <v>100.004</v>
      </c>
      <c r="C887" s="948" t="s">
        <v>1938</v>
      </c>
      <c r="D887" s="947" t="s">
        <v>24</v>
      </c>
      <c r="E887" s="950">
        <v>300</v>
      </c>
      <c r="F887" s="950">
        <v>1</v>
      </c>
      <c r="G887" s="951">
        <v>185</v>
      </c>
      <c r="H887" s="951">
        <v>182.87</v>
      </c>
      <c r="I887" s="18"/>
    </row>
    <row r="888" spans="1:9">
      <c r="A888" s="943">
        <v>4</v>
      </c>
      <c r="B888" s="944">
        <v>100.1</v>
      </c>
      <c r="C888" s="944" t="s">
        <v>85</v>
      </c>
      <c r="D888" s="943" t="s">
        <v>24</v>
      </c>
      <c r="E888" s="952">
        <v>104400</v>
      </c>
      <c r="F888" s="945">
        <v>6</v>
      </c>
      <c r="G888" s="946">
        <v>135</v>
      </c>
      <c r="H888" s="946">
        <v>132.34</v>
      </c>
    </row>
    <row r="889" spans="1:9" s="26" customFormat="1">
      <c r="A889" s="947">
        <v>4</v>
      </c>
      <c r="B889" s="948">
        <v>100.5</v>
      </c>
      <c r="C889" s="948" t="s">
        <v>1272</v>
      </c>
      <c r="D889" s="947" t="s">
        <v>22</v>
      </c>
      <c r="E889" s="950">
        <v>2</v>
      </c>
      <c r="F889" s="950">
        <v>1</v>
      </c>
      <c r="G889" s="951">
        <v>893586</v>
      </c>
      <c r="H889" s="951">
        <v>893586</v>
      </c>
      <c r="I889" s="18"/>
    </row>
    <row r="890" spans="1:9">
      <c r="A890" s="943">
        <v>4</v>
      </c>
      <c r="B890" s="944">
        <v>100.6</v>
      </c>
      <c r="C890" s="944" t="s">
        <v>1944</v>
      </c>
      <c r="D890" s="943" t="s">
        <v>22</v>
      </c>
      <c r="E890" s="945">
        <v>2</v>
      </c>
      <c r="F890" s="945">
        <v>1</v>
      </c>
      <c r="G890" s="946">
        <v>387000</v>
      </c>
      <c r="H890" s="946">
        <v>387000</v>
      </c>
    </row>
    <row r="891" spans="1:9" s="26" customFormat="1">
      <c r="A891" s="947">
        <v>4</v>
      </c>
      <c r="B891" s="948">
        <v>100.61</v>
      </c>
      <c r="C891" s="948" t="s">
        <v>86</v>
      </c>
      <c r="D891" s="947" t="s">
        <v>22</v>
      </c>
      <c r="E891" s="950">
        <v>2</v>
      </c>
      <c r="F891" s="950">
        <v>1</v>
      </c>
      <c r="G891" s="951">
        <v>500000</v>
      </c>
      <c r="H891" s="951">
        <v>500000</v>
      </c>
      <c r="I891" s="18"/>
    </row>
    <row r="892" spans="1:9">
      <c r="A892" s="943">
        <v>4</v>
      </c>
      <c r="B892" s="944">
        <v>100.71</v>
      </c>
      <c r="C892" s="944" t="s">
        <v>88</v>
      </c>
      <c r="D892" s="943" t="s">
        <v>22</v>
      </c>
      <c r="E892" s="945">
        <v>2</v>
      </c>
      <c r="F892" s="945">
        <v>1</v>
      </c>
      <c r="G892" s="946">
        <v>261000</v>
      </c>
      <c r="H892" s="946">
        <v>261000</v>
      </c>
    </row>
    <row r="893" spans="1:9" s="26" customFormat="1">
      <c r="A893" s="947">
        <v>4</v>
      </c>
      <c r="B893" s="948">
        <v>100.78</v>
      </c>
      <c r="C893" s="948" t="s">
        <v>90</v>
      </c>
      <c r="D893" s="947" t="s">
        <v>22</v>
      </c>
      <c r="E893" s="950">
        <v>2</v>
      </c>
      <c r="F893" s="950">
        <v>1</v>
      </c>
      <c r="G893" s="951">
        <v>246300</v>
      </c>
      <c r="H893" s="951">
        <v>246300</v>
      </c>
      <c r="I893" s="18"/>
    </row>
    <row r="894" spans="1:9">
      <c r="A894" s="943">
        <v>4</v>
      </c>
      <c r="B894" s="944">
        <v>101</v>
      </c>
      <c r="C894" s="944" t="s">
        <v>54</v>
      </c>
      <c r="D894" s="943" t="s">
        <v>55</v>
      </c>
      <c r="E894" s="945">
        <v>16.600000000000001</v>
      </c>
      <c r="F894" s="945">
        <v>5</v>
      </c>
      <c r="G894" s="946">
        <v>60000</v>
      </c>
      <c r="H894" s="946">
        <v>64968.18</v>
      </c>
    </row>
    <row r="895" spans="1:9" s="26" customFormat="1">
      <c r="A895" s="947">
        <v>4</v>
      </c>
      <c r="B895" s="948">
        <v>101.1</v>
      </c>
      <c r="C895" s="948" t="s">
        <v>1273</v>
      </c>
      <c r="D895" s="947" t="s">
        <v>55</v>
      </c>
      <c r="E895" s="950">
        <v>164</v>
      </c>
      <c r="F895" s="950">
        <v>2</v>
      </c>
      <c r="G895" s="951">
        <v>9000</v>
      </c>
      <c r="H895" s="951">
        <v>8900</v>
      </c>
      <c r="I895" s="18"/>
    </row>
    <row r="896" spans="1:9">
      <c r="A896" s="943">
        <v>4</v>
      </c>
      <c r="B896" s="944">
        <v>102</v>
      </c>
      <c r="C896" s="944" t="s">
        <v>92</v>
      </c>
      <c r="D896" s="943" t="s">
        <v>55</v>
      </c>
      <c r="E896" s="945">
        <v>7</v>
      </c>
      <c r="F896" s="945">
        <v>1</v>
      </c>
      <c r="G896" s="946">
        <v>37500</v>
      </c>
      <c r="H896" s="946">
        <v>35508</v>
      </c>
    </row>
    <row r="897" spans="1:9" s="26" customFormat="1">
      <c r="A897" s="947">
        <v>4</v>
      </c>
      <c r="B897" s="948">
        <v>102.1</v>
      </c>
      <c r="C897" s="948" t="s">
        <v>93</v>
      </c>
      <c r="D897" s="947" t="s">
        <v>17</v>
      </c>
      <c r="E897" s="949">
        <v>75925</v>
      </c>
      <c r="F897" s="950">
        <v>10</v>
      </c>
      <c r="G897" s="951">
        <v>22</v>
      </c>
      <c r="H897" s="951">
        <v>19.84</v>
      </c>
      <c r="I897" s="18"/>
    </row>
    <row r="898" spans="1:9">
      <c r="A898" s="943">
        <v>4</v>
      </c>
      <c r="B898" s="944">
        <v>102.12</v>
      </c>
      <c r="C898" s="944" t="s">
        <v>93</v>
      </c>
      <c r="D898" s="943" t="s">
        <v>2</v>
      </c>
      <c r="E898" s="945">
        <v>10</v>
      </c>
      <c r="F898" s="945">
        <v>1</v>
      </c>
      <c r="G898" s="946">
        <v>850</v>
      </c>
      <c r="H898" s="946">
        <v>925</v>
      </c>
    </row>
    <row r="899" spans="1:9" s="26" customFormat="1">
      <c r="A899" s="947">
        <v>4</v>
      </c>
      <c r="B899" s="948">
        <v>102.3</v>
      </c>
      <c r="C899" s="948" t="s">
        <v>3995</v>
      </c>
      <c r="D899" s="947" t="s">
        <v>24</v>
      </c>
      <c r="E899" s="950">
        <v>192</v>
      </c>
      <c r="F899" s="950">
        <v>5</v>
      </c>
      <c r="G899" s="951">
        <v>782.5</v>
      </c>
      <c r="H899" s="951">
        <v>733.18</v>
      </c>
      <c r="I899" s="18"/>
    </row>
    <row r="900" spans="1:9">
      <c r="A900" s="943">
        <v>4</v>
      </c>
      <c r="B900" s="944">
        <v>102.33</v>
      </c>
      <c r="C900" s="944" t="s">
        <v>1275</v>
      </c>
      <c r="D900" s="943" t="s">
        <v>24</v>
      </c>
      <c r="E900" s="945">
        <v>218</v>
      </c>
      <c r="F900" s="945">
        <v>5</v>
      </c>
      <c r="G900" s="946">
        <v>300</v>
      </c>
      <c r="H900" s="946">
        <v>280</v>
      </c>
    </row>
    <row r="901" spans="1:9" s="26" customFormat="1">
      <c r="A901" s="947">
        <v>4</v>
      </c>
      <c r="B901" s="948">
        <v>102.511</v>
      </c>
      <c r="C901" s="948" t="s">
        <v>4029</v>
      </c>
      <c r="D901" s="947" t="s">
        <v>2</v>
      </c>
      <c r="E901" s="950">
        <v>681</v>
      </c>
      <c r="F901" s="950">
        <v>7</v>
      </c>
      <c r="G901" s="951">
        <v>450</v>
      </c>
      <c r="H901" s="951">
        <v>440.9</v>
      </c>
      <c r="I901" s="18"/>
    </row>
    <row r="902" spans="1:9">
      <c r="A902" s="943">
        <v>4</v>
      </c>
      <c r="B902" s="944">
        <v>102.521</v>
      </c>
      <c r="C902" s="944" t="s">
        <v>1276</v>
      </c>
      <c r="D902" s="943" t="s">
        <v>17</v>
      </c>
      <c r="E902" s="952">
        <v>5145</v>
      </c>
      <c r="F902" s="945">
        <v>10</v>
      </c>
      <c r="G902" s="946">
        <v>15</v>
      </c>
      <c r="H902" s="946">
        <v>14.62</v>
      </c>
    </row>
    <row r="903" spans="1:9" s="26" customFormat="1">
      <c r="A903" s="947">
        <v>4</v>
      </c>
      <c r="B903" s="948">
        <v>102.52200000000001</v>
      </c>
      <c r="C903" s="948" t="s">
        <v>1952</v>
      </c>
      <c r="D903" s="947" t="s">
        <v>17</v>
      </c>
      <c r="E903" s="949">
        <v>1750</v>
      </c>
      <c r="F903" s="950">
        <v>1</v>
      </c>
      <c r="G903" s="951">
        <v>21.5</v>
      </c>
      <c r="H903" s="951">
        <v>21.4</v>
      </c>
      <c r="I903" s="18"/>
    </row>
    <row r="904" spans="1:9">
      <c r="A904" s="943">
        <v>4</v>
      </c>
      <c r="B904" s="944">
        <v>102.55</v>
      </c>
      <c r="C904" s="944" t="s">
        <v>1277</v>
      </c>
      <c r="D904" s="943" t="s">
        <v>24</v>
      </c>
      <c r="E904" s="945">
        <v>836</v>
      </c>
      <c r="F904" s="945">
        <v>5</v>
      </c>
      <c r="G904" s="946">
        <v>280</v>
      </c>
      <c r="H904" s="946">
        <v>276.05</v>
      </c>
    </row>
    <row r="905" spans="1:9" s="26" customFormat="1">
      <c r="A905" s="947">
        <v>4</v>
      </c>
      <c r="B905" s="948">
        <v>103</v>
      </c>
      <c r="C905" s="948" t="s">
        <v>35</v>
      </c>
      <c r="D905" s="947" t="s">
        <v>2</v>
      </c>
      <c r="E905" s="950">
        <v>122</v>
      </c>
      <c r="F905" s="950">
        <v>7</v>
      </c>
      <c r="G905" s="951">
        <v>2800</v>
      </c>
      <c r="H905" s="951">
        <v>2717.46</v>
      </c>
      <c r="I905" s="18"/>
    </row>
    <row r="906" spans="1:9">
      <c r="A906" s="943">
        <v>4</v>
      </c>
      <c r="B906" s="944">
        <v>104</v>
      </c>
      <c r="C906" s="944" t="s">
        <v>94</v>
      </c>
      <c r="D906" s="943" t="s">
        <v>2</v>
      </c>
      <c r="E906" s="945">
        <v>53</v>
      </c>
      <c r="F906" s="945">
        <v>5</v>
      </c>
      <c r="G906" s="946">
        <v>4250</v>
      </c>
      <c r="H906" s="946">
        <v>4127.38</v>
      </c>
    </row>
    <row r="907" spans="1:9" s="26" customFormat="1">
      <c r="A907" s="947">
        <v>4</v>
      </c>
      <c r="B907" s="948">
        <v>105</v>
      </c>
      <c r="C907" s="948" t="s">
        <v>95</v>
      </c>
      <c r="D907" s="947" t="s">
        <v>2</v>
      </c>
      <c r="E907" s="950">
        <v>53</v>
      </c>
      <c r="F907" s="950">
        <v>3</v>
      </c>
      <c r="G907" s="951">
        <v>700</v>
      </c>
      <c r="H907" s="951">
        <v>814</v>
      </c>
      <c r="I907" s="18"/>
    </row>
    <row r="908" spans="1:9">
      <c r="A908" s="943">
        <v>4</v>
      </c>
      <c r="B908" s="944">
        <v>106.101</v>
      </c>
      <c r="C908" s="944" t="s">
        <v>1955</v>
      </c>
      <c r="D908" s="943" t="s">
        <v>2</v>
      </c>
      <c r="E908" s="945">
        <v>20</v>
      </c>
      <c r="F908" s="945">
        <v>1</v>
      </c>
      <c r="G908" s="946">
        <v>5000</v>
      </c>
      <c r="H908" s="946">
        <v>4827.5</v>
      </c>
    </row>
    <row r="909" spans="1:9" s="26" customFormat="1">
      <c r="A909" s="947">
        <v>4</v>
      </c>
      <c r="B909" s="948">
        <v>106.12</v>
      </c>
      <c r="C909" s="948" t="s">
        <v>96</v>
      </c>
      <c r="D909" s="947" t="s">
        <v>17</v>
      </c>
      <c r="E909" s="950">
        <v>750</v>
      </c>
      <c r="F909" s="950">
        <v>2</v>
      </c>
      <c r="G909" s="951">
        <v>100</v>
      </c>
      <c r="H909" s="951">
        <v>104.67</v>
      </c>
      <c r="I909" s="18"/>
    </row>
    <row r="910" spans="1:9">
      <c r="A910" s="943">
        <v>4</v>
      </c>
      <c r="B910" s="944">
        <v>106.15</v>
      </c>
      <c r="C910" s="944" t="s">
        <v>97</v>
      </c>
      <c r="D910" s="943" t="s">
        <v>2</v>
      </c>
      <c r="E910" s="945">
        <v>93</v>
      </c>
      <c r="F910" s="945">
        <v>3</v>
      </c>
      <c r="G910" s="946">
        <v>1500</v>
      </c>
      <c r="H910" s="946">
        <v>1371.43</v>
      </c>
    </row>
    <row r="911" spans="1:9" s="26" customFormat="1">
      <c r="A911" s="947">
        <v>4</v>
      </c>
      <c r="B911" s="948">
        <v>106.88</v>
      </c>
      <c r="C911" s="948" t="s">
        <v>98</v>
      </c>
      <c r="D911" s="947" t="s">
        <v>2</v>
      </c>
      <c r="E911" s="950">
        <v>446</v>
      </c>
      <c r="F911" s="950">
        <v>5</v>
      </c>
      <c r="G911" s="951">
        <v>10000</v>
      </c>
      <c r="H911" s="951">
        <v>10229.67</v>
      </c>
      <c r="I911" s="18"/>
    </row>
    <row r="912" spans="1:9">
      <c r="A912" s="943">
        <v>4</v>
      </c>
      <c r="B912" s="944">
        <v>107.18</v>
      </c>
      <c r="C912" s="944" t="s">
        <v>1978</v>
      </c>
      <c r="D912" s="943" t="s">
        <v>100</v>
      </c>
      <c r="E912" s="952">
        <v>4302</v>
      </c>
      <c r="F912" s="945">
        <v>1</v>
      </c>
      <c r="G912" s="946">
        <v>50</v>
      </c>
      <c r="H912" s="946">
        <v>48.37</v>
      </c>
    </row>
    <row r="913" spans="1:9" s="26" customFormat="1">
      <c r="A913" s="947">
        <v>4</v>
      </c>
      <c r="B913" s="948">
        <v>107.855</v>
      </c>
      <c r="C913" s="948" t="s">
        <v>102</v>
      </c>
      <c r="D913" s="947" t="s">
        <v>17</v>
      </c>
      <c r="E913" s="949">
        <v>1050</v>
      </c>
      <c r="F913" s="950">
        <v>2</v>
      </c>
      <c r="G913" s="951">
        <v>92.5</v>
      </c>
      <c r="H913" s="951">
        <v>97.5</v>
      </c>
      <c r="I913" s="18"/>
    </row>
    <row r="914" spans="1:9">
      <c r="A914" s="943">
        <v>4</v>
      </c>
      <c r="B914" s="944">
        <v>107.97</v>
      </c>
      <c r="C914" s="944" t="s">
        <v>103</v>
      </c>
      <c r="D914" s="943" t="s">
        <v>100</v>
      </c>
      <c r="E914" s="952">
        <v>43800</v>
      </c>
      <c r="F914" s="945">
        <v>2</v>
      </c>
      <c r="G914" s="946">
        <v>39.28</v>
      </c>
      <c r="H914" s="946">
        <v>45.26</v>
      </c>
    </row>
    <row r="915" spans="1:9" s="26" customFormat="1">
      <c r="A915" s="947">
        <v>4</v>
      </c>
      <c r="B915" s="948">
        <v>114.1</v>
      </c>
      <c r="C915" s="948" t="s">
        <v>104</v>
      </c>
      <c r="D915" s="947" t="s">
        <v>22</v>
      </c>
      <c r="E915" s="950">
        <v>5</v>
      </c>
      <c r="F915" s="950">
        <v>2</v>
      </c>
      <c r="G915" s="951">
        <v>625000</v>
      </c>
      <c r="H915" s="951">
        <v>486880</v>
      </c>
      <c r="I915" s="18"/>
    </row>
    <row r="916" spans="1:9">
      <c r="A916" s="943">
        <v>4</v>
      </c>
      <c r="B916" s="944">
        <v>115.1</v>
      </c>
      <c r="C916" s="944" t="s">
        <v>105</v>
      </c>
      <c r="D916" s="943" t="s">
        <v>22</v>
      </c>
      <c r="E916" s="945">
        <v>3</v>
      </c>
      <c r="F916" s="945">
        <v>1</v>
      </c>
      <c r="G916" s="946">
        <v>1500000</v>
      </c>
      <c r="H916" s="946">
        <v>1416666.67</v>
      </c>
    </row>
    <row r="917" spans="1:9" s="26" customFormat="1">
      <c r="A917" s="947">
        <v>4</v>
      </c>
      <c r="B917" s="948">
        <v>115.2</v>
      </c>
      <c r="C917" s="948" t="s">
        <v>105</v>
      </c>
      <c r="D917" s="947" t="s">
        <v>22</v>
      </c>
      <c r="E917" s="950">
        <v>3</v>
      </c>
      <c r="F917" s="950">
        <v>1</v>
      </c>
      <c r="G917" s="951">
        <v>2400000</v>
      </c>
      <c r="H917" s="951">
        <v>2258333.33</v>
      </c>
      <c r="I917" s="18"/>
    </row>
    <row r="918" spans="1:9">
      <c r="A918" s="943">
        <v>4</v>
      </c>
      <c r="B918" s="944">
        <v>115.3</v>
      </c>
      <c r="C918" s="944" t="s">
        <v>105</v>
      </c>
      <c r="D918" s="943" t="s">
        <v>22</v>
      </c>
      <c r="E918" s="945">
        <v>3</v>
      </c>
      <c r="F918" s="945">
        <v>1</v>
      </c>
      <c r="G918" s="946">
        <v>1700000</v>
      </c>
      <c r="H918" s="946">
        <v>1633333.33</v>
      </c>
    </row>
    <row r="919" spans="1:9" s="26" customFormat="1">
      <c r="A919" s="947">
        <v>4</v>
      </c>
      <c r="B919" s="948">
        <v>119</v>
      </c>
      <c r="C919" s="948" t="s">
        <v>106</v>
      </c>
      <c r="D919" s="947" t="s">
        <v>22</v>
      </c>
      <c r="E919" s="950">
        <v>4</v>
      </c>
      <c r="F919" s="950">
        <v>2</v>
      </c>
      <c r="G919" s="951">
        <v>16000</v>
      </c>
      <c r="H919" s="951">
        <v>14500</v>
      </c>
      <c r="I919" s="18"/>
    </row>
    <row r="920" spans="1:9">
      <c r="A920" s="943">
        <v>4</v>
      </c>
      <c r="B920" s="944">
        <v>120</v>
      </c>
      <c r="C920" s="944" t="s">
        <v>107</v>
      </c>
      <c r="D920" s="943" t="s">
        <v>4</v>
      </c>
      <c r="E920" s="952">
        <v>541262</v>
      </c>
      <c r="F920" s="945">
        <v>10</v>
      </c>
      <c r="G920" s="946">
        <v>50</v>
      </c>
      <c r="H920" s="946">
        <v>53.52</v>
      </c>
    </row>
    <row r="921" spans="1:9" s="26" customFormat="1">
      <c r="A921" s="947">
        <v>4</v>
      </c>
      <c r="B921" s="948">
        <v>120.1</v>
      </c>
      <c r="C921" s="948" t="s">
        <v>19</v>
      </c>
      <c r="D921" s="947" t="s">
        <v>4</v>
      </c>
      <c r="E921" s="949">
        <v>10650</v>
      </c>
      <c r="F921" s="950">
        <v>3</v>
      </c>
      <c r="G921" s="951">
        <v>65</v>
      </c>
      <c r="H921" s="951">
        <v>55.2</v>
      </c>
      <c r="I921" s="18"/>
    </row>
    <row r="922" spans="1:9">
      <c r="A922" s="943">
        <v>4</v>
      </c>
      <c r="B922" s="944">
        <v>121</v>
      </c>
      <c r="C922" s="944" t="s">
        <v>108</v>
      </c>
      <c r="D922" s="943" t="s">
        <v>4</v>
      </c>
      <c r="E922" s="945">
        <v>300</v>
      </c>
      <c r="F922" s="945">
        <v>7</v>
      </c>
      <c r="G922" s="946">
        <v>210</v>
      </c>
      <c r="H922" s="946">
        <v>203</v>
      </c>
    </row>
    <row r="923" spans="1:9" s="26" customFormat="1">
      <c r="A923" s="947">
        <v>4</v>
      </c>
      <c r="B923" s="948">
        <v>127</v>
      </c>
      <c r="C923" s="948" t="s">
        <v>111</v>
      </c>
      <c r="D923" s="947" t="s">
        <v>4</v>
      </c>
      <c r="E923" s="949">
        <v>11270</v>
      </c>
      <c r="F923" s="950">
        <v>2</v>
      </c>
      <c r="G923" s="951">
        <v>76</v>
      </c>
      <c r="H923" s="951">
        <v>172.33</v>
      </c>
      <c r="I923" s="18"/>
    </row>
    <row r="924" spans="1:9">
      <c r="A924" s="943">
        <v>4</v>
      </c>
      <c r="B924" s="944">
        <v>127.1</v>
      </c>
      <c r="C924" s="944" t="s">
        <v>112</v>
      </c>
      <c r="D924" s="943" t="s">
        <v>4</v>
      </c>
      <c r="E924" s="952">
        <v>4525</v>
      </c>
      <c r="F924" s="945">
        <v>7</v>
      </c>
      <c r="G924" s="946">
        <v>5885</v>
      </c>
      <c r="H924" s="946">
        <v>5038.75</v>
      </c>
    </row>
    <row r="925" spans="1:9" s="26" customFormat="1">
      <c r="A925" s="947">
        <v>4</v>
      </c>
      <c r="B925" s="948">
        <v>127.4</v>
      </c>
      <c r="C925" s="948" t="s">
        <v>113</v>
      </c>
      <c r="D925" s="947" t="s">
        <v>1</v>
      </c>
      <c r="E925" s="949">
        <v>8405</v>
      </c>
      <c r="F925" s="950">
        <v>4</v>
      </c>
      <c r="G925" s="951">
        <v>880</v>
      </c>
      <c r="H925" s="951">
        <v>838</v>
      </c>
      <c r="I925" s="18"/>
    </row>
    <row r="926" spans="1:9">
      <c r="A926" s="943">
        <v>4</v>
      </c>
      <c r="B926" s="944">
        <v>127.41</v>
      </c>
      <c r="C926" s="944" t="s">
        <v>114</v>
      </c>
      <c r="D926" s="943" t="s">
        <v>4</v>
      </c>
      <c r="E926" s="952">
        <v>2040</v>
      </c>
      <c r="F926" s="945">
        <v>4</v>
      </c>
      <c r="G926" s="946">
        <v>2900</v>
      </c>
      <c r="H926" s="946">
        <v>3697.1</v>
      </c>
    </row>
    <row r="927" spans="1:9" s="26" customFormat="1">
      <c r="A927" s="947">
        <v>4</v>
      </c>
      <c r="B927" s="948">
        <v>129.19999999999999</v>
      </c>
      <c r="C927" s="948" t="s">
        <v>115</v>
      </c>
      <c r="D927" s="947" t="s">
        <v>1</v>
      </c>
      <c r="E927" s="949">
        <v>4900</v>
      </c>
      <c r="F927" s="950">
        <v>1</v>
      </c>
      <c r="G927" s="951">
        <v>11</v>
      </c>
      <c r="H927" s="951">
        <v>10.5</v>
      </c>
      <c r="I927" s="18"/>
    </row>
    <row r="928" spans="1:9">
      <c r="A928" s="943">
        <v>4</v>
      </c>
      <c r="B928" s="944">
        <v>129.6</v>
      </c>
      <c r="C928" s="944" t="s">
        <v>117</v>
      </c>
      <c r="D928" s="943" t="s">
        <v>1</v>
      </c>
      <c r="E928" s="945">
        <v>450</v>
      </c>
      <c r="F928" s="945">
        <v>1</v>
      </c>
      <c r="G928" s="946">
        <v>55</v>
      </c>
      <c r="H928" s="946">
        <v>55</v>
      </c>
    </row>
    <row r="929" spans="1:9" s="26" customFormat="1">
      <c r="A929" s="947">
        <v>4</v>
      </c>
      <c r="B929" s="948">
        <v>140</v>
      </c>
      <c r="C929" s="948" t="s">
        <v>118</v>
      </c>
      <c r="D929" s="947" t="s">
        <v>4</v>
      </c>
      <c r="E929" s="949">
        <v>30865</v>
      </c>
      <c r="F929" s="950">
        <v>5</v>
      </c>
      <c r="G929" s="951">
        <v>88.5</v>
      </c>
      <c r="H929" s="951">
        <v>90.4</v>
      </c>
      <c r="I929" s="18"/>
    </row>
    <row r="930" spans="1:9">
      <c r="A930" s="943">
        <v>4</v>
      </c>
      <c r="B930" s="944">
        <v>141</v>
      </c>
      <c r="C930" s="944" t="s">
        <v>120</v>
      </c>
      <c r="D930" s="943" t="s">
        <v>4</v>
      </c>
      <c r="E930" s="952">
        <v>10875</v>
      </c>
      <c r="F930" s="945">
        <v>8</v>
      </c>
      <c r="G930" s="946">
        <v>75</v>
      </c>
      <c r="H930" s="946">
        <v>67.790000000000006</v>
      </c>
    </row>
    <row r="931" spans="1:9" s="26" customFormat="1">
      <c r="A931" s="947">
        <v>4</v>
      </c>
      <c r="B931" s="948">
        <v>141.1</v>
      </c>
      <c r="C931" s="948" t="s">
        <v>121</v>
      </c>
      <c r="D931" s="947" t="s">
        <v>4</v>
      </c>
      <c r="E931" s="949">
        <v>7855</v>
      </c>
      <c r="F931" s="950">
        <v>11</v>
      </c>
      <c r="G931" s="951">
        <v>150</v>
      </c>
      <c r="H931" s="951">
        <v>156.83000000000001</v>
      </c>
      <c r="I931" s="18"/>
    </row>
    <row r="932" spans="1:9">
      <c r="A932" s="943">
        <v>4</v>
      </c>
      <c r="B932" s="944">
        <v>142</v>
      </c>
      <c r="C932" s="944" t="s">
        <v>122</v>
      </c>
      <c r="D932" s="943" t="s">
        <v>4</v>
      </c>
      <c r="E932" s="952">
        <v>7890</v>
      </c>
      <c r="F932" s="945">
        <v>8</v>
      </c>
      <c r="G932" s="946">
        <v>52.5</v>
      </c>
      <c r="H932" s="946">
        <v>56.7</v>
      </c>
    </row>
    <row r="933" spans="1:9" s="26" customFormat="1">
      <c r="A933" s="947">
        <v>4</v>
      </c>
      <c r="B933" s="948">
        <v>143</v>
      </c>
      <c r="C933" s="948" t="s">
        <v>123</v>
      </c>
      <c r="D933" s="947" t="s">
        <v>4</v>
      </c>
      <c r="E933" s="950">
        <v>240</v>
      </c>
      <c r="F933" s="950">
        <v>1</v>
      </c>
      <c r="G933" s="951">
        <v>75</v>
      </c>
      <c r="H933" s="951">
        <v>71.67</v>
      </c>
      <c r="I933" s="18"/>
    </row>
    <row r="934" spans="1:9">
      <c r="A934" s="943">
        <v>4</v>
      </c>
      <c r="B934" s="944">
        <v>144</v>
      </c>
      <c r="C934" s="944" t="s">
        <v>124</v>
      </c>
      <c r="D934" s="943" t="s">
        <v>4</v>
      </c>
      <c r="E934" s="952">
        <v>4147</v>
      </c>
      <c r="F934" s="945">
        <v>9</v>
      </c>
      <c r="G934" s="946">
        <v>245</v>
      </c>
      <c r="H934" s="946">
        <v>226.3</v>
      </c>
    </row>
    <row r="935" spans="1:9" s="26" customFormat="1">
      <c r="A935" s="947">
        <v>4</v>
      </c>
      <c r="B935" s="948">
        <v>145</v>
      </c>
      <c r="C935" s="948" t="s">
        <v>125</v>
      </c>
      <c r="D935" s="947" t="s">
        <v>2</v>
      </c>
      <c r="E935" s="950">
        <v>65</v>
      </c>
      <c r="F935" s="950">
        <v>1</v>
      </c>
      <c r="G935" s="951">
        <v>990</v>
      </c>
      <c r="H935" s="951">
        <v>986</v>
      </c>
      <c r="I935" s="18"/>
    </row>
    <row r="936" spans="1:9">
      <c r="A936" s="943">
        <v>4</v>
      </c>
      <c r="B936" s="944">
        <v>146</v>
      </c>
      <c r="C936" s="944" t="s">
        <v>126</v>
      </c>
      <c r="D936" s="943" t="s">
        <v>2</v>
      </c>
      <c r="E936" s="945">
        <v>804</v>
      </c>
      <c r="F936" s="945">
        <v>5</v>
      </c>
      <c r="G936" s="946">
        <v>1000</v>
      </c>
      <c r="H936" s="946">
        <v>1149.1500000000001</v>
      </c>
    </row>
    <row r="937" spans="1:9" s="26" customFormat="1">
      <c r="A937" s="947">
        <v>4</v>
      </c>
      <c r="B937" s="948">
        <v>149.19999999999999</v>
      </c>
      <c r="C937" s="948" t="s">
        <v>1284</v>
      </c>
      <c r="D937" s="947" t="s">
        <v>22</v>
      </c>
      <c r="E937" s="950">
        <v>3</v>
      </c>
      <c r="F937" s="950">
        <v>1</v>
      </c>
      <c r="G937" s="951">
        <v>100000</v>
      </c>
      <c r="H937" s="951">
        <v>92000</v>
      </c>
      <c r="I937" s="18"/>
    </row>
    <row r="938" spans="1:9">
      <c r="A938" s="943">
        <v>4</v>
      </c>
      <c r="B938" s="944">
        <v>150</v>
      </c>
      <c r="C938" s="944" t="s">
        <v>128</v>
      </c>
      <c r="D938" s="943" t="s">
        <v>4</v>
      </c>
      <c r="E938" s="952">
        <v>30200</v>
      </c>
      <c r="F938" s="945">
        <v>5</v>
      </c>
      <c r="G938" s="946">
        <v>43</v>
      </c>
      <c r="H938" s="946">
        <v>51.13</v>
      </c>
    </row>
    <row r="939" spans="1:9" s="26" customFormat="1">
      <c r="A939" s="947">
        <v>4</v>
      </c>
      <c r="B939" s="948">
        <v>150.1</v>
      </c>
      <c r="C939" s="948" t="s">
        <v>129</v>
      </c>
      <c r="D939" s="947" t="s">
        <v>4</v>
      </c>
      <c r="E939" s="949">
        <v>24540</v>
      </c>
      <c r="F939" s="950">
        <v>2</v>
      </c>
      <c r="G939" s="951">
        <v>65</v>
      </c>
      <c r="H939" s="951">
        <v>66.47</v>
      </c>
      <c r="I939" s="18"/>
    </row>
    <row r="940" spans="1:9">
      <c r="A940" s="943">
        <v>4</v>
      </c>
      <c r="B940" s="944">
        <v>151</v>
      </c>
      <c r="C940" s="944" t="s">
        <v>5</v>
      </c>
      <c r="D940" s="943" t="s">
        <v>4</v>
      </c>
      <c r="E940" s="952">
        <v>189350</v>
      </c>
      <c r="F940" s="945">
        <v>10</v>
      </c>
      <c r="G940" s="946">
        <v>60</v>
      </c>
      <c r="H940" s="946">
        <v>59.23</v>
      </c>
    </row>
    <row r="941" spans="1:9" s="26" customFormat="1">
      <c r="A941" s="947">
        <v>4</v>
      </c>
      <c r="B941" s="948">
        <v>151.01</v>
      </c>
      <c r="C941" s="948" t="s">
        <v>130</v>
      </c>
      <c r="D941" s="947" t="s">
        <v>4</v>
      </c>
      <c r="E941" s="949">
        <v>1465</v>
      </c>
      <c r="F941" s="950">
        <v>3</v>
      </c>
      <c r="G941" s="951">
        <v>70</v>
      </c>
      <c r="H941" s="951">
        <v>73</v>
      </c>
      <c r="I941" s="18"/>
    </row>
    <row r="942" spans="1:9">
      <c r="A942" s="943">
        <v>4</v>
      </c>
      <c r="B942" s="944">
        <v>151.1</v>
      </c>
      <c r="C942" s="944" t="s">
        <v>131</v>
      </c>
      <c r="D942" s="943" t="s">
        <v>4</v>
      </c>
      <c r="E942" s="952">
        <v>2240</v>
      </c>
      <c r="F942" s="945">
        <v>1</v>
      </c>
      <c r="G942" s="946">
        <v>65</v>
      </c>
      <c r="H942" s="946">
        <v>62</v>
      </c>
    </row>
    <row r="943" spans="1:9" s="26" customFormat="1">
      <c r="A943" s="947">
        <v>4</v>
      </c>
      <c r="B943" s="948">
        <v>151.19999999999999</v>
      </c>
      <c r="C943" s="948" t="s">
        <v>52</v>
      </c>
      <c r="D943" s="947" t="s">
        <v>4</v>
      </c>
      <c r="E943" s="949">
        <v>42200</v>
      </c>
      <c r="F943" s="950">
        <v>7</v>
      </c>
      <c r="G943" s="951">
        <v>65</v>
      </c>
      <c r="H943" s="951">
        <v>64.13</v>
      </c>
      <c r="I943" s="18"/>
    </row>
    <row r="944" spans="1:9">
      <c r="A944" s="943">
        <v>4</v>
      </c>
      <c r="B944" s="944">
        <v>153</v>
      </c>
      <c r="C944" s="944" t="s">
        <v>134</v>
      </c>
      <c r="D944" s="943" t="s">
        <v>4</v>
      </c>
      <c r="E944" s="945">
        <v>951</v>
      </c>
      <c r="F944" s="945">
        <v>10</v>
      </c>
      <c r="G944" s="946">
        <v>300</v>
      </c>
      <c r="H944" s="946">
        <v>295.85000000000002</v>
      </c>
    </row>
    <row r="945" spans="1:9" s="26" customFormat="1">
      <c r="A945" s="947">
        <v>4</v>
      </c>
      <c r="B945" s="948">
        <v>153.1</v>
      </c>
      <c r="C945" s="948" t="s">
        <v>135</v>
      </c>
      <c r="D945" s="947" t="s">
        <v>4</v>
      </c>
      <c r="E945" s="950">
        <v>100</v>
      </c>
      <c r="F945" s="950">
        <v>3</v>
      </c>
      <c r="G945" s="951">
        <v>462.5</v>
      </c>
      <c r="H945" s="951">
        <v>420.22</v>
      </c>
      <c r="I945" s="18"/>
    </row>
    <row r="946" spans="1:9">
      <c r="A946" s="943">
        <v>4</v>
      </c>
      <c r="B946" s="944">
        <v>154</v>
      </c>
      <c r="C946" s="944" t="s">
        <v>136</v>
      </c>
      <c r="D946" s="943" t="s">
        <v>4</v>
      </c>
      <c r="E946" s="952">
        <v>2400</v>
      </c>
      <c r="F946" s="945">
        <v>1</v>
      </c>
      <c r="G946" s="946">
        <v>65</v>
      </c>
      <c r="H946" s="946">
        <v>59.5</v>
      </c>
    </row>
    <row r="947" spans="1:9" s="26" customFormat="1">
      <c r="A947" s="947">
        <v>4</v>
      </c>
      <c r="B947" s="948">
        <v>156</v>
      </c>
      <c r="C947" s="948" t="s">
        <v>26</v>
      </c>
      <c r="D947" s="947" t="s">
        <v>7</v>
      </c>
      <c r="E947" s="949">
        <v>26465</v>
      </c>
      <c r="F947" s="950">
        <v>10</v>
      </c>
      <c r="G947" s="951">
        <v>60</v>
      </c>
      <c r="H947" s="951">
        <v>59.97</v>
      </c>
      <c r="I947" s="18"/>
    </row>
    <row r="948" spans="1:9">
      <c r="A948" s="943">
        <v>4</v>
      </c>
      <c r="B948" s="944">
        <v>170</v>
      </c>
      <c r="C948" s="944" t="s">
        <v>1287</v>
      </c>
      <c r="D948" s="943" t="s">
        <v>1</v>
      </c>
      <c r="E948" s="952">
        <v>580190</v>
      </c>
      <c r="F948" s="945">
        <v>13</v>
      </c>
      <c r="G948" s="946">
        <v>12</v>
      </c>
      <c r="H948" s="946">
        <v>11.44</v>
      </c>
    </row>
    <row r="949" spans="1:9" s="26" customFormat="1">
      <c r="A949" s="947">
        <v>4</v>
      </c>
      <c r="B949" s="948">
        <v>180.01</v>
      </c>
      <c r="C949" s="948" t="s">
        <v>1288</v>
      </c>
      <c r="D949" s="947" t="s">
        <v>22</v>
      </c>
      <c r="E949" s="950">
        <v>29</v>
      </c>
      <c r="F949" s="950">
        <v>12</v>
      </c>
      <c r="G949" s="951">
        <v>7500</v>
      </c>
      <c r="H949" s="951">
        <v>6446.62</v>
      </c>
      <c r="I949" s="18"/>
    </row>
    <row r="950" spans="1:9">
      <c r="A950" s="943">
        <v>4</v>
      </c>
      <c r="B950" s="944">
        <v>180.02</v>
      </c>
      <c r="C950" s="944" t="s">
        <v>1289</v>
      </c>
      <c r="D950" s="943" t="s">
        <v>24</v>
      </c>
      <c r="E950" s="945">
        <v>724</v>
      </c>
      <c r="F950" s="945">
        <v>8</v>
      </c>
      <c r="G950" s="946">
        <v>15</v>
      </c>
      <c r="H950" s="946">
        <v>14.73</v>
      </c>
    </row>
    <row r="951" spans="1:9" s="26" customFormat="1">
      <c r="A951" s="947">
        <v>4</v>
      </c>
      <c r="B951" s="948">
        <v>180.03</v>
      </c>
      <c r="C951" s="948" t="s">
        <v>1290</v>
      </c>
      <c r="D951" s="947" t="s">
        <v>24</v>
      </c>
      <c r="E951" s="949">
        <v>1896</v>
      </c>
      <c r="F951" s="950">
        <v>13</v>
      </c>
      <c r="G951" s="951">
        <v>130</v>
      </c>
      <c r="H951" s="951">
        <v>131.32</v>
      </c>
      <c r="I951" s="18"/>
    </row>
    <row r="952" spans="1:9">
      <c r="A952" s="943">
        <v>4</v>
      </c>
      <c r="B952" s="944">
        <v>181.11</v>
      </c>
      <c r="C952" s="944" t="s">
        <v>58</v>
      </c>
      <c r="D952" s="943" t="s">
        <v>7</v>
      </c>
      <c r="E952" s="952">
        <v>23405</v>
      </c>
      <c r="F952" s="945">
        <v>12</v>
      </c>
      <c r="G952" s="946">
        <v>60</v>
      </c>
      <c r="H952" s="946">
        <v>57.21</v>
      </c>
    </row>
    <row r="953" spans="1:9" s="26" customFormat="1">
      <c r="A953" s="947">
        <v>4</v>
      </c>
      <c r="B953" s="948">
        <v>181.12</v>
      </c>
      <c r="C953" s="948" t="s">
        <v>141</v>
      </c>
      <c r="D953" s="947" t="s">
        <v>7</v>
      </c>
      <c r="E953" s="949">
        <v>15939</v>
      </c>
      <c r="F953" s="950">
        <v>12</v>
      </c>
      <c r="G953" s="951">
        <v>114.5</v>
      </c>
      <c r="H953" s="951">
        <v>116.68</v>
      </c>
      <c r="I953" s="18"/>
    </row>
    <row r="954" spans="1:9">
      <c r="A954" s="943">
        <v>4</v>
      </c>
      <c r="B954" s="944">
        <v>181.13</v>
      </c>
      <c r="C954" s="944" t="s">
        <v>142</v>
      </c>
      <c r="D954" s="943" t="s">
        <v>7</v>
      </c>
      <c r="E954" s="952">
        <v>3963</v>
      </c>
      <c r="F954" s="945">
        <v>12</v>
      </c>
      <c r="G954" s="946">
        <v>200</v>
      </c>
      <c r="H954" s="946">
        <v>204.69</v>
      </c>
    </row>
    <row r="955" spans="1:9" s="26" customFormat="1">
      <c r="A955" s="947">
        <v>4</v>
      </c>
      <c r="B955" s="948">
        <v>181.14</v>
      </c>
      <c r="C955" s="948" t="s">
        <v>59</v>
      </c>
      <c r="D955" s="947" t="s">
        <v>7</v>
      </c>
      <c r="E955" s="950">
        <v>778</v>
      </c>
      <c r="F955" s="950">
        <v>11</v>
      </c>
      <c r="G955" s="951">
        <v>505</v>
      </c>
      <c r="H955" s="951">
        <v>509.18</v>
      </c>
      <c r="I955" s="18"/>
    </row>
    <row r="956" spans="1:9">
      <c r="A956" s="943">
        <v>4</v>
      </c>
      <c r="B956" s="944">
        <v>182.1</v>
      </c>
      <c r="C956" s="944" t="s">
        <v>143</v>
      </c>
      <c r="D956" s="943" t="s">
        <v>22</v>
      </c>
      <c r="E956" s="945">
        <v>11</v>
      </c>
      <c r="F956" s="945">
        <v>5</v>
      </c>
      <c r="G956" s="946">
        <v>3150</v>
      </c>
      <c r="H956" s="946">
        <v>2995.19</v>
      </c>
    </row>
    <row r="957" spans="1:9" s="26" customFormat="1">
      <c r="A957" s="947">
        <v>4</v>
      </c>
      <c r="B957" s="948">
        <v>182.2</v>
      </c>
      <c r="C957" s="948" t="s">
        <v>144</v>
      </c>
      <c r="D957" s="947" t="s">
        <v>17</v>
      </c>
      <c r="E957" s="949">
        <v>1998</v>
      </c>
      <c r="F957" s="950">
        <v>4</v>
      </c>
      <c r="G957" s="951">
        <v>105</v>
      </c>
      <c r="H957" s="951">
        <v>117.07</v>
      </c>
      <c r="I957" s="18"/>
    </row>
    <row r="958" spans="1:9">
      <c r="A958" s="943">
        <v>4</v>
      </c>
      <c r="B958" s="944">
        <v>182.3</v>
      </c>
      <c r="C958" s="944" t="s">
        <v>145</v>
      </c>
      <c r="D958" s="943" t="s">
        <v>22</v>
      </c>
      <c r="E958" s="945">
        <v>2</v>
      </c>
      <c r="F958" s="945">
        <v>1</v>
      </c>
      <c r="G958" s="946">
        <v>8000</v>
      </c>
      <c r="H958" s="946">
        <v>8000</v>
      </c>
    </row>
    <row r="959" spans="1:9" s="26" customFormat="1">
      <c r="A959" s="947">
        <v>4</v>
      </c>
      <c r="B959" s="948">
        <v>183.1</v>
      </c>
      <c r="C959" s="948" t="s">
        <v>146</v>
      </c>
      <c r="D959" s="947" t="s">
        <v>20</v>
      </c>
      <c r="E959" s="949">
        <v>15175</v>
      </c>
      <c r="F959" s="950">
        <v>4</v>
      </c>
      <c r="G959" s="951">
        <v>14</v>
      </c>
      <c r="H959" s="951">
        <v>13.92</v>
      </c>
      <c r="I959" s="18"/>
    </row>
    <row r="960" spans="1:9">
      <c r="A960" s="943">
        <v>4</v>
      </c>
      <c r="B960" s="944">
        <v>183.2</v>
      </c>
      <c r="C960" s="944" t="s">
        <v>147</v>
      </c>
      <c r="D960" s="943" t="s">
        <v>100</v>
      </c>
      <c r="E960" s="952">
        <v>10364</v>
      </c>
      <c r="F960" s="945">
        <v>4</v>
      </c>
      <c r="G960" s="946">
        <v>7.5</v>
      </c>
      <c r="H960" s="946">
        <v>5.97</v>
      </c>
    </row>
    <row r="961" spans="1:9" s="26" customFormat="1">
      <c r="A961" s="947">
        <v>4</v>
      </c>
      <c r="B961" s="948">
        <v>184.1</v>
      </c>
      <c r="C961" s="948" t="s">
        <v>148</v>
      </c>
      <c r="D961" s="947" t="s">
        <v>7</v>
      </c>
      <c r="E961" s="950">
        <v>311</v>
      </c>
      <c r="F961" s="950">
        <v>6</v>
      </c>
      <c r="G961" s="951">
        <v>450</v>
      </c>
      <c r="H961" s="951">
        <v>420.58</v>
      </c>
      <c r="I961" s="18"/>
    </row>
    <row r="962" spans="1:9">
      <c r="A962" s="943">
        <v>4</v>
      </c>
      <c r="B962" s="944">
        <v>191</v>
      </c>
      <c r="C962" s="944" t="s">
        <v>151</v>
      </c>
      <c r="D962" s="943" t="s">
        <v>17</v>
      </c>
      <c r="E962" s="945">
        <v>360</v>
      </c>
      <c r="F962" s="945">
        <v>1</v>
      </c>
      <c r="G962" s="946">
        <v>91.5</v>
      </c>
      <c r="H962" s="946">
        <v>92</v>
      </c>
    </row>
    <row r="963" spans="1:9" s="26" customFormat="1">
      <c r="A963" s="947">
        <v>4</v>
      </c>
      <c r="B963" s="948">
        <v>201</v>
      </c>
      <c r="C963" s="948" t="s">
        <v>155</v>
      </c>
      <c r="D963" s="947" t="s">
        <v>2</v>
      </c>
      <c r="E963" s="949">
        <v>2013</v>
      </c>
      <c r="F963" s="950">
        <v>9</v>
      </c>
      <c r="G963" s="951">
        <v>6000</v>
      </c>
      <c r="H963" s="951">
        <v>6125.71</v>
      </c>
      <c r="I963" s="18"/>
    </row>
    <row r="964" spans="1:9">
      <c r="A964" s="943">
        <v>4</v>
      </c>
      <c r="B964" s="944">
        <v>201.3</v>
      </c>
      <c r="C964" s="944" t="s">
        <v>156</v>
      </c>
      <c r="D964" s="943" t="s">
        <v>2</v>
      </c>
      <c r="E964" s="945">
        <v>4</v>
      </c>
      <c r="F964" s="945">
        <v>1</v>
      </c>
      <c r="G964" s="946">
        <v>9200</v>
      </c>
      <c r="H964" s="946">
        <v>8775</v>
      </c>
    </row>
    <row r="965" spans="1:9" s="26" customFormat="1">
      <c r="A965" s="947">
        <v>4</v>
      </c>
      <c r="B965" s="948">
        <v>202</v>
      </c>
      <c r="C965" s="948" t="s">
        <v>157</v>
      </c>
      <c r="D965" s="947" t="s">
        <v>2</v>
      </c>
      <c r="E965" s="949">
        <v>1083</v>
      </c>
      <c r="F965" s="950">
        <v>8</v>
      </c>
      <c r="G965" s="951">
        <v>6500</v>
      </c>
      <c r="H965" s="951">
        <v>6396.85</v>
      </c>
      <c r="I965" s="18"/>
    </row>
    <row r="966" spans="1:9">
      <c r="A966" s="943">
        <v>4</v>
      </c>
      <c r="B966" s="944">
        <v>202.2</v>
      </c>
      <c r="C966" s="944" t="s">
        <v>158</v>
      </c>
      <c r="D966" s="943" t="s">
        <v>2</v>
      </c>
      <c r="E966" s="945">
        <v>23</v>
      </c>
      <c r="F966" s="945">
        <v>2</v>
      </c>
      <c r="G966" s="946">
        <v>8250</v>
      </c>
      <c r="H966" s="946">
        <v>8145</v>
      </c>
    </row>
    <row r="967" spans="1:9" s="26" customFormat="1">
      <c r="A967" s="947">
        <v>4</v>
      </c>
      <c r="B967" s="948">
        <v>204</v>
      </c>
      <c r="C967" s="948" t="s">
        <v>160</v>
      </c>
      <c r="D967" s="947" t="s">
        <v>2</v>
      </c>
      <c r="E967" s="950">
        <v>54</v>
      </c>
      <c r="F967" s="950">
        <v>4</v>
      </c>
      <c r="G967" s="951">
        <v>4000</v>
      </c>
      <c r="H967" s="951">
        <v>3723.93</v>
      </c>
      <c r="I967" s="18"/>
    </row>
    <row r="968" spans="1:9">
      <c r="A968" s="943">
        <v>4</v>
      </c>
      <c r="B968" s="944">
        <v>204.11</v>
      </c>
      <c r="C968" s="944" t="s">
        <v>1294</v>
      </c>
      <c r="D968" s="943" t="s">
        <v>2</v>
      </c>
      <c r="E968" s="945">
        <v>114</v>
      </c>
      <c r="F968" s="945">
        <v>1</v>
      </c>
      <c r="G968" s="946">
        <v>4000</v>
      </c>
      <c r="H968" s="946">
        <v>4066.67</v>
      </c>
    </row>
    <row r="969" spans="1:9" s="26" customFormat="1">
      <c r="A969" s="947">
        <v>4</v>
      </c>
      <c r="B969" s="948">
        <v>210</v>
      </c>
      <c r="C969" s="948" t="s">
        <v>169</v>
      </c>
      <c r="D969" s="947" t="s">
        <v>2</v>
      </c>
      <c r="E969" s="950">
        <v>6</v>
      </c>
      <c r="F969" s="950">
        <v>1</v>
      </c>
      <c r="G969" s="951">
        <v>8625</v>
      </c>
      <c r="H969" s="951">
        <v>8550</v>
      </c>
      <c r="I969" s="18"/>
    </row>
    <row r="970" spans="1:9">
      <c r="A970" s="943">
        <v>4</v>
      </c>
      <c r="B970" s="944">
        <v>220</v>
      </c>
      <c r="C970" s="944" t="s">
        <v>172</v>
      </c>
      <c r="D970" s="943" t="s">
        <v>2</v>
      </c>
      <c r="E970" s="952">
        <v>7927</v>
      </c>
      <c r="F970" s="945">
        <v>14</v>
      </c>
      <c r="G970" s="946">
        <v>510</v>
      </c>
      <c r="H970" s="946">
        <v>548.25</v>
      </c>
    </row>
    <row r="971" spans="1:9" s="26" customFormat="1">
      <c r="A971" s="947">
        <v>4</v>
      </c>
      <c r="B971" s="948">
        <v>220.2</v>
      </c>
      <c r="C971" s="948" t="s">
        <v>173</v>
      </c>
      <c r="D971" s="947" t="s">
        <v>17</v>
      </c>
      <c r="E971" s="949">
        <v>4430</v>
      </c>
      <c r="F971" s="950">
        <v>11</v>
      </c>
      <c r="G971" s="951">
        <v>500</v>
      </c>
      <c r="H971" s="951">
        <v>514.4</v>
      </c>
      <c r="I971" s="18"/>
    </row>
    <row r="972" spans="1:9">
      <c r="A972" s="943">
        <v>4</v>
      </c>
      <c r="B972" s="944">
        <v>220.3</v>
      </c>
      <c r="C972" s="944" t="s">
        <v>174</v>
      </c>
      <c r="D972" s="943" t="s">
        <v>2</v>
      </c>
      <c r="E972" s="945">
        <v>81</v>
      </c>
      <c r="F972" s="945">
        <v>6</v>
      </c>
      <c r="G972" s="946">
        <v>1290</v>
      </c>
      <c r="H972" s="946">
        <v>1316.09</v>
      </c>
    </row>
    <row r="973" spans="1:9" s="26" customFormat="1">
      <c r="A973" s="947">
        <v>4</v>
      </c>
      <c r="B973" s="948">
        <v>220.5</v>
      </c>
      <c r="C973" s="948" t="s">
        <v>175</v>
      </c>
      <c r="D973" s="947" t="s">
        <v>2</v>
      </c>
      <c r="E973" s="950">
        <v>63</v>
      </c>
      <c r="F973" s="950">
        <v>6</v>
      </c>
      <c r="G973" s="951">
        <v>990</v>
      </c>
      <c r="H973" s="951">
        <v>863.61</v>
      </c>
      <c r="I973" s="18"/>
    </row>
    <row r="974" spans="1:9">
      <c r="A974" s="943">
        <v>4</v>
      </c>
      <c r="B974" s="944">
        <v>220.6</v>
      </c>
      <c r="C974" s="944" t="s">
        <v>176</v>
      </c>
      <c r="D974" s="943" t="s">
        <v>17</v>
      </c>
      <c r="E974" s="945">
        <v>260</v>
      </c>
      <c r="F974" s="945">
        <v>3</v>
      </c>
      <c r="G974" s="946">
        <v>500</v>
      </c>
      <c r="H974" s="946">
        <v>488.77</v>
      </c>
    </row>
    <row r="975" spans="1:9" s="26" customFormat="1">
      <c r="A975" s="947">
        <v>4</v>
      </c>
      <c r="B975" s="948">
        <v>220.7</v>
      </c>
      <c r="C975" s="948" t="s">
        <v>177</v>
      </c>
      <c r="D975" s="947" t="s">
        <v>2</v>
      </c>
      <c r="E975" s="949">
        <v>1627</v>
      </c>
      <c r="F975" s="950">
        <v>11</v>
      </c>
      <c r="G975" s="951">
        <v>540</v>
      </c>
      <c r="H975" s="951">
        <v>565.16</v>
      </c>
      <c r="I975" s="18"/>
    </row>
    <row r="976" spans="1:9">
      <c r="A976" s="943">
        <v>4</v>
      </c>
      <c r="B976" s="944">
        <v>220.8</v>
      </c>
      <c r="C976" s="944" t="s">
        <v>178</v>
      </c>
      <c r="D976" s="943" t="s">
        <v>2</v>
      </c>
      <c r="E976" s="945">
        <v>447</v>
      </c>
      <c r="F976" s="945">
        <v>5</v>
      </c>
      <c r="G976" s="946">
        <v>1000</v>
      </c>
      <c r="H976" s="946">
        <v>974.57</v>
      </c>
    </row>
    <row r="977" spans="1:9" s="26" customFormat="1">
      <c r="A977" s="947">
        <v>4</v>
      </c>
      <c r="B977" s="948">
        <v>221</v>
      </c>
      <c r="C977" s="948" t="s">
        <v>180</v>
      </c>
      <c r="D977" s="947" t="s">
        <v>2</v>
      </c>
      <c r="E977" s="949">
        <v>1003</v>
      </c>
      <c r="F977" s="950">
        <v>9</v>
      </c>
      <c r="G977" s="951">
        <v>1200</v>
      </c>
      <c r="H977" s="951">
        <v>1093.55</v>
      </c>
      <c r="I977" s="18"/>
    </row>
    <row r="978" spans="1:9">
      <c r="A978" s="943">
        <v>4</v>
      </c>
      <c r="B978" s="944">
        <v>221.1</v>
      </c>
      <c r="C978" s="944" t="s">
        <v>1300</v>
      </c>
      <c r="D978" s="943" t="s">
        <v>2</v>
      </c>
      <c r="E978" s="945">
        <v>563</v>
      </c>
      <c r="F978" s="945">
        <v>4</v>
      </c>
      <c r="G978" s="946">
        <v>850</v>
      </c>
      <c r="H978" s="946">
        <v>906.07</v>
      </c>
    </row>
    <row r="979" spans="1:9" s="26" customFormat="1">
      <c r="A979" s="947">
        <v>4</v>
      </c>
      <c r="B979" s="948">
        <v>222</v>
      </c>
      <c r="C979" s="948" t="s">
        <v>181</v>
      </c>
      <c r="D979" s="947" t="s">
        <v>2</v>
      </c>
      <c r="E979" s="949">
        <v>1826</v>
      </c>
      <c r="F979" s="950">
        <v>4</v>
      </c>
      <c r="G979" s="951">
        <v>800</v>
      </c>
      <c r="H979" s="951">
        <v>818.33</v>
      </c>
      <c r="I979" s="18"/>
    </row>
    <row r="980" spans="1:9">
      <c r="A980" s="943">
        <v>4</v>
      </c>
      <c r="B980" s="944">
        <v>222.1</v>
      </c>
      <c r="C980" s="944" t="s">
        <v>182</v>
      </c>
      <c r="D980" s="943" t="s">
        <v>2</v>
      </c>
      <c r="E980" s="952">
        <v>2053</v>
      </c>
      <c r="F980" s="945">
        <v>10</v>
      </c>
      <c r="G980" s="946">
        <v>1150</v>
      </c>
      <c r="H980" s="946">
        <v>1135.43</v>
      </c>
    </row>
    <row r="981" spans="1:9" s="26" customFormat="1">
      <c r="A981" s="947">
        <v>4</v>
      </c>
      <c r="B981" s="948">
        <v>222.3</v>
      </c>
      <c r="C981" s="948" t="s">
        <v>29</v>
      </c>
      <c r="D981" s="947" t="s">
        <v>2</v>
      </c>
      <c r="E981" s="949">
        <v>1793</v>
      </c>
      <c r="F981" s="950">
        <v>5</v>
      </c>
      <c r="G981" s="951">
        <v>1195</v>
      </c>
      <c r="H981" s="951">
        <v>1076.95</v>
      </c>
      <c r="I981" s="18"/>
    </row>
    <row r="982" spans="1:9">
      <c r="A982" s="943">
        <v>4</v>
      </c>
      <c r="B982" s="944">
        <v>223.1</v>
      </c>
      <c r="C982" s="944" t="s">
        <v>184</v>
      </c>
      <c r="D982" s="943" t="s">
        <v>2</v>
      </c>
      <c r="E982" s="945">
        <v>2</v>
      </c>
      <c r="F982" s="945">
        <v>1</v>
      </c>
      <c r="G982" s="946">
        <v>90</v>
      </c>
      <c r="H982" s="946">
        <v>95</v>
      </c>
    </row>
    <row r="983" spans="1:9" s="26" customFormat="1">
      <c r="A983" s="947">
        <v>4</v>
      </c>
      <c r="B983" s="948">
        <v>223.2</v>
      </c>
      <c r="C983" s="948" t="s">
        <v>185</v>
      </c>
      <c r="D983" s="947" t="s">
        <v>2</v>
      </c>
      <c r="E983" s="949">
        <v>1452</v>
      </c>
      <c r="F983" s="950">
        <v>8</v>
      </c>
      <c r="G983" s="951">
        <v>50</v>
      </c>
      <c r="H983" s="951">
        <v>47.69</v>
      </c>
      <c r="I983" s="18"/>
    </row>
    <row r="984" spans="1:9">
      <c r="A984" s="943">
        <v>4</v>
      </c>
      <c r="B984" s="944">
        <v>224.12</v>
      </c>
      <c r="C984" s="944" t="s">
        <v>187</v>
      </c>
      <c r="D984" s="943" t="s">
        <v>2</v>
      </c>
      <c r="E984" s="945">
        <v>756</v>
      </c>
      <c r="F984" s="945">
        <v>5</v>
      </c>
      <c r="G984" s="946">
        <v>675</v>
      </c>
      <c r="H984" s="946">
        <v>684.52</v>
      </c>
    </row>
    <row r="985" spans="1:9" s="26" customFormat="1">
      <c r="A985" s="947">
        <v>4</v>
      </c>
      <c r="B985" s="948">
        <v>227.3</v>
      </c>
      <c r="C985" s="948" t="s">
        <v>189</v>
      </c>
      <c r="D985" s="947" t="s">
        <v>4</v>
      </c>
      <c r="E985" s="949">
        <v>4324</v>
      </c>
      <c r="F985" s="950">
        <v>11</v>
      </c>
      <c r="G985" s="951">
        <v>305</v>
      </c>
      <c r="H985" s="951">
        <v>330.86</v>
      </c>
      <c r="I985" s="18"/>
    </row>
    <row r="986" spans="1:9">
      <c r="A986" s="943">
        <v>4</v>
      </c>
      <c r="B986" s="944">
        <v>227.31</v>
      </c>
      <c r="C986" s="944" t="s">
        <v>190</v>
      </c>
      <c r="D986" s="943" t="s">
        <v>17</v>
      </c>
      <c r="E986" s="952">
        <v>40270</v>
      </c>
      <c r="F986" s="945">
        <v>10</v>
      </c>
      <c r="G986" s="946">
        <v>12.63</v>
      </c>
      <c r="H986" s="946">
        <v>12</v>
      </c>
    </row>
    <row r="987" spans="1:9" s="26" customFormat="1">
      <c r="A987" s="947">
        <v>4</v>
      </c>
      <c r="B987" s="948">
        <v>227.4</v>
      </c>
      <c r="C987" s="948" t="s">
        <v>191</v>
      </c>
      <c r="D987" s="947" t="s">
        <v>3</v>
      </c>
      <c r="E987" s="950">
        <v>768</v>
      </c>
      <c r="F987" s="950">
        <v>6</v>
      </c>
      <c r="G987" s="951">
        <v>139</v>
      </c>
      <c r="H987" s="951">
        <v>130.35</v>
      </c>
      <c r="I987" s="18"/>
    </row>
    <row r="988" spans="1:9">
      <c r="A988" s="943">
        <v>4</v>
      </c>
      <c r="B988" s="944">
        <v>234.12</v>
      </c>
      <c r="C988" s="944" t="s">
        <v>195</v>
      </c>
      <c r="D988" s="943" t="s">
        <v>17</v>
      </c>
      <c r="E988" s="952">
        <v>62920</v>
      </c>
      <c r="F988" s="945">
        <v>6</v>
      </c>
      <c r="G988" s="946">
        <v>142.5</v>
      </c>
      <c r="H988" s="946">
        <v>139.93</v>
      </c>
    </row>
    <row r="989" spans="1:9" s="26" customFormat="1">
      <c r="A989" s="947">
        <v>4</v>
      </c>
      <c r="B989" s="948">
        <v>234.15</v>
      </c>
      <c r="C989" s="948" t="s">
        <v>196</v>
      </c>
      <c r="D989" s="947" t="s">
        <v>17</v>
      </c>
      <c r="E989" s="949">
        <v>15100</v>
      </c>
      <c r="F989" s="950">
        <v>4</v>
      </c>
      <c r="G989" s="951">
        <v>145</v>
      </c>
      <c r="H989" s="951">
        <v>153.32</v>
      </c>
      <c r="I989" s="18"/>
    </row>
    <row r="990" spans="1:9">
      <c r="A990" s="943">
        <v>4</v>
      </c>
      <c r="B990" s="944">
        <v>234.18</v>
      </c>
      <c r="C990" s="944" t="s">
        <v>197</v>
      </c>
      <c r="D990" s="943" t="s">
        <v>17</v>
      </c>
      <c r="E990" s="952">
        <v>14750</v>
      </c>
      <c r="F990" s="945">
        <v>3</v>
      </c>
      <c r="G990" s="946">
        <v>135</v>
      </c>
      <c r="H990" s="946">
        <v>134.36000000000001</v>
      </c>
    </row>
    <row r="991" spans="1:9" s="26" customFormat="1">
      <c r="A991" s="947">
        <v>4</v>
      </c>
      <c r="B991" s="948">
        <v>234.24</v>
      </c>
      <c r="C991" s="948" t="s">
        <v>198</v>
      </c>
      <c r="D991" s="947" t="s">
        <v>17</v>
      </c>
      <c r="E991" s="949">
        <v>4520</v>
      </c>
      <c r="F991" s="950">
        <v>3</v>
      </c>
      <c r="G991" s="951">
        <v>250</v>
      </c>
      <c r="H991" s="951">
        <v>224.62</v>
      </c>
      <c r="I991" s="18"/>
    </row>
    <row r="992" spans="1:9">
      <c r="A992" s="943">
        <v>4</v>
      </c>
      <c r="B992" s="944">
        <v>234.3</v>
      </c>
      <c r="C992" s="944" t="s">
        <v>199</v>
      </c>
      <c r="D992" s="943" t="s">
        <v>17</v>
      </c>
      <c r="E992" s="952">
        <v>4625</v>
      </c>
      <c r="F992" s="945">
        <v>1</v>
      </c>
      <c r="G992" s="946">
        <v>315</v>
      </c>
      <c r="H992" s="946">
        <v>309</v>
      </c>
    </row>
    <row r="993" spans="1:9" s="26" customFormat="1">
      <c r="A993" s="947">
        <v>4</v>
      </c>
      <c r="B993" s="948">
        <v>234.36</v>
      </c>
      <c r="C993" s="948" t="s">
        <v>200</v>
      </c>
      <c r="D993" s="947" t="s">
        <v>17</v>
      </c>
      <c r="E993" s="949">
        <v>7200</v>
      </c>
      <c r="F993" s="950">
        <v>1</v>
      </c>
      <c r="G993" s="951">
        <v>355</v>
      </c>
      <c r="H993" s="951">
        <v>348.75</v>
      </c>
      <c r="I993" s="18"/>
    </row>
    <row r="994" spans="1:9">
      <c r="A994" s="943">
        <v>4</v>
      </c>
      <c r="B994" s="944">
        <v>235.12</v>
      </c>
      <c r="C994" s="944" t="s">
        <v>201</v>
      </c>
      <c r="D994" s="943" t="s">
        <v>2</v>
      </c>
      <c r="E994" s="945">
        <v>18</v>
      </c>
      <c r="F994" s="945">
        <v>2</v>
      </c>
      <c r="G994" s="946">
        <v>2350</v>
      </c>
      <c r="H994" s="946">
        <v>2258.33</v>
      </c>
    </row>
    <row r="995" spans="1:9" s="26" customFormat="1">
      <c r="A995" s="947">
        <v>4</v>
      </c>
      <c r="B995" s="948">
        <v>235.15</v>
      </c>
      <c r="C995" s="948" t="s">
        <v>202</v>
      </c>
      <c r="D995" s="947" t="s">
        <v>2</v>
      </c>
      <c r="E995" s="950">
        <v>6</v>
      </c>
      <c r="F995" s="950">
        <v>1</v>
      </c>
      <c r="G995" s="951">
        <v>3275</v>
      </c>
      <c r="H995" s="951">
        <v>2816.67</v>
      </c>
      <c r="I995" s="18"/>
    </row>
    <row r="996" spans="1:9">
      <c r="A996" s="943">
        <v>4</v>
      </c>
      <c r="B996" s="944">
        <v>235.18</v>
      </c>
      <c r="C996" s="944" t="s">
        <v>203</v>
      </c>
      <c r="D996" s="943" t="s">
        <v>2</v>
      </c>
      <c r="E996" s="945">
        <v>32</v>
      </c>
      <c r="F996" s="945">
        <v>1</v>
      </c>
      <c r="G996" s="946">
        <v>3450</v>
      </c>
      <c r="H996" s="946">
        <v>3475</v>
      </c>
    </row>
    <row r="997" spans="1:9" s="26" customFormat="1">
      <c r="A997" s="947">
        <v>4</v>
      </c>
      <c r="B997" s="948">
        <v>235.24</v>
      </c>
      <c r="C997" s="948" t="s">
        <v>204</v>
      </c>
      <c r="D997" s="947" t="s">
        <v>2</v>
      </c>
      <c r="E997" s="950">
        <v>3</v>
      </c>
      <c r="F997" s="950">
        <v>1</v>
      </c>
      <c r="G997" s="951">
        <v>2800</v>
      </c>
      <c r="H997" s="951">
        <v>3300</v>
      </c>
      <c r="I997" s="18"/>
    </row>
    <row r="998" spans="1:9">
      <c r="A998" s="943">
        <v>4</v>
      </c>
      <c r="B998" s="944">
        <v>238.1</v>
      </c>
      <c r="C998" s="944" t="s">
        <v>207</v>
      </c>
      <c r="D998" s="943" t="s">
        <v>17</v>
      </c>
      <c r="E998" s="945">
        <v>855</v>
      </c>
      <c r="F998" s="945">
        <v>3</v>
      </c>
      <c r="G998" s="946">
        <v>300</v>
      </c>
      <c r="H998" s="946">
        <v>272.08999999999997</v>
      </c>
    </row>
    <row r="999" spans="1:9" s="26" customFormat="1">
      <c r="A999" s="947">
        <v>4</v>
      </c>
      <c r="B999" s="948">
        <v>238.12</v>
      </c>
      <c r="C999" s="948" t="s">
        <v>208</v>
      </c>
      <c r="D999" s="947" t="s">
        <v>17</v>
      </c>
      <c r="E999" s="949">
        <v>1550</v>
      </c>
      <c r="F999" s="950">
        <v>3</v>
      </c>
      <c r="G999" s="951">
        <v>250</v>
      </c>
      <c r="H999" s="951">
        <v>254.13</v>
      </c>
      <c r="I999" s="18"/>
    </row>
    <row r="1000" spans="1:9">
      <c r="A1000" s="943">
        <v>4</v>
      </c>
      <c r="B1000" s="944">
        <v>241.12</v>
      </c>
      <c r="C1000" s="944" t="s">
        <v>3996</v>
      </c>
      <c r="D1000" s="943" t="s">
        <v>17</v>
      </c>
      <c r="E1000" s="945">
        <v>360</v>
      </c>
      <c r="F1000" s="945">
        <v>2</v>
      </c>
      <c r="G1000" s="946">
        <v>186.5</v>
      </c>
      <c r="H1000" s="946">
        <v>170.5</v>
      </c>
    </row>
    <row r="1001" spans="1:9" s="26" customFormat="1">
      <c r="A1001" s="947">
        <v>4</v>
      </c>
      <c r="B1001" s="948">
        <v>241.18</v>
      </c>
      <c r="C1001" s="948" t="s">
        <v>3998</v>
      </c>
      <c r="D1001" s="947" t="s">
        <v>17</v>
      </c>
      <c r="E1001" s="949">
        <v>2500</v>
      </c>
      <c r="F1001" s="950">
        <v>1</v>
      </c>
      <c r="G1001" s="951">
        <v>174</v>
      </c>
      <c r="H1001" s="951">
        <v>172.6</v>
      </c>
      <c r="I1001" s="18"/>
    </row>
    <row r="1002" spans="1:9">
      <c r="A1002" s="943">
        <v>4</v>
      </c>
      <c r="B1002" s="944">
        <v>242.12</v>
      </c>
      <c r="C1002" s="944" t="s">
        <v>219</v>
      </c>
      <c r="D1002" s="943" t="s">
        <v>2</v>
      </c>
      <c r="E1002" s="945">
        <v>18</v>
      </c>
      <c r="F1002" s="945">
        <v>2</v>
      </c>
      <c r="G1002" s="946">
        <v>1815</v>
      </c>
      <c r="H1002" s="946">
        <v>1903</v>
      </c>
    </row>
    <row r="1003" spans="1:9" s="26" customFormat="1">
      <c r="A1003" s="947">
        <v>4</v>
      </c>
      <c r="B1003" s="948">
        <v>242.18</v>
      </c>
      <c r="C1003" s="948" t="s">
        <v>221</v>
      </c>
      <c r="D1003" s="947" t="s">
        <v>2</v>
      </c>
      <c r="E1003" s="950">
        <v>6</v>
      </c>
      <c r="F1003" s="950">
        <v>1</v>
      </c>
      <c r="G1003" s="951">
        <v>2895</v>
      </c>
      <c r="H1003" s="951">
        <v>2695.83</v>
      </c>
      <c r="I1003" s="18"/>
    </row>
    <row r="1004" spans="1:9">
      <c r="A1004" s="943">
        <v>4</v>
      </c>
      <c r="B1004" s="944">
        <v>242.24</v>
      </c>
      <c r="C1004" s="944" t="s">
        <v>222</v>
      </c>
      <c r="D1004" s="943" t="s">
        <v>2</v>
      </c>
      <c r="E1004" s="945">
        <v>9</v>
      </c>
      <c r="F1004" s="945">
        <v>2</v>
      </c>
      <c r="G1004" s="946">
        <v>3320</v>
      </c>
      <c r="H1004" s="946">
        <v>3087.78</v>
      </c>
    </row>
    <row r="1005" spans="1:9" s="26" customFormat="1">
      <c r="A1005" s="947">
        <v>4</v>
      </c>
      <c r="B1005" s="948">
        <v>243.12</v>
      </c>
      <c r="C1005" s="948" t="s">
        <v>226</v>
      </c>
      <c r="D1005" s="947" t="s">
        <v>17</v>
      </c>
      <c r="E1005" s="949">
        <v>5520</v>
      </c>
      <c r="F1005" s="950">
        <v>1</v>
      </c>
      <c r="G1005" s="951">
        <v>152.5</v>
      </c>
      <c r="H1005" s="951">
        <v>154.11000000000001</v>
      </c>
      <c r="I1005" s="18"/>
    </row>
    <row r="1006" spans="1:9">
      <c r="A1006" s="943">
        <v>4</v>
      </c>
      <c r="B1006" s="944">
        <v>243.15</v>
      </c>
      <c r="C1006" s="944" t="s">
        <v>1311</v>
      </c>
      <c r="D1006" s="943" t="s">
        <v>17</v>
      </c>
      <c r="E1006" s="952">
        <v>2460</v>
      </c>
      <c r="F1006" s="945">
        <v>1</v>
      </c>
      <c r="G1006" s="946">
        <v>157.5</v>
      </c>
      <c r="H1006" s="946">
        <v>152.87</v>
      </c>
    </row>
    <row r="1007" spans="1:9" s="26" customFormat="1">
      <c r="A1007" s="947">
        <v>4</v>
      </c>
      <c r="B1007" s="948">
        <v>243.18</v>
      </c>
      <c r="C1007" s="948" t="s">
        <v>227</v>
      </c>
      <c r="D1007" s="947" t="s">
        <v>17</v>
      </c>
      <c r="E1007" s="950">
        <v>250</v>
      </c>
      <c r="F1007" s="950">
        <v>1</v>
      </c>
      <c r="G1007" s="951">
        <v>189</v>
      </c>
      <c r="H1007" s="951">
        <v>183.6</v>
      </c>
      <c r="I1007" s="18"/>
    </row>
    <row r="1008" spans="1:9">
      <c r="A1008" s="943">
        <v>4</v>
      </c>
      <c r="B1008" s="944">
        <v>243.24</v>
      </c>
      <c r="C1008" s="944" t="s">
        <v>228</v>
      </c>
      <c r="D1008" s="943" t="s">
        <v>17</v>
      </c>
      <c r="E1008" s="945">
        <v>975</v>
      </c>
      <c r="F1008" s="945">
        <v>2</v>
      </c>
      <c r="G1008" s="946">
        <v>227</v>
      </c>
      <c r="H1008" s="946">
        <v>261.56</v>
      </c>
    </row>
    <row r="1009" spans="1:9" s="26" customFormat="1">
      <c r="A1009" s="947">
        <v>4</v>
      </c>
      <c r="B1009" s="948">
        <v>244.12</v>
      </c>
      <c r="C1009" s="948" t="s">
        <v>229</v>
      </c>
      <c r="D1009" s="947" t="s">
        <v>17</v>
      </c>
      <c r="E1009" s="949">
        <v>18560</v>
      </c>
      <c r="F1009" s="950">
        <v>4</v>
      </c>
      <c r="G1009" s="951">
        <v>121</v>
      </c>
      <c r="H1009" s="951">
        <v>122.67</v>
      </c>
      <c r="I1009" s="18"/>
    </row>
    <row r="1010" spans="1:9">
      <c r="A1010" s="943">
        <v>4</v>
      </c>
      <c r="B1010" s="944">
        <v>244.15</v>
      </c>
      <c r="C1010" s="944" t="s">
        <v>230</v>
      </c>
      <c r="D1010" s="943" t="s">
        <v>17</v>
      </c>
      <c r="E1010" s="952">
        <v>5520</v>
      </c>
      <c r="F1010" s="945">
        <v>1</v>
      </c>
      <c r="G1010" s="946">
        <v>151.31</v>
      </c>
      <c r="H1010" s="946">
        <v>153.27000000000001</v>
      </c>
    </row>
    <row r="1011" spans="1:9" s="26" customFormat="1">
      <c r="A1011" s="947">
        <v>4</v>
      </c>
      <c r="B1011" s="948">
        <v>244.18</v>
      </c>
      <c r="C1011" s="948" t="s">
        <v>231</v>
      </c>
      <c r="D1011" s="947" t="s">
        <v>17</v>
      </c>
      <c r="E1011" s="949">
        <v>6600</v>
      </c>
      <c r="F1011" s="950">
        <v>1</v>
      </c>
      <c r="G1011" s="951">
        <v>156</v>
      </c>
      <c r="H1011" s="951">
        <v>162.59</v>
      </c>
      <c r="I1011" s="18"/>
    </row>
    <row r="1012" spans="1:9">
      <c r="A1012" s="943">
        <v>4</v>
      </c>
      <c r="B1012" s="944">
        <v>244.24</v>
      </c>
      <c r="C1012" s="944" t="s">
        <v>232</v>
      </c>
      <c r="D1012" s="943" t="s">
        <v>17</v>
      </c>
      <c r="E1012" s="952">
        <v>2580</v>
      </c>
      <c r="F1012" s="945">
        <v>1</v>
      </c>
      <c r="G1012" s="946">
        <v>222.5</v>
      </c>
      <c r="H1012" s="946">
        <v>225.26</v>
      </c>
    </row>
    <row r="1013" spans="1:9" s="26" customFormat="1">
      <c r="A1013" s="947">
        <v>4</v>
      </c>
      <c r="B1013" s="948">
        <v>258</v>
      </c>
      <c r="C1013" s="948" t="s">
        <v>238</v>
      </c>
      <c r="D1013" s="947" t="s">
        <v>1</v>
      </c>
      <c r="E1013" s="950">
        <v>945</v>
      </c>
      <c r="F1013" s="950">
        <v>4</v>
      </c>
      <c r="G1013" s="951">
        <v>102</v>
      </c>
      <c r="H1013" s="951">
        <v>111.05</v>
      </c>
      <c r="I1013" s="18"/>
    </row>
    <row r="1014" spans="1:9">
      <c r="A1014" s="943">
        <v>4</v>
      </c>
      <c r="B1014" s="944">
        <v>269.06</v>
      </c>
      <c r="C1014" s="944" t="s">
        <v>240</v>
      </c>
      <c r="D1014" s="943" t="s">
        <v>17</v>
      </c>
      <c r="E1014" s="945">
        <v>60</v>
      </c>
      <c r="F1014" s="945">
        <v>1</v>
      </c>
      <c r="G1014" s="946">
        <v>112.5</v>
      </c>
      <c r="H1014" s="946">
        <v>89.25</v>
      </c>
    </row>
    <row r="1015" spans="1:9" s="26" customFormat="1">
      <c r="A1015" s="947">
        <v>4</v>
      </c>
      <c r="B1015" s="948">
        <v>280</v>
      </c>
      <c r="C1015" s="948" t="s">
        <v>244</v>
      </c>
      <c r="D1015" s="947" t="s">
        <v>1</v>
      </c>
      <c r="E1015" s="950">
        <v>30</v>
      </c>
      <c r="F1015" s="950">
        <v>1</v>
      </c>
      <c r="G1015" s="951">
        <v>141.43</v>
      </c>
      <c r="H1015" s="951">
        <v>133.22</v>
      </c>
      <c r="I1015" s="18"/>
    </row>
    <row r="1016" spans="1:9">
      <c r="A1016" s="943">
        <v>4</v>
      </c>
      <c r="B1016" s="944">
        <v>302.06</v>
      </c>
      <c r="C1016" s="944" t="s">
        <v>247</v>
      </c>
      <c r="D1016" s="943" t="s">
        <v>17</v>
      </c>
      <c r="E1016" s="952">
        <v>1780</v>
      </c>
      <c r="F1016" s="945">
        <v>2</v>
      </c>
      <c r="G1016" s="946">
        <v>349.13</v>
      </c>
      <c r="H1016" s="946">
        <v>393.78</v>
      </c>
    </row>
    <row r="1017" spans="1:9" s="26" customFormat="1">
      <c r="A1017" s="947">
        <v>4</v>
      </c>
      <c r="B1017" s="948">
        <v>302.08</v>
      </c>
      <c r="C1017" s="948" t="s">
        <v>248</v>
      </c>
      <c r="D1017" s="947" t="s">
        <v>17</v>
      </c>
      <c r="E1017" s="949">
        <v>4800</v>
      </c>
      <c r="F1017" s="950">
        <v>1</v>
      </c>
      <c r="G1017" s="951">
        <v>210.38</v>
      </c>
      <c r="H1017" s="951">
        <v>232.6</v>
      </c>
      <c r="I1017" s="18"/>
    </row>
    <row r="1018" spans="1:9">
      <c r="A1018" s="943">
        <v>4</v>
      </c>
      <c r="B1018" s="944">
        <v>302.12</v>
      </c>
      <c r="C1018" s="944" t="s">
        <v>250</v>
      </c>
      <c r="D1018" s="943" t="s">
        <v>17</v>
      </c>
      <c r="E1018" s="952">
        <v>28125</v>
      </c>
      <c r="F1018" s="945">
        <v>3</v>
      </c>
      <c r="G1018" s="946">
        <v>230</v>
      </c>
      <c r="H1018" s="946">
        <v>223.56</v>
      </c>
    </row>
    <row r="1019" spans="1:9" s="26" customFormat="1">
      <c r="A1019" s="947">
        <v>4</v>
      </c>
      <c r="B1019" s="948">
        <v>303.06</v>
      </c>
      <c r="C1019" s="948" t="s">
        <v>251</v>
      </c>
      <c r="D1019" s="947" t="s">
        <v>17</v>
      </c>
      <c r="E1019" s="949">
        <v>1260</v>
      </c>
      <c r="F1019" s="950">
        <v>6</v>
      </c>
      <c r="G1019" s="951">
        <v>200</v>
      </c>
      <c r="H1019" s="951">
        <v>212.67</v>
      </c>
      <c r="I1019" s="18"/>
    </row>
    <row r="1020" spans="1:9">
      <c r="A1020" s="943">
        <v>4</v>
      </c>
      <c r="B1020" s="944">
        <v>303.08</v>
      </c>
      <c r="C1020" s="944" t="s">
        <v>252</v>
      </c>
      <c r="D1020" s="943" t="s">
        <v>17</v>
      </c>
      <c r="E1020" s="945">
        <v>40</v>
      </c>
      <c r="F1020" s="945">
        <v>1</v>
      </c>
      <c r="G1020" s="946">
        <v>235</v>
      </c>
      <c r="H1020" s="946">
        <v>216.25</v>
      </c>
    </row>
    <row r="1021" spans="1:9" s="26" customFormat="1">
      <c r="A1021" s="947">
        <v>4</v>
      </c>
      <c r="B1021" s="948">
        <v>303.10000000000002</v>
      </c>
      <c r="C1021" s="948" t="s">
        <v>253</v>
      </c>
      <c r="D1021" s="947" t="s">
        <v>17</v>
      </c>
      <c r="E1021" s="950">
        <v>150</v>
      </c>
      <c r="F1021" s="950">
        <v>1</v>
      </c>
      <c r="G1021" s="951">
        <v>225</v>
      </c>
      <c r="H1021" s="951">
        <v>172.5</v>
      </c>
      <c r="I1021" s="18"/>
    </row>
    <row r="1022" spans="1:9">
      <c r="A1022" s="943">
        <v>4</v>
      </c>
      <c r="B1022" s="944">
        <v>303.12</v>
      </c>
      <c r="C1022" s="944" t="s">
        <v>254</v>
      </c>
      <c r="D1022" s="943" t="s">
        <v>17</v>
      </c>
      <c r="E1022" s="952">
        <v>10388</v>
      </c>
      <c r="F1022" s="945">
        <v>5</v>
      </c>
      <c r="G1022" s="946">
        <v>270</v>
      </c>
      <c r="H1022" s="946">
        <v>257</v>
      </c>
    </row>
    <row r="1023" spans="1:9" s="26" customFormat="1">
      <c r="A1023" s="947">
        <v>4</v>
      </c>
      <c r="B1023" s="948">
        <v>309</v>
      </c>
      <c r="C1023" s="948" t="s">
        <v>256</v>
      </c>
      <c r="D1023" s="947" t="s">
        <v>100</v>
      </c>
      <c r="E1023" s="949">
        <v>65290</v>
      </c>
      <c r="F1023" s="950">
        <v>7</v>
      </c>
      <c r="G1023" s="951">
        <v>10.5</v>
      </c>
      <c r="H1023" s="951">
        <v>11.04</v>
      </c>
      <c r="I1023" s="18"/>
    </row>
    <row r="1024" spans="1:9">
      <c r="A1024" s="943">
        <v>4</v>
      </c>
      <c r="B1024" s="944">
        <v>325.24</v>
      </c>
      <c r="C1024" s="944" t="s">
        <v>2275</v>
      </c>
      <c r="D1024" s="943" t="s">
        <v>17</v>
      </c>
      <c r="E1024" s="945">
        <v>300</v>
      </c>
      <c r="F1024" s="945">
        <v>1</v>
      </c>
      <c r="G1024" s="946">
        <v>253.5</v>
      </c>
      <c r="H1024" s="946">
        <v>235.67</v>
      </c>
    </row>
    <row r="1025" spans="1:9" s="26" customFormat="1">
      <c r="A1025" s="947">
        <v>4</v>
      </c>
      <c r="B1025" s="948">
        <v>336.1</v>
      </c>
      <c r="C1025" s="948" t="s">
        <v>258</v>
      </c>
      <c r="D1025" s="947" t="s">
        <v>17</v>
      </c>
      <c r="E1025" s="950">
        <v>360</v>
      </c>
      <c r="F1025" s="950">
        <v>1</v>
      </c>
      <c r="G1025" s="951">
        <v>137.5</v>
      </c>
      <c r="H1025" s="951">
        <v>130.16999999999999</v>
      </c>
      <c r="I1025" s="18"/>
    </row>
    <row r="1026" spans="1:9">
      <c r="A1026" s="943">
        <v>4</v>
      </c>
      <c r="B1026" s="944">
        <v>347.1</v>
      </c>
      <c r="C1026" s="944" t="s">
        <v>260</v>
      </c>
      <c r="D1026" s="943" t="s">
        <v>17</v>
      </c>
      <c r="E1026" s="952">
        <v>8700</v>
      </c>
      <c r="F1026" s="945">
        <v>3</v>
      </c>
      <c r="G1026" s="946">
        <v>115</v>
      </c>
      <c r="H1026" s="946">
        <v>111.28</v>
      </c>
    </row>
    <row r="1027" spans="1:9" s="26" customFormat="1">
      <c r="A1027" s="947">
        <v>4</v>
      </c>
      <c r="B1027" s="948">
        <v>347.15</v>
      </c>
      <c r="C1027" s="948" t="s">
        <v>1329</v>
      </c>
      <c r="D1027" s="947" t="s">
        <v>17</v>
      </c>
      <c r="E1027" s="950">
        <v>250</v>
      </c>
      <c r="F1027" s="950">
        <v>1</v>
      </c>
      <c r="G1027" s="951">
        <v>175</v>
      </c>
      <c r="H1027" s="951">
        <v>177.35</v>
      </c>
      <c r="I1027" s="18"/>
    </row>
    <row r="1028" spans="1:9">
      <c r="A1028" s="943">
        <v>4</v>
      </c>
      <c r="B1028" s="944">
        <v>347.2</v>
      </c>
      <c r="C1028" s="944" t="s">
        <v>261</v>
      </c>
      <c r="D1028" s="943" t="s">
        <v>17</v>
      </c>
      <c r="E1028" s="945">
        <v>900</v>
      </c>
      <c r="F1028" s="945">
        <v>1</v>
      </c>
      <c r="G1028" s="946">
        <v>135</v>
      </c>
      <c r="H1028" s="946">
        <v>133.75</v>
      </c>
    </row>
    <row r="1029" spans="1:9" s="26" customFormat="1">
      <c r="A1029" s="947">
        <v>4</v>
      </c>
      <c r="B1029" s="948">
        <v>350.04</v>
      </c>
      <c r="C1029" s="948" t="s">
        <v>263</v>
      </c>
      <c r="D1029" s="947" t="s">
        <v>2</v>
      </c>
      <c r="E1029" s="950">
        <v>2</v>
      </c>
      <c r="F1029" s="950">
        <v>1</v>
      </c>
      <c r="G1029" s="951">
        <v>3000</v>
      </c>
      <c r="H1029" s="951">
        <v>3000</v>
      </c>
      <c r="I1029" s="18"/>
    </row>
    <row r="1030" spans="1:9">
      <c r="A1030" s="943">
        <v>4</v>
      </c>
      <c r="B1030" s="944">
        <v>350.06</v>
      </c>
      <c r="C1030" s="944" t="s">
        <v>264</v>
      </c>
      <c r="D1030" s="943" t="s">
        <v>2</v>
      </c>
      <c r="E1030" s="945">
        <v>120</v>
      </c>
      <c r="F1030" s="945">
        <v>7</v>
      </c>
      <c r="G1030" s="946">
        <v>3500</v>
      </c>
      <c r="H1030" s="946">
        <v>3718.46</v>
      </c>
    </row>
    <row r="1031" spans="1:9" s="26" customFormat="1">
      <c r="A1031" s="947">
        <v>4</v>
      </c>
      <c r="B1031" s="948">
        <v>350.08</v>
      </c>
      <c r="C1031" s="948" t="s">
        <v>265</v>
      </c>
      <c r="D1031" s="947" t="s">
        <v>2</v>
      </c>
      <c r="E1031" s="950">
        <v>140</v>
      </c>
      <c r="F1031" s="950">
        <v>1</v>
      </c>
      <c r="G1031" s="951">
        <v>4000</v>
      </c>
      <c r="H1031" s="951">
        <v>3925</v>
      </c>
      <c r="I1031" s="18"/>
    </row>
    <row r="1032" spans="1:9">
      <c r="A1032" s="943">
        <v>4</v>
      </c>
      <c r="B1032" s="944">
        <v>350.1</v>
      </c>
      <c r="C1032" s="944" t="s">
        <v>266</v>
      </c>
      <c r="D1032" s="943" t="s">
        <v>2</v>
      </c>
      <c r="E1032" s="945">
        <v>12</v>
      </c>
      <c r="F1032" s="945">
        <v>2</v>
      </c>
      <c r="G1032" s="946">
        <v>6500</v>
      </c>
      <c r="H1032" s="946">
        <v>6416.67</v>
      </c>
    </row>
    <row r="1033" spans="1:9" s="26" customFormat="1">
      <c r="A1033" s="947">
        <v>4</v>
      </c>
      <c r="B1033" s="948">
        <v>350.12</v>
      </c>
      <c r="C1033" s="948" t="s">
        <v>267</v>
      </c>
      <c r="D1033" s="947" t="s">
        <v>2</v>
      </c>
      <c r="E1033" s="950">
        <v>307</v>
      </c>
      <c r="F1033" s="950">
        <v>5</v>
      </c>
      <c r="G1033" s="951">
        <v>6500</v>
      </c>
      <c r="H1033" s="951">
        <v>6798.73</v>
      </c>
      <c r="I1033" s="18"/>
    </row>
    <row r="1034" spans="1:9">
      <c r="A1034" s="943">
        <v>4</v>
      </c>
      <c r="B1034" s="944">
        <v>357.06</v>
      </c>
      <c r="C1034" s="944" t="s">
        <v>268</v>
      </c>
      <c r="D1034" s="943" t="s">
        <v>2</v>
      </c>
      <c r="E1034" s="945">
        <v>30</v>
      </c>
      <c r="F1034" s="945">
        <v>1</v>
      </c>
      <c r="G1034" s="946">
        <v>635</v>
      </c>
      <c r="H1034" s="946">
        <v>647.83000000000004</v>
      </c>
    </row>
    <row r="1035" spans="1:9" s="26" customFormat="1">
      <c r="A1035" s="947">
        <v>4</v>
      </c>
      <c r="B1035" s="948">
        <v>357.08</v>
      </c>
      <c r="C1035" s="948" t="s">
        <v>269</v>
      </c>
      <c r="D1035" s="947" t="s">
        <v>2</v>
      </c>
      <c r="E1035" s="950">
        <v>5</v>
      </c>
      <c r="F1035" s="950">
        <v>2</v>
      </c>
      <c r="G1035" s="951">
        <v>890</v>
      </c>
      <c r="H1035" s="951">
        <v>868</v>
      </c>
      <c r="I1035" s="18"/>
    </row>
    <row r="1036" spans="1:9">
      <c r="A1036" s="943">
        <v>4</v>
      </c>
      <c r="B1036" s="944">
        <v>357.12</v>
      </c>
      <c r="C1036" s="944" t="s">
        <v>271</v>
      </c>
      <c r="D1036" s="943" t="s">
        <v>2</v>
      </c>
      <c r="E1036" s="945">
        <v>60</v>
      </c>
      <c r="F1036" s="945">
        <v>1</v>
      </c>
      <c r="G1036" s="946">
        <v>655</v>
      </c>
      <c r="H1036" s="946">
        <v>651.25</v>
      </c>
    </row>
    <row r="1037" spans="1:9" s="26" customFormat="1">
      <c r="A1037" s="947">
        <v>4</v>
      </c>
      <c r="B1037" s="948">
        <v>358</v>
      </c>
      <c r="C1037" s="948" t="s">
        <v>274</v>
      </c>
      <c r="D1037" s="947" t="s">
        <v>2</v>
      </c>
      <c r="E1037" s="949">
        <v>2768</v>
      </c>
      <c r="F1037" s="950">
        <v>12</v>
      </c>
      <c r="G1037" s="951">
        <v>300</v>
      </c>
      <c r="H1037" s="951">
        <v>296.41000000000003</v>
      </c>
      <c r="I1037" s="18"/>
    </row>
    <row r="1038" spans="1:9">
      <c r="A1038" s="943">
        <v>4</v>
      </c>
      <c r="B1038" s="944">
        <v>358.1</v>
      </c>
      <c r="C1038" s="944" t="s">
        <v>275</v>
      </c>
      <c r="D1038" s="943" t="s">
        <v>2</v>
      </c>
      <c r="E1038" s="945">
        <v>7</v>
      </c>
      <c r="F1038" s="945">
        <v>2</v>
      </c>
      <c r="G1038" s="946">
        <v>175</v>
      </c>
      <c r="H1038" s="946">
        <v>176.43</v>
      </c>
    </row>
    <row r="1039" spans="1:9" s="26" customFormat="1">
      <c r="A1039" s="947">
        <v>4</v>
      </c>
      <c r="B1039" s="948">
        <v>363.1</v>
      </c>
      <c r="C1039" s="948" t="s">
        <v>276</v>
      </c>
      <c r="D1039" s="947" t="s">
        <v>2</v>
      </c>
      <c r="E1039" s="950">
        <v>166</v>
      </c>
      <c r="F1039" s="950">
        <v>4</v>
      </c>
      <c r="G1039" s="951">
        <v>1250</v>
      </c>
      <c r="H1039" s="951">
        <v>1260.8900000000001</v>
      </c>
      <c r="I1039" s="18"/>
    </row>
    <row r="1040" spans="1:9">
      <c r="A1040" s="943">
        <v>4</v>
      </c>
      <c r="B1040" s="944">
        <v>363.15</v>
      </c>
      <c r="C1040" s="944" t="s">
        <v>1339</v>
      </c>
      <c r="D1040" s="943" t="s">
        <v>2</v>
      </c>
      <c r="E1040" s="945">
        <v>15</v>
      </c>
      <c r="F1040" s="945">
        <v>1</v>
      </c>
      <c r="G1040" s="946">
        <v>1750</v>
      </c>
      <c r="H1040" s="946">
        <v>1383.33</v>
      </c>
    </row>
    <row r="1041" spans="1:9" s="26" customFormat="1">
      <c r="A1041" s="947">
        <v>4</v>
      </c>
      <c r="B1041" s="948">
        <v>363.2</v>
      </c>
      <c r="C1041" s="948" t="s">
        <v>277</v>
      </c>
      <c r="D1041" s="947" t="s">
        <v>2</v>
      </c>
      <c r="E1041" s="950">
        <v>32</v>
      </c>
      <c r="F1041" s="950">
        <v>2</v>
      </c>
      <c r="G1041" s="951">
        <v>1937.5</v>
      </c>
      <c r="H1041" s="951">
        <v>1495.4</v>
      </c>
      <c r="I1041" s="18"/>
    </row>
    <row r="1042" spans="1:9">
      <c r="A1042" s="943">
        <v>4</v>
      </c>
      <c r="B1042" s="944">
        <v>370.4</v>
      </c>
      <c r="C1042" s="944" t="s">
        <v>283</v>
      </c>
      <c r="D1042" s="943" t="s">
        <v>2</v>
      </c>
      <c r="E1042" s="945">
        <v>6</v>
      </c>
      <c r="F1042" s="945">
        <v>1</v>
      </c>
      <c r="G1042" s="946">
        <v>16750</v>
      </c>
      <c r="H1042" s="946">
        <v>15250</v>
      </c>
    </row>
    <row r="1043" spans="1:9" s="26" customFormat="1">
      <c r="A1043" s="947">
        <v>4</v>
      </c>
      <c r="B1043" s="948">
        <v>371.06</v>
      </c>
      <c r="C1043" s="948" t="s">
        <v>285</v>
      </c>
      <c r="D1043" s="947" t="s">
        <v>2</v>
      </c>
      <c r="E1043" s="950">
        <v>56</v>
      </c>
      <c r="F1043" s="950">
        <v>3</v>
      </c>
      <c r="G1043" s="951">
        <v>677.5</v>
      </c>
      <c r="H1043" s="951">
        <v>667.86</v>
      </c>
      <c r="I1043" s="18"/>
    </row>
    <row r="1044" spans="1:9">
      <c r="A1044" s="943">
        <v>4</v>
      </c>
      <c r="B1044" s="944">
        <v>371.08</v>
      </c>
      <c r="C1044" s="944" t="s">
        <v>286</v>
      </c>
      <c r="D1044" s="943" t="s">
        <v>2</v>
      </c>
      <c r="E1044" s="945">
        <v>63</v>
      </c>
      <c r="F1044" s="945">
        <v>2</v>
      </c>
      <c r="G1044" s="946">
        <v>487.5</v>
      </c>
      <c r="H1044" s="946">
        <v>531.25</v>
      </c>
    </row>
    <row r="1045" spans="1:9" s="26" customFormat="1">
      <c r="A1045" s="947">
        <v>4</v>
      </c>
      <c r="B1045" s="948">
        <v>371.1</v>
      </c>
      <c r="C1045" s="948" t="s">
        <v>2335</v>
      </c>
      <c r="D1045" s="947" t="s">
        <v>2</v>
      </c>
      <c r="E1045" s="950">
        <v>17</v>
      </c>
      <c r="F1045" s="950">
        <v>2</v>
      </c>
      <c r="G1045" s="951">
        <v>1445</v>
      </c>
      <c r="H1045" s="951">
        <v>1906.25</v>
      </c>
      <c r="I1045" s="18"/>
    </row>
    <row r="1046" spans="1:9">
      <c r="A1046" s="943">
        <v>4</v>
      </c>
      <c r="B1046" s="944">
        <v>371.12</v>
      </c>
      <c r="C1046" s="944" t="s">
        <v>287</v>
      </c>
      <c r="D1046" s="943" t="s">
        <v>2</v>
      </c>
      <c r="E1046" s="945">
        <v>156</v>
      </c>
      <c r="F1046" s="945">
        <v>5</v>
      </c>
      <c r="G1046" s="946">
        <v>1555</v>
      </c>
      <c r="H1046" s="946">
        <v>1424.62</v>
      </c>
    </row>
    <row r="1047" spans="1:9" s="26" customFormat="1">
      <c r="A1047" s="947">
        <v>4</v>
      </c>
      <c r="B1047" s="948">
        <v>371.16</v>
      </c>
      <c r="C1047" s="948" t="s">
        <v>1345</v>
      </c>
      <c r="D1047" s="947" t="s">
        <v>2</v>
      </c>
      <c r="E1047" s="950">
        <v>4</v>
      </c>
      <c r="F1047" s="950">
        <v>1</v>
      </c>
      <c r="G1047" s="951">
        <v>1350</v>
      </c>
      <c r="H1047" s="951">
        <v>1650</v>
      </c>
      <c r="I1047" s="18"/>
    </row>
    <row r="1048" spans="1:9">
      <c r="A1048" s="943">
        <v>4</v>
      </c>
      <c r="B1048" s="944">
        <v>373.06</v>
      </c>
      <c r="C1048" s="944" t="s">
        <v>1349</v>
      </c>
      <c r="D1048" s="943" t="s">
        <v>17</v>
      </c>
      <c r="E1048" s="945">
        <v>345</v>
      </c>
      <c r="F1048" s="945">
        <v>1</v>
      </c>
      <c r="G1048" s="946">
        <v>145</v>
      </c>
      <c r="H1048" s="946">
        <v>158.33000000000001</v>
      </c>
    </row>
    <row r="1049" spans="1:9" s="26" customFormat="1">
      <c r="A1049" s="947">
        <v>4</v>
      </c>
      <c r="B1049" s="948">
        <v>373.12</v>
      </c>
      <c r="C1049" s="948" t="s">
        <v>289</v>
      </c>
      <c r="D1049" s="947" t="s">
        <v>17</v>
      </c>
      <c r="E1049" s="949">
        <v>2740</v>
      </c>
      <c r="F1049" s="950">
        <v>3</v>
      </c>
      <c r="G1049" s="951">
        <v>142.5</v>
      </c>
      <c r="H1049" s="951">
        <v>139.55000000000001</v>
      </c>
      <c r="I1049" s="18"/>
    </row>
    <row r="1050" spans="1:9">
      <c r="A1050" s="943">
        <v>4</v>
      </c>
      <c r="B1050" s="944">
        <v>375.1</v>
      </c>
      <c r="C1050" s="944" t="s">
        <v>2341</v>
      </c>
      <c r="D1050" s="943" t="s">
        <v>2</v>
      </c>
      <c r="E1050" s="945">
        <v>6</v>
      </c>
      <c r="F1050" s="945">
        <v>1</v>
      </c>
      <c r="G1050" s="946">
        <v>25000</v>
      </c>
      <c r="H1050" s="946">
        <v>27466.67</v>
      </c>
    </row>
    <row r="1051" spans="1:9" s="26" customFormat="1">
      <c r="A1051" s="947">
        <v>4</v>
      </c>
      <c r="B1051" s="948">
        <v>375.12</v>
      </c>
      <c r="C1051" s="948" t="s">
        <v>1354</v>
      </c>
      <c r="D1051" s="947" t="s">
        <v>2</v>
      </c>
      <c r="E1051" s="950">
        <v>3</v>
      </c>
      <c r="F1051" s="950">
        <v>1</v>
      </c>
      <c r="G1051" s="951">
        <v>27750</v>
      </c>
      <c r="H1051" s="951">
        <v>26833.33</v>
      </c>
      <c r="I1051" s="18"/>
    </row>
    <row r="1052" spans="1:9">
      <c r="A1052" s="943">
        <v>4</v>
      </c>
      <c r="B1052" s="944">
        <v>376</v>
      </c>
      <c r="C1052" s="944" t="s">
        <v>290</v>
      </c>
      <c r="D1052" s="943" t="s">
        <v>2</v>
      </c>
      <c r="E1052" s="945">
        <v>100</v>
      </c>
      <c r="F1052" s="945">
        <v>7</v>
      </c>
      <c r="G1052" s="946">
        <v>8500</v>
      </c>
      <c r="H1052" s="946">
        <v>8374.27</v>
      </c>
    </row>
    <row r="1053" spans="1:9" s="26" customFormat="1">
      <c r="A1053" s="947">
        <v>4</v>
      </c>
      <c r="B1053" s="948">
        <v>376.2</v>
      </c>
      <c r="C1053" s="948" t="s">
        <v>292</v>
      </c>
      <c r="D1053" s="947" t="s">
        <v>2</v>
      </c>
      <c r="E1053" s="950">
        <v>38</v>
      </c>
      <c r="F1053" s="950">
        <v>4</v>
      </c>
      <c r="G1053" s="951">
        <v>4500</v>
      </c>
      <c r="H1053" s="951">
        <v>4454.21</v>
      </c>
      <c r="I1053" s="18"/>
    </row>
    <row r="1054" spans="1:9">
      <c r="A1054" s="943">
        <v>4</v>
      </c>
      <c r="B1054" s="944">
        <v>376.3</v>
      </c>
      <c r="C1054" s="944" t="s">
        <v>293</v>
      </c>
      <c r="D1054" s="943" t="s">
        <v>2</v>
      </c>
      <c r="E1054" s="945">
        <v>15</v>
      </c>
      <c r="F1054" s="945">
        <v>3</v>
      </c>
      <c r="G1054" s="946">
        <v>1480</v>
      </c>
      <c r="H1054" s="946">
        <v>1442</v>
      </c>
    </row>
    <row r="1055" spans="1:9" s="26" customFormat="1">
      <c r="A1055" s="947">
        <v>4</v>
      </c>
      <c r="B1055" s="948">
        <v>376.5</v>
      </c>
      <c r="C1055" s="948" t="s">
        <v>294</v>
      </c>
      <c r="D1055" s="947" t="s">
        <v>2</v>
      </c>
      <c r="E1055" s="950">
        <v>55</v>
      </c>
      <c r="F1055" s="950">
        <v>4</v>
      </c>
      <c r="G1055" s="951">
        <v>2500</v>
      </c>
      <c r="H1055" s="951">
        <v>2618.75</v>
      </c>
      <c r="I1055" s="18"/>
    </row>
    <row r="1056" spans="1:9">
      <c r="A1056" s="943">
        <v>4</v>
      </c>
      <c r="B1056" s="944">
        <v>379.1</v>
      </c>
      <c r="C1056" s="944" t="s">
        <v>1355</v>
      </c>
      <c r="D1056" s="943" t="s">
        <v>2</v>
      </c>
      <c r="E1056" s="945">
        <v>3</v>
      </c>
      <c r="F1056" s="945">
        <v>1</v>
      </c>
      <c r="G1056" s="946">
        <v>1435</v>
      </c>
      <c r="H1056" s="946">
        <v>1223.33</v>
      </c>
    </row>
    <row r="1057" spans="1:9" s="26" customFormat="1">
      <c r="A1057" s="947">
        <v>4</v>
      </c>
      <c r="B1057" s="948">
        <v>379.15</v>
      </c>
      <c r="C1057" s="948" t="s">
        <v>2342</v>
      </c>
      <c r="D1057" s="947" t="s">
        <v>2</v>
      </c>
      <c r="E1057" s="950">
        <v>3</v>
      </c>
      <c r="F1057" s="950">
        <v>1</v>
      </c>
      <c r="G1057" s="951">
        <v>1800</v>
      </c>
      <c r="H1057" s="951">
        <v>1733.33</v>
      </c>
      <c r="I1057" s="18"/>
    </row>
    <row r="1058" spans="1:9">
      <c r="A1058" s="943">
        <v>4</v>
      </c>
      <c r="B1058" s="944">
        <v>381</v>
      </c>
      <c r="C1058" s="944" t="s">
        <v>295</v>
      </c>
      <c r="D1058" s="943" t="s">
        <v>2</v>
      </c>
      <c r="E1058" s="945">
        <v>126</v>
      </c>
      <c r="F1058" s="945">
        <v>7</v>
      </c>
      <c r="G1058" s="946">
        <v>500</v>
      </c>
      <c r="H1058" s="946">
        <v>515.29999999999995</v>
      </c>
    </row>
    <row r="1059" spans="1:9" s="26" customFormat="1">
      <c r="A1059" s="947">
        <v>4</v>
      </c>
      <c r="B1059" s="948">
        <v>381.01</v>
      </c>
      <c r="C1059" s="948" t="s">
        <v>296</v>
      </c>
      <c r="D1059" s="947" t="s">
        <v>2</v>
      </c>
      <c r="E1059" s="950">
        <v>255</v>
      </c>
      <c r="F1059" s="950">
        <v>1</v>
      </c>
      <c r="G1059" s="951">
        <v>460</v>
      </c>
      <c r="H1059" s="951">
        <v>476.67</v>
      </c>
      <c r="I1059" s="18"/>
    </row>
    <row r="1060" spans="1:9">
      <c r="A1060" s="943">
        <v>4</v>
      </c>
      <c r="B1060" s="944">
        <v>381.2</v>
      </c>
      <c r="C1060" s="944" t="s">
        <v>297</v>
      </c>
      <c r="D1060" s="943" t="s">
        <v>2</v>
      </c>
      <c r="E1060" s="945">
        <v>6</v>
      </c>
      <c r="F1060" s="945">
        <v>2</v>
      </c>
      <c r="G1060" s="946">
        <v>200</v>
      </c>
      <c r="H1060" s="946">
        <v>206.5</v>
      </c>
    </row>
    <row r="1061" spans="1:9" s="26" customFormat="1">
      <c r="A1061" s="947">
        <v>4</v>
      </c>
      <c r="B1061" s="948">
        <v>381.3</v>
      </c>
      <c r="C1061" s="948" t="s">
        <v>298</v>
      </c>
      <c r="D1061" s="947" t="s">
        <v>2</v>
      </c>
      <c r="E1061" s="949">
        <v>1181</v>
      </c>
      <c r="F1061" s="950">
        <v>8</v>
      </c>
      <c r="G1061" s="951">
        <v>300</v>
      </c>
      <c r="H1061" s="951">
        <v>294.18</v>
      </c>
      <c r="I1061" s="18"/>
    </row>
    <row r="1062" spans="1:9">
      <c r="A1062" s="943">
        <v>4</v>
      </c>
      <c r="B1062" s="944">
        <v>384</v>
      </c>
      <c r="C1062" s="944" t="s">
        <v>299</v>
      </c>
      <c r="D1062" s="943" t="s">
        <v>2</v>
      </c>
      <c r="E1062" s="945">
        <v>370</v>
      </c>
      <c r="F1062" s="945">
        <v>6</v>
      </c>
      <c r="G1062" s="946">
        <v>850</v>
      </c>
      <c r="H1062" s="946">
        <v>844.52</v>
      </c>
    </row>
    <row r="1063" spans="1:9" s="26" customFormat="1">
      <c r="A1063" s="947">
        <v>4</v>
      </c>
      <c r="B1063" s="948">
        <v>388</v>
      </c>
      <c r="C1063" s="948" t="s">
        <v>1358</v>
      </c>
      <c r="D1063" s="947" t="s">
        <v>2</v>
      </c>
      <c r="E1063" s="950">
        <v>3</v>
      </c>
      <c r="F1063" s="950">
        <v>1</v>
      </c>
      <c r="G1063" s="951">
        <v>11900</v>
      </c>
      <c r="H1063" s="951">
        <v>11046.67</v>
      </c>
      <c r="I1063" s="18"/>
    </row>
    <row r="1064" spans="1:9">
      <c r="A1064" s="943">
        <v>4</v>
      </c>
      <c r="B1064" s="944">
        <v>402</v>
      </c>
      <c r="C1064" s="944" t="s">
        <v>301</v>
      </c>
      <c r="D1064" s="943" t="s">
        <v>4</v>
      </c>
      <c r="E1064" s="952">
        <v>86780</v>
      </c>
      <c r="F1064" s="945">
        <v>8</v>
      </c>
      <c r="G1064" s="946">
        <v>85</v>
      </c>
      <c r="H1064" s="946">
        <v>83.16</v>
      </c>
    </row>
    <row r="1065" spans="1:9" s="26" customFormat="1">
      <c r="A1065" s="947">
        <v>4</v>
      </c>
      <c r="B1065" s="948">
        <v>402.1</v>
      </c>
      <c r="C1065" s="948" t="s">
        <v>301</v>
      </c>
      <c r="D1065" s="947" t="s">
        <v>7</v>
      </c>
      <c r="E1065" s="950">
        <v>330</v>
      </c>
      <c r="F1065" s="950">
        <v>1</v>
      </c>
      <c r="G1065" s="951">
        <v>17.5</v>
      </c>
      <c r="H1065" s="951">
        <v>18.329999999999998</v>
      </c>
      <c r="I1065" s="18"/>
    </row>
    <row r="1066" spans="1:9">
      <c r="A1066" s="943">
        <v>4</v>
      </c>
      <c r="B1066" s="944">
        <v>402.13</v>
      </c>
      <c r="C1066" s="944" t="s">
        <v>1359</v>
      </c>
      <c r="D1066" s="943" t="s">
        <v>17</v>
      </c>
      <c r="E1066" s="952">
        <v>18000</v>
      </c>
      <c r="F1066" s="945">
        <v>1</v>
      </c>
      <c r="G1066" s="946">
        <v>6</v>
      </c>
      <c r="H1066" s="946">
        <v>6</v>
      </c>
    </row>
    <row r="1067" spans="1:9" s="26" customFormat="1">
      <c r="A1067" s="947">
        <v>4</v>
      </c>
      <c r="B1067" s="948">
        <v>415.1</v>
      </c>
      <c r="C1067" s="948" t="s">
        <v>1360</v>
      </c>
      <c r="D1067" s="947" t="s">
        <v>1</v>
      </c>
      <c r="E1067" s="950">
        <v>870</v>
      </c>
      <c r="F1067" s="950">
        <v>1</v>
      </c>
      <c r="G1067" s="951">
        <v>52.5</v>
      </c>
      <c r="H1067" s="951">
        <v>59</v>
      </c>
      <c r="I1067" s="18"/>
    </row>
    <row r="1068" spans="1:9">
      <c r="A1068" s="943">
        <v>4</v>
      </c>
      <c r="B1068" s="944">
        <v>415.2</v>
      </c>
      <c r="C1068" s="944" t="s">
        <v>1361</v>
      </c>
      <c r="D1068" s="943" t="s">
        <v>1</v>
      </c>
      <c r="E1068" s="952">
        <v>2954300</v>
      </c>
      <c r="F1068" s="945">
        <v>8</v>
      </c>
      <c r="G1068" s="946">
        <v>8.5</v>
      </c>
      <c r="H1068" s="946">
        <v>8.39</v>
      </c>
    </row>
    <row r="1069" spans="1:9" s="26" customFormat="1">
      <c r="A1069" s="947">
        <v>4</v>
      </c>
      <c r="B1069" s="948">
        <v>415.4</v>
      </c>
      <c r="C1069" s="948" t="s">
        <v>1362</v>
      </c>
      <c r="D1069" s="947" t="s">
        <v>1</v>
      </c>
      <c r="E1069" s="949">
        <v>143010</v>
      </c>
      <c r="F1069" s="950">
        <v>2</v>
      </c>
      <c r="G1069" s="951">
        <v>22.5</v>
      </c>
      <c r="H1069" s="951">
        <v>23.5</v>
      </c>
      <c r="I1069" s="18"/>
    </row>
    <row r="1070" spans="1:9">
      <c r="A1070" s="943">
        <v>4</v>
      </c>
      <c r="B1070" s="944">
        <v>431</v>
      </c>
      <c r="C1070" s="944" t="s">
        <v>27</v>
      </c>
      <c r="D1070" s="943" t="s">
        <v>1</v>
      </c>
      <c r="E1070" s="952">
        <v>4005</v>
      </c>
      <c r="F1070" s="945">
        <v>10</v>
      </c>
      <c r="G1070" s="946">
        <v>107.5</v>
      </c>
      <c r="H1070" s="946">
        <v>102.22</v>
      </c>
    </row>
    <row r="1071" spans="1:9" s="26" customFormat="1">
      <c r="A1071" s="947">
        <v>4</v>
      </c>
      <c r="B1071" s="948">
        <v>431.1</v>
      </c>
      <c r="C1071" s="948" t="s">
        <v>27</v>
      </c>
      <c r="D1071" s="947" t="s">
        <v>4</v>
      </c>
      <c r="E1071" s="950">
        <v>30</v>
      </c>
      <c r="F1071" s="950">
        <v>1</v>
      </c>
      <c r="G1071" s="951">
        <v>350</v>
      </c>
      <c r="H1071" s="951">
        <v>350</v>
      </c>
      <c r="I1071" s="18"/>
    </row>
    <row r="1072" spans="1:9">
      <c r="A1072" s="943">
        <v>4</v>
      </c>
      <c r="B1072" s="944">
        <v>440</v>
      </c>
      <c r="C1072" s="944" t="s">
        <v>305</v>
      </c>
      <c r="D1072" s="943" t="s">
        <v>100</v>
      </c>
      <c r="E1072" s="952">
        <v>1117040</v>
      </c>
      <c r="F1072" s="945">
        <v>12</v>
      </c>
      <c r="G1072" s="946">
        <v>0.4</v>
      </c>
      <c r="H1072" s="946">
        <v>0.6</v>
      </c>
    </row>
    <row r="1073" spans="1:9" s="26" customFormat="1">
      <c r="A1073" s="947">
        <v>4</v>
      </c>
      <c r="B1073" s="948">
        <v>443</v>
      </c>
      <c r="C1073" s="948" t="s">
        <v>306</v>
      </c>
      <c r="D1073" s="947" t="s">
        <v>307</v>
      </c>
      <c r="E1073" s="949">
        <v>1956</v>
      </c>
      <c r="F1073" s="950">
        <v>12</v>
      </c>
      <c r="G1073" s="951">
        <v>80</v>
      </c>
      <c r="H1073" s="951">
        <v>86.14</v>
      </c>
      <c r="I1073" s="18"/>
    </row>
    <row r="1074" spans="1:9">
      <c r="A1074" s="943">
        <v>4</v>
      </c>
      <c r="B1074" s="944">
        <v>450.22</v>
      </c>
      <c r="C1074" s="944" t="s">
        <v>4033</v>
      </c>
      <c r="D1074" s="943" t="s">
        <v>7</v>
      </c>
      <c r="E1074" s="952">
        <v>4800</v>
      </c>
      <c r="F1074" s="945">
        <v>1</v>
      </c>
      <c r="G1074" s="946">
        <v>102</v>
      </c>
      <c r="H1074" s="946">
        <v>108.5</v>
      </c>
    </row>
    <row r="1075" spans="1:9" s="26" customFormat="1">
      <c r="A1075" s="947">
        <v>4</v>
      </c>
      <c r="B1075" s="948">
        <v>450.221</v>
      </c>
      <c r="C1075" s="948" t="s">
        <v>4034</v>
      </c>
      <c r="D1075" s="947" t="s">
        <v>7</v>
      </c>
      <c r="E1075" s="949">
        <v>1240</v>
      </c>
      <c r="F1075" s="950">
        <v>1</v>
      </c>
      <c r="G1075" s="951">
        <v>152.5</v>
      </c>
      <c r="H1075" s="951">
        <v>160</v>
      </c>
      <c r="I1075" s="18"/>
    </row>
    <row r="1076" spans="1:9">
      <c r="A1076" s="943">
        <v>4</v>
      </c>
      <c r="B1076" s="944">
        <v>450.23</v>
      </c>
      <c r="C1076" s="944" t="s">
        <v>308</v>
      </c>
      <c r="D1076" s="943" t="s">
        <v>7</v>
      </c>
      <c r="E1076" s="952">
        <v>12750</v>
      </c>
      <c r="F1076" s="945">
        <v>1</v>
      </c>
      <c r="G1076" s="946">
        <v>155</v>
      </c>
      <c r="H1076" s="946">
        <v>154.4</v>
      </c>
    </row>
    <row r="1077" spans="1:9" s="26" customFormat="1">
      <c r="A1077" s="947">
        <v>4</v>
      </c>
      <c r="B1077" s="948">
        <v>450.23099999999999</v>
      </c>
      <c r="C1077" s="948" t="s">
        <v>1367</v>
      </c>
      <c r="D1077" s="947" t="s">
        <v>7</v>
      </c>
      <c r="E1077" s="949">
        <v>242560</v>
      </c>
      <c r="F1077" s="950">
        <v>8</v>
      </c>
      <c r="G1077" s="951">
        <v>155</v>
      </c>
      <c r="H1077" s="951">
        <v>156.19</v>
      </c>
      <c r="I1077" s="18"/>
    </row>
    <row r="1078" spans="1:9">
      <c r="A1078" s="943">
        <v>4</v>
      </c>
      <c r="B1078" s="944">
        <v>450.31</v>
      </c>
      <c r="C1078" s="944" t="s">
        <v>53</v>
      </c>
      <c r="D1078" s="943" t="s">
        <v>7</v>
      </c>
      <c r="E1078" s="952">
        <v>1320</v>
      </c>
      <c r="F1078" s="945">
        <v>1</v>
      </c>
      <c r="G1078" s="946">
        <v>116.5</v>
      </c>
      <c r="H1078" s="946">
        <v>128.25</v>
      </c>
    </row>
    <row r="1079" spans="1:9" s="26" customFormat="1">
      <c r="A1079" s="947">
        <v>4</v>
      </c>
      <c r="B1079" s="948">
        <v>450.31099999999998</v>
      </c>
      <c r="C1079" s="948" t="s">
        <v>1369</v>
      </c>
      <c r="D1079" s="947" t="s">
        <v>7</v>
      </c>
      <c r="E1079" s="949">
        <v>1140</v>
      </c>
      <c r="F1079" s="950">
        <v>1</v>
      </c>
      <c r="G1079" s="951">
        <v>170</v>
      </c>
      <c r="H1079" s="951">
        <v>163.33000000000001</v>
      </c>
      <c r="I1079" s="18"/>
    </row>
    <row r="1080" spans="1:9">
      <c r="A1080" s="943">
        <v>4</v>
      </c>
      <c r="B1080" s="944">
        <v>450.32</v>
      </c>
      <c r="C1080" s="944" t="s">
        <v>309</v>
      </c>
      <c r="D1080" s="943" t="s">
        <v>7</v>
      </c>
      <c r="E1080" s="952">
        <v>121100</v>
      </c>
      <c r="F1080" s="945">
        <v>7</v>
      </c>
      <c r="G1080" s="946">
        <v>141</v>
      </c>
      <c r="H1080" s="946">
        <v>135.08000000000001</v>
      </c>
    </row>
    <row r="1081" spans="1:9" s="26" customFormat="1">
      <c r="A1081" s="947">
        <v>4</v>
      </c>
      <c r="B1081" s="948">
        <v>450.42</v>
      </c>
      <c r="C1081" s="948" t="s">
        <v>37</v>
      </c>
      <c r="D1081" s="947" t="s">
        <v>7</v>
      </c>
      <c r="E1081" s="949">
        <v>184470</v>
      </c>
      <c r="F1081" s="950">
        <v>7</v>
      </c>
      <c r="G1081" s="951">
        <v>132</v>
      </c>
      <c r="H1081" s="951">
        <v>133.08000000000001</v>
      </c>
      <c r="I1081" s="18"/>
    </row>
    <row r="1082" spans="1:9">
      <c r="A1082" s="943">
        <v>4</v>
      </c>
      <c r="B1082" s="944">
        <v>450.52</v>
      </c>
      <c r="C1082" s="944" t="s">
        <v>310</v>
      </c>
      <c r="D1082" s="943" t="s">
        <v>7</v>
      </c>
      <c r="E1082" s="952">
        <v>5400</v>
      </c>
      <c r="F1082" s="945">
        <v>2</v>
      </c>
      <c r="G1082" s="946">
        <v>200</v>
      </c>
      <c r="H1082" s="946">
        <v>199.44</v>
      </c>
    </row>
    <row r="1083" spans="1:9" s="26" customFormat="1">
      <c r="A1083" s="947">
        <v>4</v>
      </c>
      <c r="B1083" s="948">
        <v>450.6</v>
      </c>
      <c r="C1083" s="948" t="s">
        <v>311</v>
      </c>
      <c r="D1083" s="947" t="s">
        <v>7</v>
      </c>
      <c r="E1083" s="950">
        <v>855</v>
      </c>
      <c r="F1083" s="950">
        <v>1</v>
      </c>
      <c r="G1083" s="951">
        <v>200</v>
      </c>
      <c r="H1083" s="951">
        <v>219</v>
      </c>
      <c r="I1083" s="18"/>
    </row>
    <row r="1084" spans="1:9">
      <c r="A1084" s="943">
        <v>4</v>
      </c>
      <c r="B1084" s="944">
        <v>450.601</v>
      </c>
      <c r="C1084" s="944" t="s">
        <v>1373</v>
      </c>
      <c r="D1084" s="943" t="s">
        <v>7</v>
      </c>
      <c r="E1084" s="952">
        <v>11220</v>
      </c>
      <c r="F1084" s="945">
        <v>3</v>
      </c>
      <c r="G1084" s="946">
        <v>342.5</v>
      </c>
      <c r="H1084" s="946">
        <v>354</v>
      </c>
    </row>
    <row r="1085" spans="1:9" s="26" customFormat="1">
      <c r="A1085" s="947">
        <v>4</v>
      </c>
      <c r="B1085" s="948">
        <v>450.61099999999999</v>
      </c>
      <c r="C1085" s="948" t="s">
        <v>1374</v>
      </c>
      <c r="D1085" s="947" t="s">
        <v>7</v>
      </c>
      <c r="E1085" s="950">
        <v>58</v>
      </c>
      <c r="F1085" s="950">
        <v>1</v>
      </c>
      <c r="G1085" s="951">
        <v>215</v>
      </c>
      <c r="H1085" s="951">
        <v>192.5</v>
      </c>
      <c r="I1085" s="18"/>
    </row>
    <row r="1086" spans="1:9">
      <c r="A1086" s="943">
        <v>4</v>
      </c>
      <c r="B1086" s="944">
        <v>450.7</v>
      </c>
      <c r="C1086" s="944" t="s">
        <v>313</v>
      </c>
      <c r="D1086" s="943" t="s">
        <v>7</v>
      </c>
      <c r="E1086" s="945">
        <v>765</v>
      </c>
      <c r="F1086" s="945">
        <v>1</v>
      </c>
      <c r="G1086" s="946">
        <v>250</v>
      </c>
      <c r="H1086" s="946">
        <v>252.4</v>
      </c>
    </row>
    <row r="1087" spans="1:9" s="26" customFormat="1">
      <c r="A1087" s="947">
        <v>4</v>
      </c>
      <c r="B1087" s="948">
        <v>450.70100000000002</v>
      </c>
      <c r="C1087" s="948" t="s">
        <v>1375</v>
      </c>
      <c r="D1087" s="947" t="s">
        <v>7</v>
      </c>
      <c r="E1087" s="950">
        <v>162</v>
      </c>
      <c r="F1087" s="950">
        <v>2</v>
      </c>
      <c r="G1087" s="951">
        <v>390</v>
      </c>
      <c r="H1087" s="951">
        <v>345</v>
      </c>
      <c r="I1087" s="18"/>
    </row>
    <row r="1088" spans="1:9">
      <c r="A1088" s="943">
        <v>4</v>
      </c>
      <c r="B1088" s="944">
        <v>450.8</v>
      </c>
      <c r="C1088" s="944" t="s">
        <v>1377</v>
      </c>
      <c r="D1088" s="943" t="s">
        <v>7</v>
      </c>
      <c r="E1088" s="945">
        <v>75</v>
      </c>
      <c r="F1088" s="945">
        <v>1</v>
      </c>
      <c r="G1088" s="946">
        <v>2845</v>
      </c>
      <c r="H1088" s="946">
        <v>2889</v>
      </c>
    </row>
    <row r="1089" spans="1:9" s="26" customFormat="1">
      <c r="A1089" s="947">
        <v>4</v>
      </c>
      <c r="B1089" s="948">
        <v>451</v>
      </c>
      <c r="C1089" s="948" t="s">
        <v>36</v>
      </c>
      <c r="D1089" s="947" t="s">
        <v>7</v>
      </c>
      <c r="E1089" s="949">
        <v>16201</v>
      </c>
      <c r="F1089" s="950">
        <v>14</v>
      </c>
      <c r="G1089" s="951">
        <v>300</v>
      </c>
      <c r="H1089" s="951">
        <v>309.57</v>
      </c>
      <c r="I1089" s="18"/>
    </row>
    <row r="1090" spans="1:9">
      <c r="A1090" s="943">
        <v>4</v>
      </c>
      <c r="B1090" s="944">
        <v>452</v>
      </c>
      <c r="C1090" s="944" t="s">
        <v>31</v>
      </c>
      <c r="D1090" s="943" t="s">
        <v>20</v>
      </c>
      <c r="E1090" s="952">
        <v>222100</v>
      </c>
      <c r="F1090" s="945">
        <v>11</v>
      </c>
      <c r="G1090" s="946">
        <v>8.5</v>
      </c>
      <c r="H1090" s="946">
        <v>8.5399999999999991</v>
      </c>
    </row>
    <row r="1091" spans="1:9" s="26" customFormat="1">
      <c r="A1091" s="947">
        <v>4</v>
      </c>
      <c r="B1091" s="948">
        <v>453</v>
      </c>
      <c r="C1091" s="948" t="s">
        <v>3962</v>
      </c>
      <c r="D1091" s="947" t="s">
        <v>17</v>
      </c>
      <c r="E1091" s="949">
        <v>2212542</v>
      </c>
      <c r="F1091" s="950">
        <v>13</v>
      </c>
      <c r="G1091" s="951">
        <v>1</v>
      </c>
      <c r="H1091" s="951">
        <v>0.88</v>
      </c>
      <c r="I1091" s="18"/>
    </row>
    <row r="1092" spans="1:9">
      <c r="A1092" s="943">
        <v>4</v>
      </c>
      <c r="B1092" s="944">
        <v>457.1</v>
      </c>
      <c r="C1092" s="944" t="s">
        <v>1378</v>
      </c>
      <c r="D1092" s="943" t="s">
        <v>7</v>
      </c>
      <c r="E1092" s="952">
        <v>10710</v>
      </c>
      <c r="F1092" s="945">
        <v>2</v>
      </c>
      <c r="G1092" s="946">
        <v>568.5</v>
      </c>
      <c r="H1092" s="946">
        <v>580.66999999999996</v>
      </c>
    </row>
    <row r="1093" spans="1:9" s="26" customFormat="1">
      <c r="A1093" s="947">
        <v>4</v>
      </c>
      <c r="B1093" s="948">
        <v>458.2</v>
      </c>
      <c r="C1093" s="948" t="s">
        <v>4037</v>
      </c>
      <c r="D1093" s="947" t="s">
        <v>7</v>
      </c>
      <c r="E1093" s="949">
        <v>183000</v>
      </c>
      <c r="F1093" s="950">
        <v>1</v>
      </c>
      <c r="G1093" s="951">
        <v>220</v>
      </c>
      <c r="H1093" s="951">
        <v>203.33</v>
      </c>
      <c r="I1093" s="18"/>
    </row>
    <row r="1094" spans="1:9">
      <c r="A1094" s="943">
        <v>4</v>
      </c>
      <c r="B1094" s="944">
        <v>470</v>
      </c>
      <c r="C1094" s="944" t="s">
        <v>1382</v>
      </c>
      <c r="D1094" s="943" t="s">
        <v>7</v>
      </c>
      <c r="E1094" s="952">
        <v>1945</v>
      </c>
      <c r="F1094" s="945">
        <v>5</v>
      </c>
      <c r="G1094" s="946">
        <v>300</v>
      </c>
      <c r="H1094" s="946">
        <v>264.68</v>
      </c>
    </row>
    <row r="1095" spans="1:9" s="26" customFormat="1">
      <c r="A1095" s="947">
        <v>4</v>
      </c>
      <c r="B1095" s="948">
        <v>472</v>
      </c>
      <c r="C1095" s="948" t="s">
        <v>1383</v>
      </c>
      <c r="D1095" s="947" t="s">
        <v>7</v>
      </c>
      <c r="E1095" s="949">
        <v>30673</v>
      </c>
      <c r="F1095" s="950">
        <v>17</v>
      </c>
      <c r="G1095" s="951">
        <v>300</v>
      </c>
      <c r="H1095" s="951">
        <v>307.33</v>
      </c>
      <c r="I1095" s="18"/>
    </row>
    <row r="1096" spans="1:9">
      <c r="A1096" s="943">
        <v>4</v>
      </c>
      <c r="B1096" s="944">
        <v>477</v>
      </c>
      <c r="C1096" s="944" t="s">
        <v>1384</v>
      </c>
      <c r="D1096" s="943" t="s">
        <v>17</v>
      </c>
      <c r="E1096" s="952">
        <v>171100</v>
      </c>
      <c r="F1096" s="945">
        <v>2</v>
      </c>
      <c r="G1096" s="946">
        <v>17.5</v>
      </c>
      <c r="H1096" s="946">
        <v>70.19</v>
      </c>
    </row>
    <row r="1097" spans="1:9" s="26" customFormat="1">
      <c r="A1097" s="947">
        <v>4</v>
      </c>
      <c r="B1097" s="948">
        <v>477.1</v>
      </c>
      <c r="C1097" s="948" t="s">
        <v>1385</v>
      </c>
      <c r="D1097" s="947" t="s">
        <v>17</v>
      </c>
      <c r="E1097" s="949">
        <v>31200</v>
      </c>
      <c r="F1097" s="950">
        <v>1</v>
      </c>
      <c r="G1097" s="951">
        <v>2.5</v>
      </c>
      <c r="H1097" s="951">
        <v>2.48</v>
      </c>
      <c r="I1097" s="18"/>
    </row>
    <row r="1098" spans="1:9">
      <c r="A1098" s="943">
        <v>4</v>
      </c>
      <c r="B1098" s="944">
        <v>480.2</v>
      </c>
      <c r="C1098" s="944" t="s">
        <v>4002</v>
      </c>
      <c r="D1098" s="943" t="s">
        <v>20</v>
      </c>
      <c r="E1098" s="945">
        <v>200</v>
      </c>
      <c r="F1098" s="945">
        <v>1</v>
      </c>
      <c r="G1098" s="946">
        <v>80</v>
      </c>
      <c r="H1098" s="946">
        <v>80</v>
      </c>
    </row>
    <row r="1099" spans="1:9" s="26" customFormat="1">
      <c r="A1099" s="947">
        <v>4</v>
      </c>
      <c r="B1099" s="948">
        <v>482.3</v>
      </c>
      <c r="C1099" s="948" t="s">
        <v>319</v>
      </c>
      <c r="D1099" s="947" t="s">
        <v>17</v>
      </c>
      <c r="E1099" s="950">
        <v>915</v>
      </c>
      <c r="F1099" s="950">
        <v>2</v>
      </c>
      <c r="G1099" s="951">
        <v>5</v>
      </c>
      <c r="H1099" s="951">
        <v>4.88</v>
      </c>
      <c r="I1099" s="18"/>
    </row>
    <row r="1100" spans="1:9">
      <c r="A1100" s="943">
        <v>4</v>
      </c>
      <c r="B1100" s="944">
        <v>482.31</v>
      </c>
      <c r="C1100" s="944" t="s">
        <v>4038</v>
      </c>
      <c r="D1100" s="943" t="s">
        <v>17</v>
      </c>
      <c r="E1100" s="952">
        <v>7020</v>
      </c>
      <c r="F1100" s="945">
        <v>3</v>
      </c>
      <c r="G1100" s="946">
        <v>51</v>
      </c>
      <c r="H1100" s="946">
        <v>54.56</v>
      </c>
    </row>
    <row r="1101" spans="1:9" s="26" customFormat="1">
      <c r="A1101" s="947">
        <v>4</v>
      </c>
      <c r="B1101" s="948">
        <v>482.4</v>
      </c>
      <c r="C1101" s="948" t="s">
        <v>321</v>
      </c>
      <c r="D1101" s="947" t="s">
        <v>17</v>
      </c>
      <c r="E1101" s="950">
        <v>750</v>
      </c>
      <c r="F1101" s="950">
        <v>2</v>
      </c>
      <c r="G1101" s="951">
        <v>9</v>
      </c>
      <c r="H1101" s="951">
        <v>7.62</v>
      </c>
      <c r="I1101" s="18"/>
    </row>
    <row r="1102" spans="1:9">
      <c r="A1102" s="943">
        <v>4</v>
      </c>
      <c r="B1102" s="944">
        <v>482.5</v>
      </c>
      <c r="C1102" s="944" t="s">
        <v>43</v>
      </c>
      <c r="D1102" s="943" t="s">
        <v>17</v>
      </c>
      <c r="E1102" s="952">
        <v>17820</v>
      </c>
      <c r="F1102" s="945">
        <v>6</v>
      </c>
      <c r="G1102" s="946">
        <v>6</v>
      </c>
      <c r="H1102" s="946">
        <v>6.06</v>
      </c>
    </row>
    <row r="1103" spans="1:9" s="26" customFormat="1">
      <c r="A1103" s="947">
        <v>4</v>
      </c>
      <c r="B1103" s="948">
        <v>504</v>
      </c>
      <c r="C1103" s="948" t="s">
        <v>325</v>
      </c>
      <c r="D1103" s="947" t="s">
        <v>17</v>
      </c>
      <c r="E1103" s="949">
        <v>224255</v>
      </c>
      <c r="F1103" s="950">
        <v>12</v>
      </c>
      <c r="G1103" s="951">
        <v>75</v>
      </c>
      <c r="H1103" s="951">
        <v>76.14</v>
      </c>
      <c r="I1103" s="18"/>
    </row>
    <row r="1104" spans="1:9">
      <c r="A1104" s="943">
        <v>4</v>
      </c>
      <c r="B1104" s="944">
        <v>504.1</v>
      </c>
      <c r="C1104" s="944" t="s">
        <v>326</v>
      </c>
      <c r="D1104" s="943" t="s">
        <v>17</v>
      </c>
      <c r="E1104" s="952">
        <v>33815</v>
      </c>
      <c r="F1104" s="945">
        <v>12</v>
      </c>
      <c r="G1104" s="946">
        <v>100</v>
      </c>
      <c r="H1104" s="946">
        <v>97.19</v>
      </c>
    </row>
    <row r="1105" spans="1:9" s="26" customFormat="1">
      <c r="A1105" s="947">
        <v>4</v>
      </c>
      <c r="B1105" s="948">
        <v>504.2</v>
      </c>
      <c r="C1105" s="948" t="s">
        <v>327</v>
      </c>
      <c r="D1105" s="947" t="s">
        <v>2</v>
      </c>
      <c r="E1105" s="950">
        <v>104</v>
      </c>
      <c r="F1105" s="950">
        <v>4</v>
      </c>
      <c r="G1105" s="951">
        <v>775</v>
      </c>
      <c r="H1105" s="951">
        <v>762.55</v>
      </c>
      <c r="I1105" s="18"/>
    </row>
    <row r="1106" spans="1:9">
      <c r="A1106" s="943">
        <v>4</v>
      </c>
      <c r="B1106" s="944">
        <v>506</v>
      </c>
      <c r="C1106" s="944" t="s">
        <v>40</v>
      </c>
      <c r="D1106" s="943" t="s">
        <v>17</v>
      </c>
      <c r="E1106" s="952">
        <v>8140</v>
      </c>
      <c r="F1106" s="945">
        <v>4</v>
      </c>
      <c r="G1106" s="946">
        <v>60</v>
      </c>
      <c r="H1106" s="946">
        <v>61.47</v>
      </c>
    </row>
    <row r="1107" spans="1:9" s="26" customFormat="1">
      <c r="A1107" s="947">
        <v>4</v>
      </c>
      <c r="B1107" s="948">
        <v>506.1</v>
      </c>
      <c r="C1107" s="948" t="s">
        <v>41</v>
      </c>
      <c r="D1107" s="947" t="s">
        <v>17</v>
      </c>
      <c r="E1107" s="949">
        <v>1845</v>
      </c>
      <c r="F1107" s="950">
        <v>3</v>
      </c>
      <c r="G1107" s="951">
        <v>80</v>
      </c>
      <c r="H1107" s="951">
        <v>80.92</v>
      </c>
      <c r="I1107" s="18"/>
    </row>
    <row r="1108" spans="1:9">
      <c r="A1108" s="943">
        <v>4</v>
      </c>
      <c r="B1108" s="944">
        <v>509</v>
      </c>
      <c r="C1108" s="944" t="s">
        <v>1394</v>
      </c>
      <c r="D1108" s="943" t="s">
        <v>17</v>
      </c>
      <c r="E1108" s="952">
        <v>34194</v>
      </c>
      <c r="F1108" s="945">
        <v>14</v>
      </c>
      <c r="G1108" s="946">
        <v>83.5</v>
      </c>
      <c r="H1108" s="946">
        <v>80.84</v>
      </c>
    </row>
    <row r="1109" spans="1:9" s="26" customFormat="1">
      <c r="A1109" s="947">
        <v>4</v>
      </c>
      <c r="B1109" s="948">
        <v>509.1</v>
      </c>
      <c r="C1109" s="948" t="s">
        <v>1395</v>
      </c>
      <c r="D1109" s="947" t="s">
        <v>17</v>
      </c>
      <c r="E1109" s="949">
        <v>17981</v>
      </c>
      <c r="F1109" s="950">
        <v>14</v>
      </c>
      <c r="G1109" s="951">
        <v>105</v>
      </c>
      <c r="H1109" s="951">
        <v>102.96</v>
      </c>
      <c r="I1109" s="18"/>
    </row>
    <row r="1110" spans="1:9">
      <c r="A1110" s="943">
        <v>4</v>
      </c>
      <c r="B1110" s="944">
        <v>510</v>
      </c>
      <c r="C1110" s="944" t="s">
        <v>330</v>
      </c>
      <c r="D1110" s="943" t="s">
        <v>17</v>
      </c>
      <c r="E1110" s="952">
        <v>3450</v>
      </c>
      <c r="F1110" s="945">
        <v>3</v>
      </c>
      <c r="G1110" s="946">
        <v>53.5</v>
      </c>
      <c r="H1110" s="946">
        <v>57.33</v>
      </c>
    </row>
    <row r="1111" spans="1:9" s="26" customFormat="1">
      <c r="A1111" s="947">
        <v>4</v>
      </c>
      <c r="B1111" s="948">
        <v>510.1</v>
      </c>
      <c r="C1111" s="948" t="s">
        <v>331</v>
      </c>
      <c r="D1111" s="947" t="s">
        <v>17</v>
      </c>
      <c r="E1111" s="950">
        <v>190</v>
      </c>
      <c r="F1111" s="950">
        <v>2</v>
      </c>
      <c r="G1111" s="951">
        <v>80</v>
      </c>
      <c r="H1111" s="951">
        <v>77.430000000000007</v>
      </c>
      <c r="I1111" s="18"/>
    </row>
    <row r="1112" spans="1:9">
      <c r="A1112" s="943">
        <v>4</v>
      </c>
      <c r="B1112" s="944">
        <v>511.1</v>
      </c>
      <c r="C1112" s="944" t="s">
        <v>332</v>
      </c>
      <c r="D1112" s="943" t="s">
        <v>17</v>
      </c>
      <c r="E1112" s="945">
        <v>960</v>
      </c>
      <c r="F1112" s="945">
        <v>1</v>
      </c>
      <c r="G1112" s="946">
        <v>65</v>
      </c>
      <c r="H1112" s="946">
        <v>69.67</v>
      </c>
    </row>
    <row r="1113" spans="1:9" s="26" customFormat="1">
      <c r="A1113" s="947">
        <v>4</v>
      </c>
      <c r="B1113" s="948">
        <v>514</v>
      </c>
      <c r="C1113" s="948" t="s">
        <v>38</v>
      </c>
      <c r="D1113" s="947" t="s">
        <v>2</v>
      </c>
      <c r="E1113" s="949">
        <v>1239</v>
      </c>
      <c r="F1113" s="950">
        <v>9</v>
      </c>
      <c r="G1113" s="951">
        <v>700</v>
      </c>
      <c r="H1113" s="951">
        <v>728.97</v>
      </c>
      <c r="I1113" s="18"/>
    </row>
    <row r="1114" spans="1:9">
      <c r="A1114" s="943">
        <v>4</v>
      </c>
      <c r="B1114" s="944">
        <v>515</v>
      </c>
      <c r="C1114" s="944" t="s">
        <v>45</v>
      </c>
      <c r="D1114" s="943" t="s">
        <v>2</v>
      </c>
      <c r="E1114" s="945">
        <v>60</v>
      </c>
      <c r="F1114" s="945">
        <v>4</v>
      </c>
      <c r="G1114" s="946">
        <v>875</v>
      </c>
      <c r="H1114" s="946">
        <v>808.92</v>
      </c>
    </row>
    <row r="1115" spans="1:9" s="26" customFormat="1">
      <c r="A1115" s="947">
        <v>4</v>
      </c>
      <c r="B1115" s="948">
        <v>516</v>
      </c>
      <c r="C1115" s="948" t="s">
        <v>47</v>
      </c>
      <c r="D1115" s="947" t="s">
        <v>2</v>
      </c>
      <c r="E1115" s="950">
        <v>286</v>
      </c>
      <c r="F1115" s="950">
        <v>5</v>
      </c>
      <c r="G1115" s="951">
        <v>550</v>
      </c>
      <c r="H1115" s="951">
        <v>582.42999999999995</v>
      </c>
      <c r="I1115" s="18"/>
    </row>
    <row r="1116" spans="1:9">
      <c r="A1116" s="943">
        <v>4</v>
      </c>
      <c r="B1116" s="944">
        <v>517</v>
      </c>
      <c r="C1116" s="944" t="s">
        <v>334</v>
      </c>
      <c r="D1116" s="943" t="s">
        <v>2</v>
      </c>
      <c r="E1116" s="952">
        <v>1090</v>
      </c>
      <c r="F1116" s="945">
        <v>1</v>
      </c>
      <c r="G1116" s="946">
        <v>850</v>
      </c>
      <c r="H1116" s="946">
        <v>832</v>
      </c>
    </row>
    <row r="1117" spans="1:9" s="26" customFormat="1">
      <c r="A1117" s="947">
        <v>4</v>
      </c>
      <c r="B1117" s="948">
        <v>570.29999999999995</v>
      </c>
      <c r="C1117" s="948" t="s">
        <v>339</v>
      </c>
      <c r="D1117" s="947" t="s">
        <v>17</v>
      </c>
      <c r="E1117" s="949">
        <v>13080</v>
      </c>
      <c r="F1117" s="950">
        <v>2</v>
      </c>
      <c r="G1117" s="951">
        <v>10</v>
      </c>
      <c r="H1117" s="951">
        <v>10</v>
      </c>
      <c r="I1117" s="18"/>
    </row>
    <row r="1118" spans="1:9">
      <c r="A1118" s="943">
        <v>4</v>
      </c>
      <c r="B1118" s="944">
        <v>580</v>
      </c>
      <c r="C1118" s="944" t="s">
        <v>56</v>
      </c>
      <c r="D1118" s="943" t="s">
        <v>17</v>
      </c>
      <c r="E1118" s="952">
        <v>57070</v>
      </c>
      <c r="F1118" s="945">
        <v>11</v>
      </c>
      <c r="G1118" s="946">
        <v>44.5</v>
      </c>
      <c r="H1118" s="946">
        <v>40.94</v>
      </c>
    </row>
    <row r="1119" spans="1:9" s="26" customFormat="1">
      <c r="A1119" s="947">
        <v>4</v>
      </c>
      <c r="B1119" s="948">
        <v>581</v>
      </c>
      <c r="C1119" s="948" t="s">
        <v>340</v>
      </c>
      <c r="D1119" s="947" t="s">
        <v>2</v>
      </c>
      <c r="E1119" s="950">
        <v>67</v>
      </c>
      <c r="F1119" s="950">
        <v>5</v>
      </c>
      <c r="G1119" s="951">
        <v>280</v>
      </c>
      <c r="H1119" s="951">
        <v>275.91000000000003</v>
      </c>
      <c r="I1119" s="18"/>
    </row>
    <row r="1120" spans="1:9">
      <c r="A1120" s="943">
        <v>4</v>
      </c>
      <c r="B1120" s="944">
        <v>582</v>
      </c>
      <c r="C1120" s="944" t="s">
        <v>341</v>
      </c>
      <c r="D1120" s="943" t="s">
        <v>2</v>
      </c>
      <c r="E1120" s="945">
        <v>5</v>
      </c>
      <c r="F1120" s="945">
        <v>2</v>
      </c>
      <c r="G1120" s="946">
        <v>250</v>
      </c>
      <c r="H1120" s="946">
        <v>207</v>
      </c>
    </row>
    <row r="1121" spans="1:9" s="26" customFormat="1">
      <c r="A1121" s="947">
        <v>4</v>
      </c>
      <c r="B1121" s="948">
        <v>583</v>
      </c>
      <c r="C1121" s="948" t="s">
        <v>342</v>
      </c>
      <c r="D1121" s="947" t="s">
        <v>17</v>
      </c>
      <c r="E1121" s="949">
        <v>33730</v>
      </c>
      <c r="F1121" s="950">
        <v>5</v>
      </c>
      <c r="G1121" s="951">
        <v>34</v>
      </c>
      <c r="H1121" s="951">
        <v>36.31</v>
      </c>
      <c r="I1121" s="18"/>
    </row>
    <row r="1122" spans="1:9">
      <c r="A1122" s="943">
        <v>4</v>
      </c>
      <c r="B1122" s="944">
        <v>590</v>
      </c>
      <c r="C1122" s="944" t="s">
        <v>343</v>
      </c>
      <c r="D1122" s="943" t="s">
        <v>17</v>
      </c>
      <c r="E1122" s="952">
        <v>1125</v>
      </c>
      <c r="F1122" s="945">
        <v>1</v>
      </c>
      <c r="G1122" s="946">
        <v>12</v>
      </c>
      <c r="H1122" s="946">
        <v>13.33</v>
      </c>
    </row>
    <row r="1123" spans="1:9" s="26" customFormat="1">
      <c r="A1123" s="947">
        <v>4</v>
      </c>
      <c r="B1123" s="948">
        <v>594</v>
      </c>
      <c r="C1123" s="948" t="s">
        <v>346</v>
      </c>
      <c r="D1123" s="947" t="s">
        <v>17</v>
      </c>
      <c r="E1123" s="949">
        <v>67250</v>
      </c>
      <c r="F1123" s="950">
        <v>10</v>
      </c>
      <c r="G1123" s="951">
        <v>8</v>
      </c>
      <c r="H1123" s="951">
        <v>8.09</v>
      </c>
      <c r="I1123" s="18"/>
    </row>
    <row r="1124" spans="1:9">
      <c r="A1124" s="943">
        <v>4</v>
      </c>
      <c r="B1124" s="944">
        <v>595</v>
      </c>
      <c r="C1124" s="944" t="s">
        <v>347</v>
      </c>
      <c r="D1124" s="943" t="s">
        <v>2</v>
      </c>
      <c r="E1124" s="945">
        <v>161</v>
      </c>
      <c r="F1124" s="945">
        <v>4</v>
      </c>
      <c r="G1124" s="946">
        <v>85</v>
      </c>
      <c r="H1124" s="946">
        <v>97.88</v>
      </c>
    </row>
    <row r="1125" spans="1:9" s="26" customFormat="1">
      <c r="A1125" s="947">
        <v>4</v>
      </c>
      <c r="B1125" s="948">
        <v>596</v>
      </c>
      <c r="C1125" s="948" t="s">
        <v>348</v>
      </c>
      <c r="D1125" s="947" t="s">
        <v>2</v>
      </c>
      <c r="E1125" s="950">
        <v>126</v>
      </c>
      <c r="F1125" s="950">
        <v>3</v>
      </c>
      <c r="G1125" s="951">
        <v>97.5</v>
      </c>
      <c r="H1125" s="951">
        <v>98.33</v>
      </c>
      <c r="I1125" s="18"/>
    </row>
    <row r="1126" spans="1:9">
      <c r="A1126" s="943">
        <v>4</v>
      </c>
      <c r="B1126" s="944">
        <v>597</v>
      </c>
      <c r="C1126" s="944" t="s">
        <v>349</v>
      </c>
      <c r="D1126" s="943" t="s">
        <v>17</v>
      </c>
      <c r="E1126" s="952">
        <v>19754</v>
      </c>
      <c r="F1126" s="945">
        <v>5</v>
      </c>
      <c r="G1126" s="946">
        <v>5.15</v>
      </c>
      <c r="H1126" s="946">
        <v>4.58</v>
      </c>
    </row>
    <row r="1127" spans="1:9" s="26" customFormat="1">
      <c r="A1127" s="947">
        <v>4</v>
      </c>
      <c r="B1127" s="948">
        <v>620.12</v>
      </c>
      <c r="C1127" s="948" t="s">
        <v>1252</v>
      </c>
      <c r="D1127" s="947" t="s">
        <v>17</v>
      </c>
      <c r="E1127" s="949">
        <v>11035</v>
      </c>
      <c r="F1127" s="950">
        <v>4</v>
      </c>
      <c r="G1127" s="951">
        <v>36.75</v>
      </c>
      <c r="H1127" s="951">
        <v>37.729999999999997</v>
      </c>
      <c r="I1127" s="18"/>
    </row>
    <row r="1128" spans="1:9">
      <c r="A1128" s="943">
        <v>4</v>
      </c>
      <c r="B1128" s="944">
        <v>620.13</v>
      </c>
      <c r="C1128" s="944" t="s">
        <v>1398</v>
      </c>
      <c r="D1128" s="943" t="s">
        <v>17</v>
      </c>
      <c r="E1128" s="952">
        <v>38875</v>
      </c>
      <c r="F1128" s="945">
        <v>6</v>
      </c>
      <c r="G1128" s="946">
        <v>43.5</v>
      </c>
      <c r="H1128" s="946">
        <v>44.52</v>
      </c>
    </row>
    <row r="1129" spans="1:9" s="26" customFormat="1">
      <c r="A1129" s="947">
        <v>4</v>
      </c>
      <c r="B1129" s="948">
        <v>620.13099999999997</v>
      </c>
      <c r="C1129" s="948" t="s">
        <v>1399</v>
      </c>
      <c r="D1129" s="947" t="s">
        <v>17</v>
      </c>
      <c r="E1129" s="949">
        <v>1834</v>
      </c>
      <c r="F1129" s="950">
        <v>3</v>
      </c>
      <c r="G1129" s="951">
        <v>56.09</v>
      </c>
      <c r="H1129" s="951">
        <v>57.8</v>
      </c>
      <c r="I1129" s="18"/>
    </row>
    <row r="1130" spans="1:9">
      <c r="A1130" s="943">
        <v>4</v>
      </c>
      <c r="B1130" s="944">
        <v>620.32000000000005</v>
      </c>
      <c r="C1130" s="944" t="s">
        <v>1253</v>
      </c>
      <c r="D1130" s="943" t="s">
        <v>17</v>
      </c>
      <c r="E1130" s="945">
        <v>600</v>
      </c>
      <c r="F1130" s="945">
        <v>1</v>
      </c>
      <c r="G1130" s="946">
        <v>52.5</v>
      </c>
      <c r="H1130" s="946">
        <v>50</v>
      </c>
    </row>
    <row r="1131" spans="1:9" s="26" customFormat="1">
      <c r="A1131" s="947">
        <v>4</v>
      </c>
      <c r="B1131" s="948">
        <v>620.33000000000004</v>
      </c>
      <c r="C1131" s="948" t="s">
        <v>1400</v>
      </c>
      <c r="D1131" s="947" t="s">
        <v>17</v>
      </c>
      <c r="E1131" s="950">
        <v>210</v>
      </c>
      <c r="F1131" s="950">
        <v>1</v>
      </c>
      <c r="G1131" s="951">
        <v>50</v>
      </c>
      <c r="H1131" s="951">
        <v>50.33</v>
      </c>
      <c r="I1131" s="18"/>
    </row>
    <row r="1132" spans="1:9">
      <c r="A1132" s="943">
        <v>4</v>
      </c>
      <c r="B1132" s="944">
        <v>627.1</v>
      </c>
      <c r="C1132" s="944" t="s">
        <v>1403</v>
      </c>
      <c r="D1132" s="943" t="s">
        <v>2</v>
      </c>
      <c r="E1132" s="945">
        <v>158</v>
      </c>
      <c r="F1132" s="945">
        <v>8</v>
      </c>
      <c r="G1132" s="946">
        <v>2575</v>
      </c>
      <c r="H1132" s="946">
        <v>2602.9499999999998</v>
      </c>
    </row>
    <row r="1133" spans="1:9" s="26" customFormat="1">
      <c r="A1133" s="947">
        <v>4</v>
      </c>
      <c r="B1133" s="948">
        <v>627.82000000000005</v>
      </c>
      <c r="C1133" s="948" t="s">
        <v>1406</v>
      </c>
      <c r="D1133" s="947" t="s">
        <v>2</v>
      </c>
      <c r="E1133" s="950">
        <v>38</v>
      </c>
      <c r="F1133" s="950">
        <v>5</v>
      </c>
      <c r="G1133" s="951">
        <v>5632.5</v>
      </c>
      <c r="H1133" s="951">
        <v>5783.27</v>
      </c>
      <c r="I1133" s="18"/>
    </row>
    <row r="1134" spans="1:9">
      <c r="A1134" s="943">
        <v>4</v>
      </c>
      <c r="B1134" s="944">
        <v>627.83000000000004</v>
      </c>
      <c r="C1134" s="944" t="s">
        <v>1407</v>
      </c>
      <c r="D1134" s="943" t="s">
        <v>2</v>
      </c>
      <c r="E1134" s="945">
        <v>92</v>
      </c>
      <c r="F1134" s="945">
        <v>6</v>
      </c>
      <c r="G1134" s="946">
        <v>6120</v>
      </c>
      <c r="H1134" s="946">
        <v>6015.35</v>
      </c>
    </row>
    <row r="1135" spans="1:9" s="26" customFormat="1">
      <c r="A1135" s="947">
        <v>4</v>
      </c>
      <c r="B1135" s="948">
        <v>627.91999999999996</v>
      </c>
      <c r="C1135" s="948" t="s">
        <v>1408</v>
      </c>
      <c r="D1135" s="947" t="s">
        <v>2</v>
      </c>
      <c r="E1135" s="950">
        <v>12</v>
      </c>
      <c r="F1135" s="950">
        <v>1</v>
      </c>
      <c r="G1135" s="951">
        <v>6658.9</v>
      </c>
      <c r="H1135" s="951">
        <v>6479.63</v>
      </c>
      <c r="I1135" s="18"/>
    </row>
    <row r="1136" spans="1:9">
      <c r="A1136" s="943">
        <v>4</v>
      </c>
      <c r="B1136" s="944">
        <v>628.21</v>
      </c>
      <c r="C1136" s="944" t="s">
        <v>1410</v>
      </c>
      <c r="D1136" s="943" t="s">
        <v>2</v>
      </c>
      <c r="E1136" s="945">
        <v>126</v>
      </c>
      <c r="F1136" s="945">
        <v>5</v>
      </c>
      <c r="G1136" s="946">
        <v>2234.37</v>
      </c>
      <c r="H1136" s="946">
        <v>2222.5700000000002</v>
      </c>
    </row>
    <row r="1137" spans="1:9" s="26" customFormat="1">
      <c r="A1137" s="947">
        <v>4</v>
      </c>
      <c r="B1137" s="948">
        <v>628.22</v>
      </c>
      <c r="C1137" s="948" t="s">
        <v>1411</v>
      </c>
      <c r="D1137" s="947" t="s">
        <v>2</v>
      </c>
      <c r="E1137" s="950">
        <v>12</v>
      </c>
      <c r="F1137" s="950">
        <v>2</v>
      </c>
      <c r="G1137" s="951">
        <v>6725</v>
      </c>
      <c r="H1137" s="951">
        <v>6716.67</v>
      </c>
      <c r="I1137" s="18"/>
    </row>
    <row r="1138" spans="1:9">
      <c r="A1138" s="943">
        <v>4</v>
      </c>
      <c r="B1138" s="944">
        <v>628.24</v>
      </c>
      <c r="C1138" s="944" t="s">
        <v>1413</v>
      </c>
      <c r="D1138" s="943" t="s">
        <v>2</v>
      </c>
      <c r="E1138" s="945">
        <v>38</v>
      </c>
      <c r="F1138" s="945">
        <v>3</v>
      </c>
      <c r="G1138" s="946">
        <v>6535</v>
      </c>
      <c r="H1138" s="946">
        <v>6385.83</v>
      </c>
    </row>
    <row r="1139" spans="1:9" s="26" customFormat="1">
      <c r="A1139" s="947">
        <v>4</v>
      </c>
      <c r="B1139" s="948">
        <v>628.30499999999995</v>
      </c>
      <c r="C1139" s="948" t="s">
        <v>2413</v>
      </c>
      <c r="D1139" s="947" t="s">
        <v>2</v>
      </c>
      <c r="E1139" s="950">
        <v>26</v>
      </c>
      <c r="F1139" s="950">
        <v>2</v>
      </c>
      <c r="G1139" s="951">
        <v>8500</v>
      </c>
      <c r="H1139" s="951">
        <v>8339.3799999999992</v>
      </c>
      <c r="I1139" s="18"/>
    </row>
    <row r="1140" spans="1:9">
      <c r="A1140" s="943">
        <v>4</v>
      </c>
      <c r="B1140" s="944">
        <v>628.31200000000001</v>
      </c>
      <c r="C1140" s="944" t="s">
        <v>2414</v>
      </c>
      <c r="D1140" s="943" t="s">
        <v>2</v>
      </c>
      <c r="E1140" s="945">
        <v>3</v>
      </c>
      <c r="F1140" s="945">
        <v>1</v>
      </c>
      <c r="G1140" s="946">
        <v>35800</v>
      </c>
      <c r="H1140" s="946">
        <v>40166.67</v>
      </c>
    </row>
    <row r="1141" spans="1:9" s="26" customFormat="1">
      <c r="A1141" s="947">
        <v>4</v>
      </c>
      <c r="B1141" s="948">
        <v>628.31500000000005</v>
      </c>
      <c r="C1141" s="948" t="s">
        <v>2417</v>
      </c>
      <c r="D1141" s="947" t="s">
        <v>2</v>
      </c>
      <c r="E1141" s="950">
        <v>50</v>
      </c>
      <c r="F1141" s="950">
        <v>3</v>
      </c>
      <c r="G1141" s="951">
        <v>7600</v>
      </c>
      <c r="H1141" s="951">
        <v>7169.17</v>
      </c>
      <c r="I1141" s="18"/>
    </row>
    <row r="1142" spans="1:9">
      <c r="A1142" s="943">
        <v>4</v>
      </c>
      <c r="B1142" s="944">
        <v>628.32000000000005</v>
      </c>
      <c r="C1142" s="944" t="s">
        <v>4003</v>
      </c>
      <c r="D1142" s="943" t="s">
        <v>2</v>
      </c>
      <c r="E1142" s="945">
        <v>10</v>
      </c>
      <c r="F1142" s="945">
        <v>1</v>
      </c>
      <c r="G1142" s="946">
        <v>39170</v>
      </c>
      <c r="H1142" s="946">
        <v>45960</v>
      </c>
    </row>
    <row r="1143" spans="1:9" s="26" customFormat="1">
      <c r="A1143" s="947">
        <v>4</v>
      </c>
      <c r="B1143" s="948">
        <v>628.4</v>
      </c>
      <c r="C1143" s="948" t="s">
        <v>3901</v>
      </c>
      <c r="D1143" s="947" t="s">
        <v>2</v>
      </c>
      <c r="E1143" s="950">
        <v>257</v>
      </c>
      <c r="F1143" s="950">
        <v>8</v>
      </c>
      <c r="G1143" s="951">
        <v>2000</v>
      </c>
      <c r="H1143" s="951">
        <v>2094.35</v>
      </c>
      <c r="I1143" s="18"/>
    </row>
    <row r="1144" spans="1:9">
      <c r="A1144" s="943">
        <v>4</v>
      </c>
      <c r="B1144" s="944">
        <v>629.1</v>
      </c>
      <c r="C1144" s="944" t="s">
        <v>353</v>
      </c>
      <c r="D1144" s="943" t="s">
        <v>17</v>
      </c>
      <c r="E1144" s="952">
        <v>1640</v>
      </c>
      <c r="F1144" s="945">
        <v>2</v>
      </c>
      <c r="G1144" s="946">
        <v>202.5</v>
      </c>
      <c r="H1144" s="946">
        <v>200</v>
      </c>
    </row>
    <row r="1145" spans="1:9" s="26" customFormat="1">
      <c r="A1145" s="947">
        <v>4</v>
      </c>
      <c r="B1145" s="948">
        <v>629.5</v>
      </c>
      <c r="C1145" s="948" t="s">
        <v>1416</v>
      </c>
      <c r="D1145" s="947" t="s">
        <v>4</v>
      </c>
      <c r="E1145" s="950">
        <v>32</v>
      </c>
      <c r="F1145" s="950">
        <v>1</v>
      </c>
      <c r="G1145" s="951">
        <v>1110</v>
      </c>
      <c r="H1145" s="951">
        <v>1060</v>
      </c>
      <c r="I1145" s="18"/>
    </row>
    <row r="1146" spans="1:9">
      <c r="A1146" s="943">
        <v>4</v>
      </c>
      <c r="B1146" s="944">
        <v>630</v>
      </c>
      <c r="C1146" s="944" t="s">
        <v>356</v>
      </c>
      <c r="D1146" s="943" t="s">
        <v>17</v>
      </c>
      <c r="E1146" s="945">
        <v>350</v>
      </c>
      <c r="F1146" s="945">
        <v>1</v>
      </c>
      <c r="G1146" s="946">
        <v>30</v>
      </c>
      <c r="H1146" s="946">
        <v>29.8</v>
      </c>
    </row>
    <row r="1147" spans="1:9" s="26" customFormat="1">
      <c r="A1147" s="947">
        <v>4</v>
      </c>
      <c r="B1147" s="948">
        <v>630.20000000000005</v>
      </c>
      <c r="C1147" s="948" t="s">
        <v>358</v>
      </c>
      <c r="D1147" s="947" t="s">
        <v>17</v>
      </c>
      <c r="E1147" s="949">
        <v>66165</v>
      </c>
      <c r="F1147" s="950">
        <v>8</v>
      </c>
      <c r="G1147" s="951">
        <v>10</v>
      </c>
      <c r="H1147" s="951">
        <v>8.6300000000000008</v>
      </c>
      <c r="I1147" s="18"/>
    </row>
    <row r="1148" spans="1:9">
      <c r="A1148" s="943">
        <v>4</v>
      </c>
      <c r="B1148" s="944">
        <v>632</v>
      </c>
      <c r="C1148" s="944" t="s">
        <v>359</v>
      </c>
      <c r="D1148" s="943" t="s">
        <v>2</v>
      </c>
      <c r="E1148" s="945">
        <v>25</v>
      </c>
      <c r="F1148" s="945">
        <v>1</v>
      </c>
      <c r="G1148" s="946">
        <v>195</v>
      </c>
      <c r="H1148" s="946">
        <v>195</v>
      </c>
    </row>
    <row r="1149" spans="1:9" s="26" customFormat="1">
      <c r="A1149" s="947">
        <v>4</v>
      </c>
      <c r="B1149" s="948">
        <v>655</v>
      </c>
      <c r="C1149" s="948" t="s">
        <v>386</v>
      </c>
      <c r="D1149" s="947" t="s">
        <v>17</v>
      </c>
      <c r="E1149" s="949">
        <v>11550</v>
      </c>
      <c r="F1149" s="950">
        <v>2</v>
      </c>
      <c r="G1149" s="951">
        <v>85</v>
      </c>
      <c r="H1149" s="951">
        <v>80.3</v>
      </c>
      <c r="I1149" s="18"/>
    </row>
    <row r="1150" spans="1:9">
      <c r="A1150" s="943">
        <v>4</v>
      </c>
      <c r="B1150" s="944">
        <v>657</v>
      </c>
      <c r="C1150" s="944" t="s">
        <v>387</v>
      </c>
      <c r="D1150" s="943" t="s">
        <v>17</v>
      </c>
      <c r="E1150" s="952">
        <v>10570</v>
      </c>
      <c r="F1150" s="945">
        <v>4</v>
      </c>
      <c r="G1150" s="946">
        <v>30</v>
      </c>
      <c r="H1150" s="946">
        <v>28.2</v>
      </c>
    </row>
    <row r="1151" spans="1:9" s="26" customFormat="1">
      <c r="A1151" s="947">
        <v>4</v>
      </c>
      <c r="B1151" s="948">
        <v>657.5</v>
      </c>
      <c r="C1151" s="948" t="s">
        <v>388</v>
      </c>
      <c r="D1151" s="947" t="s">
        <v>17</v>
      </c>
      <c r="E1151" s="949">
        <v>13010</v>
      </c>
      <c r="F1151" s="950">
        <v>3</v>
      </c>
      <c r="G1151" s="951">
        <v>23.5</v>
      </c>
      <c r="H1151" s="951">
        <v>23.35</v>
      </c>
      <c r="I1151" s="18"/>
    </row>
    <row r="1152" spans="1:9">
      <c r="A1152" s="943">
        <v>4</v>
      </c>
      <c r="B1152" s="944">
        <v>660</v>
      </c>
      <c r="C1152" s="944" t="s">
        <v>389</v>
      </c>
      <c r="D1152" s="943" t="s">
        <v>17</v>
      </c>
      <c r="E1152" s="945">
        <v>40</v>
      </c>
      <c r="F1152" s="945">
        <v>1</v>
      </c>
      <c r="G1152" s="946">
        <v>410</v>
      </c>
      <c r="H1152" s="946">
        <v>455</v>
      </c>
    </row>
    <row r="1153" spans="1:9" s="26" customFormat="1">
      <c r="A1153" s="947">
        <v>4</v>
      </c>
      <c r="B1153" s="948">
        <v>665</v>
      </c>
      <c r="C1153" s="948" t="s">
        <v>390</v>
      </c>
      <c r="D1153" s="947" t="s">
        <v>17</v>
      </c>
      <c r="E1153" s="950">
        <v>680</v>
      </c>
      <c r="F1153" s="950">
        <v>1</v>
      </c>
      <c r="G1153" s="951">
        <v>34</v>
      </c>
      <c r="H1153" s="951">
        <v>40.25</v>
      </c>
      <c r="I1153" s="18"/>
    </row>
    <row r="1154" spans="1:9">
      <c r="A1154" s="943">
        <v>4</v>
      </c>
      <c r="B1154" s="944">
        <v>666</v>
      </c>
      <c r="C1154" s="944" t="s">
        <v>391</v>
      </c>
      <c r="D1154" s="943" t="s">
        <v>17</v>
      </c>
      <c r="E1154" s="952">
        <v>1750</v>
      </c>
      <c r="F1154" s="945">
        <v>2</v>
      </c>
      <c r="G1154" s="946">
        <v>81.599999999999994</v>
      </c>
      <c r="H1154" s="946">
        <v>106.44</v>
      </c>
    </row>
    <row r="1155" spans="1:9" s="26" customFormat="1">
      <c r="A1155" s="947">
        <v>4</v>
      </c>
      <c r="B1155" s="948">
        <v>667</v>
      </c>
      <c r="C1155" s="948" t="s">
        <v>4039</v>
      </c>
      <c r="D1155" s="947" t="s">
        <v>2</v>
      </c>
      <c r="E1155" s="950">
        <v>3</v>
      </c>
      <c r="F1155" s="950">
        <v>1</v>
      </c>
      <c r="G1155" s="951">
        <v>1400</v>
      </c>
      <c r="H1155" s="951">
        <v>1533.33</v>
      </c>
      <c r="I1155" s="18"/>
    </row>
    <row r="1156" spans="1:9">
      <c r="A1156" s="943">
        <v>4</v>
      </c>
      <c r="B1156" s="944">
        <v>668</v>
      </c>
      <c r="C1156" s="944" t="s">
        <v>4040</v>
      </c>
      <c r="D1156" s="943" t="s">
        <v>2</v>
      </c>
      <c r="E1156" s="945">
        <v>6</v>
      </c>
      <c r="F1156" s="945">
        <v>1</v>
      </c>
      <c r="G1156" s="946">
        <v>4250</v>
      </c>
      <c r="H1156" s="946">
        <v>4337.5</v>
      </c>
    </row>
    <row r="1157" spans="1:9" s="26" customFormat="1">
      <c r="A1157" s="947">
        <v>4</v>
      </c>
      <c r="B1157" s="948">
        <v>669</v>
      </c>
      <c r="C1157" s="948" t="s">
        <v>393</v>
      </c>
      <c r="D1157" s="947" t="s">
        <v>17</v>
      </c>
      <c r="E1157" s="949">
        <v>5810</v>
      </c>
      <c r="F1157" s="950">
        <v>5</v>
      </c>
      <c r="G1157" s="951">
        <v>25</v>
      </c>
      <c r="H1157" s="951">
        <v>19.53</v>
      </c>
      <c r="I1157" s="18"/>
    </row>
    <row r="1158" spans="1:9">
      <c r="A1158" s="943">
        <v>4</v>
      </c>
      <c r="B1158" s="944">
        <v>670</v>
      </c>
      <c r="C1158" s="944" t="s">
        <v>394</v>
      </c>
      <c r="D1158" s="943" t="s">
        <v>17</v>
      </c>
      <c r="E1158" s="945">
        <v>650</v>
      </c>
      <c r="F1158" s="945">
        <v>1</v>
      </c>
      <c r="G1158" s="946">
        <v>85</v>
      </c>
      <c r="H1158" s="946">
        <v>87</v>
      </c>
    </row>
    <row r="1159" spans="1:9" s="26" customFormat="1">
      <c r="A1159" s="947">
        <v>4</v>
      </c>
      <c r="B1159" s="948">
        <v>672</v>
      </c>
      <c r="C1159" s="948" t="s">
        <v>395</v>
      </c>
      <c r="D1159" s="947" t="s">
        <v>2</v>
      </c>
      <c r="E1159" s="950">
        <v>4</v>
      </c>
      <c r="F1159" s="950">
        <v>1</v>
      </c>
      <c r="G1159" s="951">
        <v>2250</v>
      </c>
      <c r="H1159" s="951">
        <v>2195.5</v>
      </c>
      <c r="I1159" s="18"/>
    </row>
    <row r="1160" spans="1:9">
      <c r="A1160" s="943">
        <v>4</v>
      </c>
      <c r="B1160" s="944">
        <v>685</v>
      </c>
      <c r="C1160" s="944" t="s">
        <v>396</v>
      </c>
      <c r="D1160" s="943" t="s">
        <v>4</v>
      </c>
      <c r="E1160" s="945">
        <v>830</v>
      </c>
      <c r="F1160" s="945">
        <v>3</v>
      </c>
      <c r="G1160" s="946">
        <v>1610</v>
      </c>
      <c r="H1160" s="946">
        <v>1563.9</v>
      </c>
    </row>
    <row r="1161" spans="1:9" s="26" customFormat="1">
      <c r="A1161" s="947">
        <v>4</v>
      </c>
      <c r="B1161" s="948">
        <v>685.1</v>
      </c>
      <c r="C1161" s="948" t="s">
        <v>2506</v>
      </c>
      <c r="D1161" s="947" t="s">
        <v>4</v>
      </c>
      <c r="E1161" s="950">
        <v>30</v>
      </c>
      <c r="F1161" s="950">
        <v>1</v>
      </c>
      <c r="G1161" s="951">
        <v>1350</v>
      </c>
      <c r="H1161" s="951">
        <v>1354.5</v>
      </c>
      <c r="I1161" s="18"/>
    </row>
    <row r="1162" spans="1:9">
      <c r="A1162" s="943">
        <v>4</v>
      </c>
      <c r="B1162" s="944">
        <v>697</v>
      </c>
      <c r="C1162" s="944" t="s">
        <v>400</v>
      </c>
      <c r="D1162" s="943" t="s">
        <v>17</v>
      </c>
      <c r="E1162" s="945">
        <v>75</v>
      </c>
      <c r="F1162" s="945">
        <v>1</v>
      </c>
      <c r="G1162" s="946">
        <v>9</v>
      </c>
      <c r="H1162" s="946">
        <v>8.67</v>
      </c>
    </row>
    <row r="1163" spans="1:9" s="26" customFormat="1">
      <c r="A1163" s="947">
        <v>4</v>
      </c>
      <c r="B1163" s="948">
        <v>697.1</v>
      </c>
      <c r="C1163" s="948" t="s">
        <v>401</v>
      </c>
      <c r="D1163" s="947" t="s">
        <v>2</v>
      </c>
      <c r="E1163" s="949">
        <v>3633</v>
      </c>
      <c r="F1163" s="950">
        <v>11</v>
      </c>
      <c r="G1163" s="951">
        <v>225</v>
      </c>
      <c r="H1163" s="951">
        <v>219.13</v>
      </c>
      <c r="I1163" s="18"/>
    </row>
    <row r="1164" spans="1:9">
      <c r="A1164" s="943">
        <v>4</v>
      </c>
      <c r="B1164" s="944">
        <v>698.3</v>
      </c>
      <c r="C1164" s="944" t="s">
        <v>404</v>
      </c>
      <c r="D1164" s="943" t="s">
        <v>1</v>
      </c>
      <c r="E1164" s="952">
        <v>1635</v>
      </c>
      <c r="F1164" s="945">
        <v>6</v>
      </c>
      <c r="G1164" s="946">
        <v>10</v>
      </c>
      <c r="H1164" s="946">
        <v>9.81</v>
      </c>
    </row>
    <row r="1165" spans="1:9" s="26" customFormat="1">
      <c r="A1165" s="947">
        <v>4</v>
      </c>
      <c r="B1165" s="948">
        <v>698.4</v>
      </c>
      <c r="C1165" s="948" t="s">
        <v>405</v>
      </c>
      <c r="D1165" s="947" t="s">
        <v>1</v>
      </c>
      <c r="E1165" s="949">
        <v>1880</v>
      </c>
      <c r="F1165" s="950">
        <v>2</v>
      </c>
      <c r="G1165" s="951">
        <v>8</v>
      </c>
      <c r="H1165" s="951">
        <v>7</v>
      </c>
      <c r="I1165" s="18"/>
    </row>
    <row r="1166" spans="1:9">
      <c r="A1166" s="943">
        <v>4</v>
      </c>
      <c r="B1166" s="944">
        <v>701</v>
      </c>
      <c r="C1166" s="944" t="s">
        <v>406</v>
      </c>
      <c r="D1166" s="943" t="s">
        <v>1</v>
      </c>
      <c r="E1166" s="952">
        <v>107270</v>
      </c>
      <c r="F1166" s="945">
        <v>15</v>
      </c>
      <c r="G1166" s="946">
        <v>95</v>
      </c>
      <c r="H1166" s="946">
        <v>93.99</v>
      </c>
    </row>
    <row r="1167" spans="1:9" s="26" customFormat="1">
      <c r="A1167" s="947">
        <v>4</v>
      </c>
      <c r="B1167" s="948">
        <v>701.1</v>
      </c>
      <c r="C1167" s="948" t="s">
        <v>407</v>
      </c>
      <c r="D1167" s="947" t="s">
        <v>1</v>
      </c>
      <c r="E1167" s="949">
        <v>50347</v>
      </c>
      <c r="F1167" s="950">
        <v>10</v>
      </c>
      <c r="G1167" s="951">
        <v>110</v>
      </c>
      <c r="H1167" s="951">
        <v>103.53</v>
      </c>
      <c r="I1167" s="18"/>
    </row>
    <row r="1168" spans="1:9">
      <c r="A1168" s="943">
        <v>4</v>
      </c>
      <c r="B1168" s="944">
        <v>701.2</v>
      </c>
      <c r="C1168" s="944" t="s">
        <v>1422</v>
      </c>
      <c r="D1168" s="943" t="s">
        <v>1</v>
      </c>
      <c r="E1168" s="952">
        <v>31306</v>
      </c>
      <c r="F1168" s="945">
        <v>13</v>
      </c>
      <c r="G1168" s="946">
        <v>136.5</v>
      </c>
      <c r="H1168" s="946">
        <v>127.5</v>
      </c>
    </row>
    <row r="1169" spans="1:9" s="26" customFormat="1">
      <c r="A1169" s="947">
        <v>4</v>
      </c>
      <c r="B1169" s="948">
        <v>702</v>
      </c>
      <c r="C1169" s="948" t="s">
        <v>1423</v>
      </c>
      <c r="D1169" s="947" t="s">
        <v>7</v>
      </c>
      <c r="E1169" s="949">
        <v>23195</v>
      </c>
      <c r="F1169" s="950">
        <v>15</v>
      </c>
      <c r="G1169" s="951">
        <v>285</v>
      </c>
      <c r="H1169" s="951">
        <v>279.86</v>
      </c>
      <c r="I1169" s="18"/>
    </row>
    <row r="1170" spans="1:9">
      <c r="A1170" s="943">
        <v>4</v>
      </c>
      <c r="B1170" s="944">
        <v>704.1</v>
      </c>
      <c r="C1170" s="944" t="s">
        <v>2509</v>
      </c>
      <c r="D1170" s="943" t="s">
        <v>7</v>
      </c>
      <c r="E1170" s="945">
        <v>55</v>
      </c>
      <c r="F1170" s="945">
        <v>2</v>
      </c>
      <c r="G1170" s="946">
        <v>112.5</v>
      </c>
      <c r="H1170" s="946">
        <v>137.13999999999999</v>
      </c>
    </row>
    <row r="1171" spans="1:9" s="26" customFormat="1">
      <c r="A1171" s="947">
        <v>4</v>
      </c>
      <c r="B1171" s="948">
        <v>705.1</v>
      </c>
      <c r="C1171" s="948" t="s">
        <v>409</v>
      </c>
      <c r="D1171" s="947" t="s">
        <v>1</v>
      </c>
      <c r="E1171" s="950">
        <v>20</v>
      </c>
      <c r="F1171" s="950">
        <v>1</v>
      </c>
      <c r="G1171" s="951">
        <v>570</v>
      </c>
      <c r="H1171" s="951">
        <v>505</v>
      </c>
      <c r="I1171" s="18"/>
    </row>
    <row r="1172" spans="1:9">
      <c r="A1172" s="943">
        <v>4</v>
      </c>
      <c r="B1172" s="944">
        <v>706.1</v>
      </c>
      <c r="C1172" s="944" t="s">
        <v>411</v>
      </c>
      <c r="D1172" s="943" t="s">
        <v>1</v>
      </c>
      <c r="E1172" s="945">
        <v>250</v>
      </c>
      <c r="F1172" s="945">
        <v>2</v>
      </c>
      <c r="G1172" s="946">
        <v>450</v>
      </c>
      <c r="H1172" s="946">
        <v>447</v>
      </c>
    </row>
    <row r="1173" spans="1:9" s="26" customFormat="1">
      <c r="A1173" s="947">
        <v>4</v>
      </c>
      <c r="B1173" s="948">
        <v>707.2</v>
      </c>
      <c r="C1173" s="948" t="s">
        <v>415</v>
      </c>
      <c r="D1173" s="947" t="s">
        <v>2</v>
      </c>
      <c r="E1173" s="950">
        <v>15</v>
      </c>
      <c r="F1173" s="950">
        <v>1</v>
      </c>
      <c r="G1173" s="951">
        <v>4200</v>
      </c>
      <c r="H1173" s="951">
        <v>4040</v>
      </c>
      <c r="I1173" s="18"/>
    </row>
    <row r="1174" spans="1:9">
      <c r="A1174" s="943">
        <v>4</v>
      </c>
      <c r="B1174" s="944">
        <v>707.8</v>
      </c>
      <c r="C1174" s="944" t="s">
        <v>416</v>
      </c>
      <c r="D1174" s="943" t="s">
        <v>2</v>
      </c>
      <c r="E1174" s="945">
        <v>67</v>
      </c>
      <c r="F1174" s="945">
        <v>2</v>
      </c>
      <c r="G1174" s="946">
        <v>2500</v>
      </c>
      <c r="H1174" s="946">
        <v>2350</v>
      </c>
    </row>
    <row r="1175" spans="1:9" s="26" customFormat="1">
      <c r="A1175" s="947">
        <v>4</v>
      </c>
      <c r="B1175" s="948">
        <v>710.3</v>
      </c>
      <c r="C1175" s="948" t="s">
        <v>48</v>
      </c>
      <c r="D1175" s="947" t="s">
        <v>2</v>
      </c>
      <c r="E1175" s="950">
        <v>582</v>
      </c>
      <c r="F1175" s="950">
        <v>3</v>
      </c>
      <c r="G1175" s="951">
        <v>775</v>
      </c>
      <c r="H1175" s="951">
        <v>748.33</v>
      </c>
      <c r="I1175" s="18"/>
    </row>
    <row r="1176" spans="1:9">
      <c r="A1176" s="943">
        <v>4</v>
      </c>
      <c r="B1176" s="944">
        <v>710.4</v>
      </c>
      <c r="C1176" s="944" t="s">
        <v>417</v>
      </c>
      <c r="D1176" s="943" t="s">
        <v>2</v>
      </c>
      <c r="E1176" s="945">
        <v>124</v>
      </c>
      <c r="F1176" s="945">
        <v>2</v>
      </c>
      <c r="G1176" s="946">
        <v>850</v>
      </c>
      <c r="H1176" s="946">
        <v>813.13</v>
      </c>
    </row>
    <row r="1177" spans="1:9" s="26" customFormat="1">
      <c r="A1177" s="947">
        <v>4</v>
      </c>
      <c r="B1177" s="948">
        <v>711</v>
      </c>
      <c r="C1177" s="948" t="s">
        <v>418</v>
      </c>
      <c r="D1177" s="947" t="s">
        <v>2</v>
      </c>
      <c r="E1177" s="950">
        <v>71</v>
      </c>
      <c r="F1177" s="950">
        <v>7</v>
      </c>
      <c r="G1177" s="951">
        <v>759.5</v>
      </c>
      <c r="H1177" s="951">
        <v>779.97</v>
      </c>
      <c r="I1177" s="18"/>
    </row>
    <row r="1178" spans="1:9">
      <c r="A1178" s="943">
        <v>4</v>
      </c>
      <c r="B1178" s="944">
        <v>715</v>
      </c>
      <c r="C1178" s="944" t="s">
        <v>422</v>
      </c>
      <c r="D1178" s="943" t="s">
        <v>2</v>
      </c>
      <c r="E1178" s="945">
        <v>488</v>
      </c>
      <c r="F1178" s="945">
        <v>4</v>
      </c>
      <c r="G1178" s="946">
        <v>290</v>
      </c>
      <c r="H1178" s="946">
        <v>291.58999999999997</v>
      </c>
    </row>
    <row r="1179" spans="1:9" s="26" customFormat="1">
      <c r="A1179" s="947">
        <v>4</v>
      </c>
      <c r="B1179" s="948">
        <v>715.1</v>
      </c>
      <c r="C1179" s="948" t="s">
        <v>423</v>
      </c>
      <c r="D1179" s="947" t="s">
        <v>2</v>
      </c>
      <c r="E1179" s="950">
        <v>8</v>
      </c>
      <c r="F1179" s="950">
        <v>3</v>
      </c>
      <c r="G1179" s="951">
        <v>500</v>
      </c>
      <c r="H1179" s="951">
        <v>443.75</v>
      </c>
      <c r="I1179" s="18"/>
    </row>
    <row r="1180" spans="1:9">
      <c r="A1180" s="943">
        <v>4</v>
      </c>
      <c r="B1180" s="944">
        <v>740</v>
      </c>
      <c r="C1180" s="944" t="s">
        <v>4023</v>
      </c>
      <c r="D1180" s="943" t="s">
        <v>428</v>
      </c>
      <c r="E1180" s="952">
        <v>2399</v>
      </c>
      <c r="F1180" s="945">
        <v>19</v>
      </c>
      <c r="G1180" s="946">
        <v>4000</v>
      </c>
      <c r="H1180" s="946">
        <v>3816.31</v>
      </c>
    </row>
    <row r="1181" spans="1:9" s="26" customFormat="1">
      <c r="A1181" s="947">
        <v>4</v>
      </c>
      <c r="B1181" s="948">
        <v>747</v>
      </c>
      <c r="C1181" s="948" t="s">
        <v>429</v>
      </c>
      <c r="D1181" s="947" t="s">
        <v>22</v>
      </c>
      <c r="E1181" s="950">
        <v>6</v>
      </c>
      <c r="F1181" s="950">
        <v>4</v>
      </c>
      <c r="G1181" s="951">
        <v>5000</v>
      </c>
      <c r="H1181" s="951">
        <v>4666.67</v>
      </c>
      <c r="I1181" s="18"/>
    </row>
    <row r="1182" spans="1:9">
      <c r="A1182" s="943">
        <v>4</v>
      </c>
      <c r="B1182" s="944">
        <v>748</v>
      </c>
      <c r="C1182" s="944" t="s">
        <v>430</v>
      </c>
      <c r="D1182" s="943" t="s">
        <v>22</v>
      </c>
      <c r="E1182" s="945">
        <v>23</v>
      </c>
      <c r="F1182" s="945">
        <v>9</v>
      </c>
      <c r="G1182" s="946">
        <v>254000</v>
      </c>
      <c r="H1182" s="946">
        <v>235710.57</v>
      </c>
    </row>
    <row r="1183" spans="1:9" s="26" customFormat="1">
      <c r="A1183" s="947">
        <v>4</v>
      </c>
      <c r="B1183" s="948">
        <v>748.1</v>
      </c>
      <c r="C1183" s="948" t="s">
        <v>431</v>
      </c>
      <c r="D1183" s="947" t="s">
        <v>2</v>
      </c>
      <c r="E1183" s="950">
        <v>94</v>
      </c>
      <c r="F1183" s="950">
        <v>10</v>
      </c>
      <c r="G1183" s="951">
        <v>500</v>
      </c>
      <c r="H1183" s="951">
        <v>509.25</v>
      </c>
      <c r="I1183" s="18"/>
    </row>
    <row r="1184" spans="1:9">
      <c r="A1184" s="943">
        <v>4</v>
      </c>
      <c r="B1184" s="944">
        <v>751</v>
      </c>
      <c r="C1184" s="944" t="s">
        <v>3902</v>
      </c>
      <c r="D1184" s="943" t="s">
        <v>4</v>
      </c>
      <c r="E1184" s="952">
        <v>45442</v>
      </c>
      <c r="F1184" s="945">
        <v>12</v>
      </c>
      <c r="G1184" s="946">
        <v>77.5</v>
      </c>
      <c r="H1184" s="946">
        <v>81.23</v>
      </c>
    </row>
    <row r="1185" spans="1:9" s="26" customFormat="1">
      <c r="A1185" s="947">
        <v>4</v>
      </c>
      <c r="B1185" s="948">
        <v>751.1</v>
      </c>
      <c r="C1185" s="948" t="s">
        <v>4004</v>
      </c>
      <c r="D1185" s="947" t="s">
        <v>4</v>
      </c>
      <c r="E1185" s="949">
        <v>14000</v>
      </c>
      <c r="F1185" s="950">
        <v>4</v>
      </c>
      <c r="G1185" s="951">
        <v>80</v>
      </c>
      <c r="H1185" s="951">
        <v>78.319999999999993</v>
      </c>
      <c r="I1185" s="18"/>
    </row>
    <row r="1186" spans="1:9">
      <c r="A1186" s="943">
        <v>4</v>
      </c>
      <c r="B1186" s="944">
        <v>751.7</v>
      </c>
      <c r="C1186" s="944" t="s">
        <v>4005</v>
      </c>
      <c r="D1186" s="943" t="s">
        <v>4</v>
      </c>
      <c r="E1186" s="945">
        <v>672</v>
      </c>
      <c r="F1186" s="945">
        <v>2</v>
      </c>
      <c r="G1186" s="946">
        <v>100</v>
      </c>
      <c r="H1186" s="946">
        <v>106.43</v>
      </c>
    </row>
    <row r="1187" spans="1:9" s="26" customFormat="1">
      <c r="A1187" s="947">
        <v>4</v>
      </c>
      <c r="B1187" s="948">
        <v>755.35</v>
      </c>
      <c r="C1187" s="948" t="s">
        <v>1428</v>
      </c>
      <c r="D1187" s="947" t="s">
        <v>22</v>
      </c>
      <c r="E1187" s="950">
        <v>5</v>
      </c>
      <c r="F1187" s="950">
        <v>3</v>
      </c>
      <c r="G1187" s="951">
        <v>29850</v>
      </c>
      <c r="H1187" s="951">
        <v>29970</v>
      </c>
      <c r="I1187" s="18"/>
    </row>
    <row r="1188" spans="1:9">
      <c r="A1188" s="943">
        <v>4</v>
      </c>
      <c r="B1188" s="944">
        <v>755.75</v>
      </c>
      <c r="C1188" s="944" t="s">
        <v>1430</v>
      </c>
      <c r="D1188" s="943" t="s">
        <v>24</v>
      </c>
      <c r="E1188" s="945">
        <v>240</v>
      </c>
      <c r="F1188" s="945">
        <v>2</v>
      </c>
      <c r="G1188" s="946">
        <v>180</v>
      </c>
      <c r="H1188" s="946">
        <v>173.57</v>
      </c>
    </row>
    <row r="1189" spans="1:9" s="26" customFormat="1">
      <c r="A1189" s="947">
        <v>4</v>
      </c>
      <c r="B1189" s="948">
        <v>755.76</v>
      </c>
      <c r="C1189" s="948" t="s">
        <v>1431</v>
      </c>
      <c r="D1189" s="947" t="s">
        <v>22</v>
      </c>
      <c r="E1189" s="950">
        <v>6</v>
      </c>
      <c r="F1189" s="950">
        <v>2</v>
      </c>
      <c r="G1189" s="951">
        <v>9500</v>
      </c>
      <c r="H1189" s="951">
        <v>8150</v>
      </c>
      <c r="I1189" s="18"/>
    </row>
    <row r="1190" spans="1:9">
      <c r="A1190" s="943">
        <v>4</v>
      </c>
      <c r="B1190" s="944">
        <v>756</v>
      </c>
      <c r="C1190" s="944" t="s">
        <v>432</v>
      </c>
      <c r="D1190" s="943" t="s">
        <v>22</v>
      </c>
      <c r="E1190" s="945">
        <v>29</v>
      </c>
      <c r="F1190" s="945">
        <v>8</v>
      </c>
      <c r="G1190" s="946">
        <v>10000</v>
      </c>
      <c r="H1190" s="946">
        <v>9666.5499999999993</v>
      </c>
    </row>
    <row r="1191" spans="1:9" s="26" customFormat="1">
      <c r="A1191" s="947">
        <v>4</v>
      </c>
      <c r="B1191" s="948">
        <v>765</v>
      </c>
      <c r="C1191" s="948" t="s">
        <v>34</v>
      </c>
      <c r="D1191" s="947" t="s">
        <v>1</v>
      </c>
      <c r="E1191" s="949">
        <v>386595</v>
      </c>
      <c r="F1191" s="950">
        <v>12</v>
      </c>
      <c r="G1191" s="951">
        <v>3.2</v>
      </c>
      <c r="H1191" s="951">
        <v>3.28</v>
      </c>
      <c r="I1191" s="18"/>
    </row>
    <row r="1192" spans="1:9">
      <c r="A1192" s="943">
        <v>4</v>
      </c>
      <c r="B1192" s="944">
        <v>765.2</v>
      </c>
      <c r="C1192" s="944" t="s">
        <v>2531</v>
      </c>
      <c r="D1192" s="943" t="s">
        <v>1</v>
      </c>
      <c r="E1192" s="952">
        <v>12180</v>
      </c>
      <c r="F1192" s="945">
        <v>1</v>
      </c>
      <c r="G1192" s="946">
        <v>3</v>
      </c>
      <c r="H1192" s="946">
        <v>2.95</v>
      </c>
    </row>
    <row r="1193" spans="1:9" s="26" customFormat="1">
      <c r="A1193" s="947">
        <v>4</v>
      </c>
      <c r="B1193" s="948">
        <v>767.12099999999998</v>
      </c>
      <c r="C1193" s="948" t="s">
        <v>1436</v>
      </c>
      <c r="D1193" s="947" t="s">
        <v>17</v>
      </c>
      <c r="E1193" s="949">
        <v>148695</v>
      </c>
      <c r="F1193" s="950">
        <v>13</v>
      </c>
      <c r="G1193" s="951">
        <v>7.5</v>
      </c>
      <c r="H1193" s="951">
        <v>8.34</v>
      </c>
      <c r="I1193" s="18"/>
    </row>
    <row r="1194" spans="1:9">
      <c r="A1194" s="943">
        <v>4</v>
      </c>
      <c r="B1194" s="944">
        <v>767.31</v>
      </c>
      <c r="C1194" s="944" t="s">
        <v>439</v>
      </c>
      <c r="D1194" s="943" t="s">
        <v>1</v>
      </c>
      <c r="E1194" s="952">
        <v>11910</v>
      </c>
      <c r="F1194" s="945">
        <v>1</v>
      </c>
      <c r="G1194" s="946">
        <v>3</v>
      </c>
      <c r="H1194" s="946">
        <v>2.83</v>
      </c>
    </row>
    <row r="1195" spans="1:9" s="26" customFormat="1">
      <c r="A1195" s="947">
        <v>4</v>
      </c>
      <c r="B1195" s="948">
        <v>767.6</v>
      </c>
      <c r="C1195" s="948" t="s">
        <v>441</v>
      </c>
      <c r="D1195" s="947" t="s">
        <v>4</v>
      </c>
      <c r="E1195" s="949">
        <v>1152</v>
      </c>
      <c r="F1195" s="950">
        <v>7</v>
      </c>
      <c r="G1195" s="951">
        <v>100</v>
      </c>
      <c r="H1195" s="951">
        <v>103.45</v>
      </c>
      <c r="I1195" s="18"/>
    </row>
    <row r="1196" spans="1:9">
      <c r="A1196" s="943">
        <v>4</v>
      </c>
      <c r="B1196" s="944">
        <v>767.9</v>
      </c>
      <c r="C1196" s="944" t="s">
        <v>1437</v>
      </c>
      <c r="D1196" s="943" t="s">
        <v>1</v>
      </c>
      <c r="E1196" s="952">
        <v>16100</v>
      </c>
      <c r="F1196" s="945">
        <v>4</v>
      </c>
      <c r="G1196" s="946">
        <v>6.5</v>
      </c>
      <c r="H1196" s="946">
        <v>6.51</v>
      </c>
    </row>
    <row r="1197" spans="1:9" s="26" customFormat="1">
      <c r="A1197" s="947">
        <v>4</v>
      </c>
      <c r="B1197" s="948">
        <v>769</v>
      </c>
      <c r="C1197" s="948" t="s">
        <v>443</v>
      </c>
      <c r="D1197" s="947" t="s">
        <v>17</v>
      </c>
      <c r="E1197" s="949">
        <v>257805</v>
      </c>
      <c r="F1197" s="950">
        <v>8</v>
      </c>
      <c r="G1197" s="951">
        <v>10</v>
      </c>
      <c r="H1197" s="951">
        <v>10.33</v>
      </c>
      <c r="I1197" s="18"/>
    </row>
    <row r="1198" spans="1:9">
      <c r="A1198" s="943">
        <v>4</v>
      </c>
      <c r="B1198" s="944">
        <v>772.03599999999994</v>
      </c>
      <c r="C1198" s="944" t="s">
        <v>4011</v>
      </c>
      <c r="D1198" s="943" t="s">
        <v>2</v>
      </c>
      <c r="E1198" s="945">
        <v>72</v>
      </c>
      <c r="F1198" s="945">
        <v>1</v>
      </c>
      <c r="G1198" s="946">
        <v>409.5</v>
      </c>
      <c r="H1198" s="946">
        <v>436.5</v>
      </c>
    </row>
    <row r="1199" spans="1:9" s="26" customFormat="1">
      <c r="A1199" s="947">
        <v>4</v>
      </c>
      <c r="B1199" s="948">
        <v>773.43600000000004</v>
      </c>
      <c r="C1199" s="948" t="s">
        <v>445</v>
      </c>
      <c r="D1199" s="947" t="s">
        <v>2</v>
      </c>
      <c r="E1199" s="950">
        <v>10</v>
      </c>
      <c r="F1199" s="950">
        <v>1</v>
      </c>
      <c r="G1199" s="951">
        <v>655</v>
      </c>
      <c r="H1199" s="951">
        <v>653.63</v>
      </c>
      <c r="I1199" s="18"/>
    </row>
    <row r="1200" spans="1:9">
      <c r="A1200" s="943">
        <v>4</v>
      </c>
      <c r="B1200" s="944">
        <v>775.14</v>
      </c>
      <c r="C1200" s="944" t="s">
        <v>2592</v>
      </c>
      <c r="D1200" s="943" t="s">
        <v>2</v>
      </c>
      <c r="E1200" s="945">
        <v>50</v>
      </c>
      <c r="F1200" s="945">
        <v>1</v>
      </c>
      <c r="G1200" s="946">
        <v>900</v>
      </c>
      <c r="H1200" s="946">
        <v>1040</v>
      </c>
    </row>
    <row r="1201" spans="1:9" s="26" customFormat="1">
      <c r="A1201" s="947">
        <v>4</v>
      </c>
      <c r="B1201" s="948">
        <v>775.43100000000004</v>
      </c>
      <c r="C1201" s="948" t="s">
        <v>4041</v>
      </c>
      <c r="D1201" s="947" t="s">
        <v>2</v>
      </c>
      <c r="E1201" s="950">
        <v>8</v>
      </c>
      <c r="F1201" s="950">
        <v>1</v>
      </c>
      <c r="G1201" s="951">
        <v>785</v>
      </c>
      <c r="H1201" s="951">
        <v>785.5</v>
      </c>
      <c r="I1201" s="18"/>
    </row>
    <row r="1202" spans="1:9">
      <c r="A1202" s="943">
        <v>4</v>
      </c>
      <c r="B1202" s="944">
        <v>776.53800000000001</v>
      </c>
      <c r="C1202" s="944" t="s">
        <v>4042</v>
      </c>
      <c r="D1202" s="943" t="s">
        <v>2</v>
      </c>
      <c r="E1202" s="945">
        <v>1</v>
      </c>
      <c r="F1202" s="945">
        <v>1</v>
      </c>
      <c r="G1202" s="946">
        <v>1300</v>
      </c>
      <c r="H1202" s="946">
        <v>1300</v>
      </c>
    </row>
    <row r="1203" spans="1:9" s="26" customFormat="1">
      <c r="A1203" s="947">
        <v>4</v>
      </c>
      <c r="B1203" s="948">
        <v>776.55600000000004</v>
      </c>
      <c r="C1203" s="948" t="s">
        <v>4043</v>
      </c>
      <c r="D1203" s="947" t="s">
        <v>2</v>
      </c>
      <c r="E1203" s="950">
        <v>54</v>
      </c>
      <c r="F1203" s="950">
        <v>1</v>
      </c>
      <c r="G1203" s="951">
        <v>649.88</v>
      </c>
      <c r="H1203" s="951">
        <v>671.29</v>
      </c>
      <c r="I1203" s="18"/>
    </row>
    <row r="1204" spans="1:9">
      <c r="A1204" s="943">
        <v>4</v>
      </c>
      <c r="B1204" s="944">
        <v>776.84100000000001</v>
      </c>
      <c r="C1204" s="944" t="s">
        <v>4044</v>
      </c>
      <c r="D1204" s="943" t="s">
        <v>2</v>
      </c>
      <c r="E1204" s="945">
        <v>15</v>
      </c>
      <c r="F1204" s="945">
        <v>1</v>
      </c>
      <c r="G1204" s="946">
        <v>971.57</v>
      </c>
      <c r="H1204" s="946">
        <v>964.63</v>
      </c>
    </row>
    <row r="1205" spans="1:9" s="26" customFormat="1">
      <c r="A1205" s="947">
        <v>4</v>
      </c>
      <c r="B1205" s="948">
        <v>777.24</v>
      </c>
      <c r="C1205" s="948" t="s">
        <v>4045</v>
      </c>
      <c r="D1205" s="947" t="s">
        <v>2</v>
      </c>
      <c r="E1205" s="950">
        <v>72</v>
      </c>
      <c r="F1205" s="950">
        <v>1</v>
      </c>
      <c r="G1205" s="951">
        <v>664.44</v>
      </c>
      <c r="H1205" s="951">
        <v>678.65</v>
      </c>
      <c r="I1205" s="18"/>
    </row>
    <row r="1206" spans="1:9">
      <c r="A1206" s="943">
        <v>4</v>
      </c>
      <c r="B1206" s="944">
        <v>777.26099999999997</v>
      </c>
      <c r="C1206" s="944" t="s">
        <v>454</v>
      </c>
      <c r="D1206" s="943" t="s">
        <v>2</v>
      </c>
      <c r="E1206" s="945">
        <v>20</v>
      </c>
      <c r="F1206" s="945">
        <v>1</v>
      </c>
      <c r="G1206" s="946">
        <v>691.25</v>
      </c>
      <c r="H1206" s="946">
        <v>690.5</v>
      </c>
    </row>
    <row r="1207" spans="1:9" s="26" customFormat="1">
      <c r="A1207" s="947">
        <v>4</v>
      </c>
      <c r="B1207" s="948">
        <v>781.25300000000004</v>
      </c>
      <c r="C1207" s="948" t="s">
        <v>4049</v>
      </c>
      <c r="D1207" s="947" t="s">
        <v>2</v>
      </c>
      <c r="E1207" s="950">
        <v>18</v>
      </c>
      <c r="F1207" s="950">
        <v>1</v>
      </c>
      <c r="G1207" s="951">
        <v>693.56</v>
      </c>
      <c r="H1207" s="951">
        <v>705.85</v>
      </c>
      <c r="I1207" s="18"/>
    </row>
    <row r="1208" spans="1:9">
      <c r="A1208" s="943">
        <v>4</v>
      </c>
      <c r="B1208" s="944">
        <v>783.03599999999994</v>
      </c>
      <c r="C1208" s="944" t="s">
        <v>4054</v>
      </c>
      <c r="D1208" s="943" t="s">
        <v>2</v>
      </c>
      <c r="E1208" s="945">
        <v>69</v>
      </c>
      <c r="F1208" s="945">
        <v>2</v>
      </c>
      <c r="G1208" s="946">
        <v>395.5</v>
      </c>
      <c r="H1208" s="946">
        <v>396.06</v>
      </c>
    </row>
    <row r="1209" spans="1:9" s="26" customFormat="1">
      <c r="A1209" s="947">
        <v>4</v>
      </c>
      <c r="B1209" s="948">
        <v>783.46500000000003</v>
      </c>
      <c r="C1209" s="948" t="s">
        <v>1491</v>
      </c>
      <c r="D1209" s="947" t="s">
        <v>2</v>
      </c>
      <c r="E1209" s="950">
        <v>30</v>
      </c>
      <c r="F1209" s="950">
        <v>1</v>
      </c>
      <c r="G1209" s="951">
        <v>875.63</v>
      </c>
      <c r="H1209" s="951">
        <v>941.88</v>
      </c>
      <c r="I1209" s="18"/>
    </row>
    <row r="1210" spans="1:9">
      <c r="A1210" s="943">
        <v>4</v>
      </c>
      <c r="B1210" s="944">
        <v>789.33299999999997</v>
      </c>
      <c r="C1210" s="944" t="s">
        <v>4015</v>
      </c>
      <c r="D1210" s="943" t="s">
        <v>2</v>
      </c>
      <c r="E1210" s="945">
        <v>162</v>
      </c>
      <c r="F1210" s="945">
        <v>2</v>
      </c>
      <c r="G1210" s="946">
        <v>125</v>
      </c>
      <c r="H1210" s="946">
        <v>125.11</v>
      </c>
    </row>
    <row r="1211" spans="1:9" s="26" customFormat="1">
      <c r="A1211" s="947">
        <v>4</v>
      </c>
      <c r="B1211" s="948">
        <v>790.63300000000004</v>
      </c>
      <c r="C1211" s="948" t="s">
        <v>4058</v>
      </c>
      <c r="D1211" s="947" t="s">
        <v>2</v>
      </c>
      <c r="E1211" s="950">
        <v>36</v>
      </c>
      <c r="F1211" s="950">
        <v>1</v>
      </c>
      <c r="G1211" s="951">
        <v>105</v>
      </c>
      <c r="H1211" s="951">
        <v>106.25</v>
      </c>
      <c r="I1211" s="18"/>
    </row>
    <row r="1212" spans="1:9">
      <c r="A1212" s="943">
        <v>4</v>
      </c>
      <c r="B1212" s="944">
        <v>790.71900000000005</v>
      </c>
      <c r="C1212" s="944" t="s">
        <v>4009</v>
      </c>
      <c r="D1212" s="943" t="s">
        <v>2</v>
      </c>
      <c r="E1212" s="945">
        <v>30</v>
      </c>
      <c r="F1212" s="945">
        <v>1</v>
      </c>
      <c r="G1212" s="946">
        <v>92.94</v>
      </c>
      <c r="H1212" s="946">
        <v>97.65</v>
      </c>
    </row>
    <row r="1213" spans="1:9" s="26" customFormat="1">
      <c r="A1213" s="947">
        <v>4</v>
      </c>
      <c r="B1213" s="948">
        <v>794.33100000000002</v>
      </c>
      <c r="C1213" s="948" t="s">
        <v>4061</v>
      </c>
      <c r="D1213" s="947" t="s">
        <v>2</v>
      </c>
      <c r="E1213" s="950">
        <v>96</v>
      </c>
      <c r="F1213" s="950">
        <v>1</v>
      </c>
      <c r="G1213" s="951">
        <v>110</v>
      </c>
      <c r="H1213" s="951">
        <v>115</v>
      </c>
      <c r="I1213" s="18"/>
    </row>
    <row r="1214" spans="1:9">
      <c r="A1214" s="943">
        <v>4</v>
      </c>
      <c r="B1214" s="944">
        <v>794.803</v>
      </c>
      <c r="C1214" s="944" t="s">
        <v>4017</v>
      </c>
      <c r="D1214" s="943" t="s">
        <v>2</v>
      </c>
      <c r="E1214" s="945">
        <v>180</v>
      </c>
      <c r="F1214" s="945">
        <v>1</v>
      </c>
      <c r="G1214" s="946">
        <v>51</v>
      </c>
      <c r="H1214" s="946">
        <v>52.7</v>
      </c>
    </row>
    <row r="1215" spans="1:9" s="26" customFormat="1">
      <c r="A1215" s="947">
        <v>4</v>
      </c>
      <c r="B1215" s="948">
        <v>795.15300000000002</v>
      </c>
      <c r="C1215" s="948" t="s">
        <v>4062</v>
      </c>
      <c r="D1215" s="947" t="s">
        <v>2</v>
      </c>
      <c r="E1215" s="950">
        <v>12</v>
      </c>
      <c r="F1215" s="950">
        <v>1</v>
      </c>
      <c r="G1215" s="951">
        <v>99.44</v>
      </c>
      <c r="H1215" s="951">
        <v>107.31</v>
      </c>
      <c r="I1215" s="18"/>
    </row>
    <row r="1216" spans="1:9">
      <c r="A1216" s="943">
        <v>4</v>
      </c>
      <c r="B1216" s="944">
        <v>795.15700000000004</v>
      </c>
      <c r="C1216" s="944" t="s">
        <v>4063</v>
      </c>
      <c r="D1216" s="943" t="s">
        <v>2</v>
      </c>
      <c r="E1216" s="945">
        <v>90</v>
      </c>
      <c r="F1216" s="945">
        <v>1</v>
      </c>
      <c r="G1216" s="946">
        <v>96.94</v>
      </c>
      <c r="H1216" s="946">
        <v>103.77</v>
      </c>
    </row>
    <row r="1217" spans="1:9" s="26" customFormat="1">
      <c r="A1217" s="947">
        <v>4</v>
      </c>
      <c r="B1217" s="948">
        <v>795.18899999999996</v>
      </c>
      <c r="C1217" s="948" t="s">
        <v>4064</v>
      </c>
      <c r="D1217" s="947" t="s">
        <v>2</v>
      </c>
      <c r="E1217" s="950">
        <v>32</v>
      </c>
      <c r="F1217" s="950">
        <v>1</v>
      </c>
      <c r="G1217" s="951">
        <v>95</v>
      </c>
      <c r="H1217" s="951">
        <v>95</v>
      </c>
      <c r="I1217" s="18"/>
    </row>
    <row r="1218" spans="1:9">
      <c r="A1218" s="943">
        <v>4</v>
      </c>
      <c r="B1218" s="944">
        <v>801.32</v>
      </c>
      <c r="C1218" s="944" t="s">
        <v>483</v>
      </c>
      <c r="D1218" s="943" t="s">
        <v>17</v>
      </c>
      <c r="E1218" s="945">
        <v>630</v>
      </c>
      <c r="F1218" s="945">
        <v>1</v>
      </c>
      <c r="G1218" s="946">
        <v>125</v>
      </c>
      <c r="H1218" s="946">
        <v>128.97</v>
      </c>
    </row>
    <row r="1219" spans="1:9" s="26" customFormat="1">
      <c r="A1219" s="947">
        <v>4</v>
      </c>
      <c r="B1219" s="948">
        <v>801.34</v>
      </c>
      <c r="C1219" s="948" t="s">
        <v>1510</v>
      </c>
      <c r="D1219" s="947" t="s">
        <v>17</v>
      </c>
      <c r="E1219" s="950">
        <v>960</v>
      </c>
      <c r="F1219" s="950">
        <v>1</v>
      </c>
      <c r="G1219" s="951">
        <v>180</v>
      </c>
      <c r="H1219" s="951">
        <v>175</v>
      </c>
      <c r="I1219" s="18"/>
    </row>
    <row r="1220" spans="1:9">
      <c r="A1220" s="943">
        <v>4</v>
      </c>
      <c r="B1220" s="944">
        <v>801.42</v>
      </c>
      <c r="C1220" s="944" t="s">
        <v>484</v>
      </c>
      <c r="D1220" s="943" t="s">
        <v>17</v>
      </c>
      <c r="E1220" s="952">
        <v>1240</v>
      </c>
      <c r="F1220" s="945">
        <v>2</v>
      </c>
      <c r="G1220" s="946">
        <v>115</v>
      </c>
      <c r="H1220" s="946">
        <v>116.25</v>
      </c>
    </row>
    <row r="1221" spans="1:9" s="26" customFormat="1">
      <c r="A1221" s="947">
        <v>4</v>
      </c>
      <c r="B1221" s="948">
        <v>801.46</v>
      </c>
      <c r="C1221" s="948" t="s">
        <v>1512</v>
      </c>
      <c r="D1221" s="947" t="s">
        <v>17</v>
      </c>
      <c r="E1221" s="950">
        <v>960</v>
      </c>
      <c r="F1221" s="950">
        <v>1</v>
      </c>
      <c r="G1221" s="951">
        <v>240</v>
      </c>
      <c r="H1221" s="951">
        <v>263.33</v>
      </c>
      <c r="I1221" s="18"/>
    </row>
    <row r="1222" spans="1:9">
      <c r="A1222" s="943">
        <v>4</v>
      </c>
      <c r="B1222" s="944">
        <v>804.1</v>
      </c>
      <c r="C1222" s="944" t="s">
        <v>486</v>
      </c>
      <c r="D1222" s="943" t="s">
        <v>17</v>
      </c>
      <c r="E1222" s="952">
        <v>1900</v>
      </c>
      <c r="F1222" s="945">
        <v>2</v>
      </c>
      <c r="G1222" s="946">
        <v>50</v>
      </c>
      <c r="H1222" s="946">
        <v>49.75</v>
      </c>
    </row>
    <row r="1223" spans="1:9" s="26" customFormat="1">
      <c r="A1223" s="947">
        <v>4</v>
      </c>
      <c r="B1223" s="948">
        <v>804.2</v>
      </c>
      <c r="C1223" s="948" t="s">
        <v>487</v>
      </c>
      <c r="D1223" s="947" t="s">
        <v>17</v>
      </c>
      <c r="E1223" s="949">
        <v>8600</v>
      </c>
      <c r="F1223" s="950">
        <v>1</v>
      </c>
      <c r="G1223" s="951">
        <v>64</v>
      </c>
      <c r="H1223" s="951">
        <v>58.5</v>
      </c>
      <c r="I1223" s="18"/>
    </row>
    <row r="1224" spans="1:9">
      <c r="A1224" s="943">
        <v>4</v>
      </c>
      <c r="B1224" s="944">
        <v>804.3</v>
      </c>
      <c r="C1224" s="944" t="s">
        <v>488</v>
      </c>
      <c r="D1224" s="943" t="s">
        <v>17</v>
      </c>
      <c r="E1224" s="952">
        <v>80580</v>
      </c>
      <c r="F1224" s="945">
        <v>10</v>
      </c>
      <c r="G1224" s="946">
        <v>81.38</v>
      </c>
      <c r="H1224" s="946">
        <v>81.790000000000006</v>
      </c>
    </row>
    <row r="1225" spans="1:9" s="26" customFormat="1">
      <c r="A1225" s="947">
        <v>4</v>
      </c>
      <c r="B1225" s="948">
        <v>804.4</v>
      </c>
      <c r="C1225" s="948" t="s">
        <v>489</v>
      </c>
      <c r="D1225" s="947" t="s">
        <v>17</v>
      </c>
      <c r="E1225" s="950">
        <v>660</v>
      </c>
      <c r="F1225" s="950">
        <v>1</v>
      </c>
      <c r="G1225" s="951">
        <v>91.92</v>
      </c>
      <c r="H1225" s="951">
        <v>96.14</v>
      </c>
      <c r="I1225" s="18"/>
    </row>
    <row r="1226" spans="1:9">
      <c r="A1226" s="943">
        <v>4</v>
      </c>
      <c r="B1226" s="944">
        <v>806.4</v>
      </c>
      <c r="C1226" s="944" t="s">
        <v>492</v>
      </c>
      <c r="D1226" s="943" t="s">
        <v>17</v>
      </c>
      <c r="E1226" s="952">
        <v>7520</v>
      </c>
      <c r="F1226" s="945">
        <v>1</v>
      </c>
      <c r="G1226" s="946">
        <v>154</v>
      </c>
      <c r="H1226" s="946">
        <v>169.5</v>
      </c>
    </row>
    <row r="1227" spans="1:9" s="26" customFormat="1">
      <c r="A1227" s="947">
        <v>4</v>
      </c>
      <c r="B1227" s="948">
        <v>811.22</v>
      </c>
      <c r="C1227" s="948" t="s">
        <v>496</v>
      </c>
      <c r="D1227" s="947" t="s">
        <v>2</v>
      </c>
      <c r="E1227" s="950">
        <v>527</v>
      </c>
      <c r="F1227" s="950">
        <v>10</v>
      </c>
      <c r="G1227" s="951">
        <v>1872.5</v>
      </c>
      <c r="H1227" s="951">
        <v>1843.4</v>
      </c>
      <c r="I1227" s="18"/>
    </row>
    <row r="1228" spans="1:9">
      <c r="A1228" s="943">
        <v>4</v>
      </c>
      <c r="B1228" s="944">
        <v>811.23</v>
      </c>
      <c r="C1228" s="944" t="s">
        <v>497</v>
      </c>
      <c r="D1228" s="943" t="s">
        <v>2</v>
      </c>
      <c r="E1228" s="945">
        <v>12</v>
      </c>
      <c r="F1228" s="945">
        <v>2</v>
      </c>
      <c r="G1228" s="946">
        <v>3000</v>
      </c>
      <c r="H1228" s="946">
        <v>2568.7399999999998</v>
      </c>
    </row>
    <row r="1229" spans="1:9" s="26" customFormat="1">
      <c r="A1229" s="947">
        <v>4</v>
      </c>
      <c r="B1229" s="948">
        <v>811.3</v>
      </c>
      <c r="C1229" s="948" t="s">
        <v>500</v>
      </c>
      <c r="D1229" s="947" t="s">
        <v>2</v>
      </c>
      <c r="E1229" s="950">
        <v>264</v>
      </c>
      <c r="F1229" s="950">
        <v>1</v>
      </c>
      <c r="G1229" s="951">
        <v>1425</v>
      </c>
      <c r="H1229" s="951">
        <v>1468.75</v>
      </c>
      <c r="I1229" s="18"/>
    </row>
    <row r="1230" spans="1:9">
      <c r="A1230" s="943">
        <v>4</v>
      </c>
      <c r="B1230" s="944">
        <v>811.31</v>
      </c>
      <c r="C1230" s="944" t="s">
        <v>501</v>
      </c>
      <c r="D1230" s="943" t="s">
        <v>2</v>
      </c>
      <c r="E1230" s="945">
        <v>438</v>
      </c>
      <c r="F1230" s="945">
        <v>9</v>
      </c>
      <c r="G1230" s="946">
        <v>1300</v>
      </c>
      <c r="H1230" s="946">
        <v>1327.6</v>
      </c>
    </row>
    <row r="1231" spans="1:9" s="26" customFormat="1">
      <c r="A1231" s="947">
        <v>4</v>
      </c>
      <c r="B1231" s="948">
        <v>811.35</v>
      </c>
      <c r="C1231" s="948" t="s">
        <v>502</v>
      </c>
      <c r="D1231" s="947" t="s">
        <v>2</v>
      </c>
      <c r="E1231" s="950">
        <v>6</v>
      </c>
      <c r="F1231" s="950">
        <v>1</v>
      </c>
      <c r="G1231" s="951">
        <v>425</v>
      </c>
      <c r="H1231" s="951">
        <v>383.33</v>
      </c>
      <c r="I1231" s="18"/>
    </row>
    <row r="1232" spans="1:9">
      <c r="A1232" s="943">
        <v>4</v>
      </c>
      <c r="B1232" s="944">
        <v>811.36</v>
      </c>
      <c r="C1232" s="944" t="s">
        <v>503</v>
      </c>
      <c r="D1232" s="943" t="s">
        <v>2</v>
      </c>
      <c r="E1232" s="945">
        <v>200</v>
      </c>
      <c r="F1232" s="945">
        <v>1</v>
      </c>
      <c r="G1232" s="946">
        <v>525</v>
      </c>
      <c r="H1232" s="946">
        <v>512.5</v>
      </c>
    </row>
    <row r="1233" spans="1:9" s="26" customFormat="1">
      <c r="A1233" s="947">
        <v>4</v>
      </c>
      <c r="B1233" s="948">
        <v>811.37</v>
      </c>
      <c r="C1233" s="948" t="s">
        <v>504</v>
      </c>
      <c r="D1233" s="947" t="s">
        <v>2</v>
      </c>
      <c r="E1233" s="950">
        <v>160</v>
      </c>
      <c r="F1233" s="950">
        <v>3</v>
      </c>
      <c r="G1233" s="951">
        <v>397</v>
      </c>
      <c r="H1233" s="951">
        <v>395.57</v>
      </c>
      <c r="I1233" s="18"/>
    </row>
    <row r="1234" spans="1:9">
      <c r="A1234" s="943">
        <v>4</v>
      </c>
      <c r="B1234" s="944">
        <v>811.39</v>
      </c>
      <c r="C1234" s="944" t="s">
        <v>505</v>
      </c>
      <c r="D1234" s="943" t="s">
        <v>2</v>
      </c>
      <c r="E1234" s="945">
        <v>5</v>
      </c>
      <c r="F1234" s="945">
        <v>2</v>
      </c>
      <c r="G1234" s="946">
        <v>250</v>
      </c>
      <c r="H1234" s="946">
        <v>225</v>
      </c>
    </row>
    <row r="1235" spans="1:9" s="26" customFormat="1">
      <c r="A1235" s="947">
        <v>4</v>
      </c>
      <c r="B1235" s="948">
        <v>811.87</v>
      </c>
      <c r="C1235" s="948" t="s">
        <v>4066</v>
      </c>
      <c r="D1235" s="947" t="s">
        <v>2</v>
      </c>
      <c r="E1235" s="950">
        <v>8</v>
      </c>
      <c r="F1235" s="950">
        <v>1</v>
      </c>
      <c r="G1235" s="951">
        <v>2500</v>
      </c>
      <c r="H1235" s="951">
        <v>2100</v>
      </c>
      <c r="I1235" s="18"/>
    </row>
    <row r="1236" spans="1:9">
      <c r="A1236" s="943">
        <v>4</v>
      </c>
      <c r="B1236" s="944">
        <v>812.1</v>
      </c>
      <c r="C1236" s="944" t="s">
        <v>507</v>
      </c>
      <c r="D1236" s="943" t="s">
        <v>2</v>
      </c>
      <c r="E1236" s="945">
        <v>90</v>
      </c>
      <c r="F1236" s="945">
        <v>1</v>
      </c>
      <c r="G1236" s="946">
        <v>3200</v>
      </c>
      <c r="H1236" s="946">
        <v>3137</v>
      </c>
    </row>
    <row r="1237" spans="1:9" s="26" customFormat="1">
      <c r="A1237" s="947">
        <v>4</v>
      </c>
      <c r="B1237" s="948">
        <v>812.14</v>
      </c>
      <c r="C1237" s="948" t="s">
        <v>1443</v>
      </c>
      <c r="D1237" s="947" t="s">
        <v>2</v>
      </c>
      <c r="E1237" s="950">
        <v>186</v>
      </c>
      <c r="F1237" s="950">
        <v>1</v>
      </c>
      <c r="G1237" s="951">
        <v>5006.5</v>
      </c>
      <c r="H1237" s="951">
        <v>5002.17</v>
      </c>
      <c r="I1237" s="18"/>
    </row>
    <row r="1238" spans="1:9">
      <c r="A1238" s="943">
        <v>4</v>
      </c>
      <c r="B1238" s="944">
        <v>813.3</v>
      </c>
      <c r="C1238" s="944" t="s">
        <v>511</v>
      </c>
      <c r="D1238" s="943" t="s">
        <v>17</v>
      </c>
      <c r="E1238" s="952">
        <v>27700</v>
      </c>
      <c r="F1238" s="945">
        <v>1</v>
      </c>
      <c r="G1238" s="946">
        <v>1.8</v>
      </c>
      <c r="H1238" s="946">
        <v>1.79</v>
      </c>
    </row>
    <row r="1239" spans="1:9" s="26" customFormat="1">
      <c r="A1239" s="947">
        <v>4</v>
      </c>
      <c r="B1239" s="948">
        <v>813.32</v>
      </c>
      <c r="C1239" s="948" t="s">
        <v>513</v>
      </c>
      <c r="D1239" s="947" t="s">
        <v>17</v>
      </c>
      <c r="E1239" s="949">
        <v>78000</v>
      </c>
      <c r="F1239" s="950">
        <v>1</v>
      </c>
      <c r="G1239" s="951">
        <v>3</v>
      </c>
      <c r="H1239" s="951">
        <v>2.97</v>
      </c>
      <c r="I1239" s="18"/>
    </row>
    <row r="1240" spans="1:9">
      <c r="A1240" s="943">
        <v>4</v>
      </c>
      <c r="B1240" s="944">
        <v>813.4</v>
      </c>
      <c r="C1240" s="944" t="s">
        <v>64</v>
      </c>
      <c r="D1240" s="943" t="s">
        <v>17</v>
      </c>
      <c r="E1240" s="952">
        <v>58500</v>
      </c>
      <c r="F1240" s="945">
        <v>1</v>
      </c>
      <c r="G1240" s="946">
        <v>2</v>
      </c>
      <c r="H1240" s="946">
        <v>1.96</v>
      </c>
    </row>
    <row r="1241" spans="1:9" s="26" customFormat="1">
      <c r="A1241" s="947">
        <v>4</v>
      </c>
      <c r="B1241" s="948">
        <v>813.79</v>
      </c>
      <c r="C1241" s="948" t="s">
        <v>524</v>
      </c>
      <c r="D1241" s="947" t="s">
        <v>22</v>
      </c>
      <c r="E1241" s="950">
        <v>5</v>
      </c>
      <c r="F1241" s="950">
        <v>1</v>
      </c>
      <c r="G1241" s="951">
        <v>15000</v>
      </c>
      <c r="H1241" s="951">
        <v>14880</v>
      </c>
      <c r="I1241" s="18"/>
    </row>
    <row r="1242" spans="1:9">
      <c r="A1242" s="943">
        <v>4</v>
      </c>
      <c r="B1242" s="944">
        <v>815.1</v>
      </c>
      <c r="C1242" s="944" t="s">
        <v>526</v>
      </c>
      <c r="D1242" s="943" t="s">
        <v>22</v>
      </c>
      <c r="E1242" s="945">
        <v>8</v>
      </c>
      <c r="F1242" s="945">
        <v>2</v>
      </c>
      <c r="G1242" s="946">
        <v>250000</v>
      </c>
      <c r="H1242" s="946">
        <v>213091.25</v>
      </c>
    </row>
    <row r="1243" spans="1:9" s="26" customFormat="1">
      <c r="A1243" s="947">
        <v>4</v>
      </c>
      <c r="B1243" s="948">
        <v>815.2</v>
      </c>
      <c r="C1243" s="948" t="s">
        <v>527</v>
      </c>
      <c r="D1243" s="947" t="s">
        <v>22</v>
      </c>
      <c r="E1243" s="950">
        <v>5</v>
      </c>
      <c r="F1243" s="950">
        <v>1</v>
      </c>
      <c r="G1243" s="951">
        <v>400000</v>
      </c>
      <c r="H1243" s="951">
        <v>379846</v>
      </c>
      <c r="I1243" s="18"/>
    </row>
    <row r="1244" spans="1:9">
      <c r="A1244" s="943">
        <v>4</v>
      </c>
      <c r="B1244" s="944">
        <v>816.01</v>
      </c>
      <c r="C1244" s="944" t="s">
        <v>531</v>
      </c>
      <c r="D1244" s="943" t="s">
        <v>22</v>
      </c>
      <c r="E1244" s="945">
        <v>9</v>
      </c>
      <c r="F1244" s="945">
        <v>3</v>
      </c>
      <c r="G1244" s="946">
        <v>133000</v>
      </c>
      <c r="H1244" s="946">
        <v>125941.11</v>
      </c>
    </row>
    <row r="1245" spans="1:9" s="26" customFormat="1">
      <c r="A1245" s="947">
        <v>4</v>
      </c>
      <c r="B1245" s="948">
        <v>816.02</v>
      </c>
      <c r="C1245" s="948" t="s">
        <v>532</v>
      </c>
      <c r="D1245" s="947" t="s">
        <v>22</v>
      </c>
      <c r="E1245" s="950">
        <v>7</v>
      </c>
      <c r="F1245" s="950">
        <v>3</v>
      </c>
      <c r="G1245" s="951">
        <v>95500</v>
      </c>
      <c r="H1245" s="951">
        <v>86448.57</v>
      </c>
      <c r="I1245" s="18"/>
    </row>
    <row r="1246" spans="1:9">
      <c r="A1246" s="943">
        <v>4</v>
      </c>
      <c r="B1246" s="944">
        <v>816.03</v>
      </c>
      <c r="C1246" s="944" t="s">
        <v>533</v>
      </c>
      <c r="D1246" s="943" t="s">
        <v>22</v>
      </c>
      <c r="E1246" s="945">
        <v>7</v>
      </c>
      <c r="F1246" s="945">
        <v>3</v>
      </c>
      <c r="G1246" s="946">
        <v>111000</v>
      </c>
      <c r="H1246" s="946">
        <v>83597.14</v>
      </c>
    </row>
    <row r="1247" spans="1:9" s="26" customFormat="1">
      <c r="A1247" s="947">
        <v>4</v>
      </c>
      <c r="B1247" s="948">
        <v>816.8</v>
      </c>
      <c r="C1247" s="948" t="s">
        <v>534</v>
      </c>
      <c r="D1247" s="947" t="s">
        <v>22</v>
      </c>
      <c r="E1247" s="950">
        <v>6</v>
      </c>
      <c r="F1247" s="950">
        <v>2</v>
      </c>
      <c r="G1247" s="951">
        <v>14750</v>
      </c>
      <c r="H1247" s="951">
        <v>12523.33</v>
      </c>
      <c r="I1247" s="18"/>
    </row>
    <row r="1248" spans="1:9">
      <c r="A1248" s="943">
        <v>4</v>
      </c>
      <c r="B1248" s="944">
        <v>816.81</v>
      </c>
      <c r="C1248" s="944" t="s">
        <v>535</v>
      </c>
      <c r="D1248" s="943" t="s">
        <v>22</v>
      </c>
      <c r="E1248" s="945">
        <v>4</v>
      </c>
      <c r="F1248" s="945">
        <v>1</v>
      </c>
      <c r="G1248" s="946">
        <v>137500</v>
      </c>
      <c r="H1248" s="946">
        <v>161250</v>
      </c>
    </row>
    <row r="1249" spans="1:9" s="26" customFormat="1">
      <c r="A1249" s="947">
        <v>4</v>
      </c>
      <c r="B1249" s="948">
        <v>819.83100000000002</v>
      </c>
      <c r="C1249" s="948" t="s">
        <v>540</v>
      </c>
      <c r="D1249" s="947" t="s">
        <v>17</v>
      </c>
      <c r="E1249" s="949">
        <v>15250</v>
      </c>
      <c r="F1249" s="950">
        <v>2</v>
      </c>
      <c r="G1249" s="951">
        <v>16</v>
      </c>
      <c r="H1249" s="951">
        <v>19.86</v>
      </c>
      <c r="I1249" s="18"/>
    </row>
    <row r="1250" spans="1:9">
      <c r="A1250" s="943">
        <v>4</v>
      </c>
      <c r="B1250" s="944">
        <v>820.1</v>
      </c>
      <c r="C1250" s="944" t="s">
        <v>541</v>
      </c>
      <c r="D1250" s="943" t="s">
        <v>22</v>
      </c>
      <c r="E1250" s="945">
        <v>2</v>
      </c>
      <c r="F1250" s="945">
        <v>1</v>
      </c>
      <c r="G1250" s="946">
        <v>4000000</v>
      </c>
      <c r="H1250" s="946">
        <v>3800000</v>
      </c>
    </row>
    <row r="1251" spans="1:9" s="26" customFormat="1">
      <c r="A1251" s="947">
        <v>4</v>
      </c>
      <c r="B1251" s="948">
        <v>821.11</v>
      </c>
      <c r="C1251" s="948" t="s">
        <v>3221</v>
      </c>
      <c r="D1251" s="947" t="s">
        <v>2</v>
      </c>
      <c r="E1251" s="950">
        <v>84</v>
      </c>
      <c r="F1251" s="950">
        <v>1</v>
      </c>
      <c r="G1251" s="951">
        <v>8087.5</v>
      </c>
      <c r="H1251" s="951">
        <v>8346.6299999999992</v>
      </c>
      <c r="I1251" s="18"/>
    </row>
    <row r="1252" spans="1:9">
      <c r="A1252" s="943">
        <v>4</v>
      </c>
      <c r="B1252" s="944">
        <v>821.13</v>
      </c>
      <c r="C1252" s="944" t="s">
        <v>3223</v>
      </c>
      <c r="D1252" s="943" t="s">
        <v>2</v>
      </c>
      <c r="E1252" s="945">
        <v>85</v>
      </c>
      <c r="F1252" s="945">
        <v>1</v>
      </c>
      <c r="G1252" s="946">
        <v>8200</v>
      </c>
      <c r="H1252" s="946">
        <v>8295.5499999999993</v>
      </c>
    </row>
    <row r="1253" spans="1:9" s="26" customFormat="1">
      <c r="A1253" s="947">
        <v>4</v>
      </c>
      <c r="B1253" s="948">
        <v>823.61</v>
      </c>
      <c r="C1253" s="948" t="s">
        <v>545</v>
      </c>
      <c r="D1253" s="947" t="s">
        <v>22</v>
      </c>
      <c r="E1253" s="950">
        <v>10</v>
      </c>
      <c r="F1253" s="950">
        <v>3</v>
      </c>
      <c r="G1253" s="951">
        <v>30000</v>
      </c>
      <c r="H1253" s="951">
        <v>27918.1</v>
      </c>
      <c r="I1253" s="18"/>
    </row>
    <row r="1254" spans="1:9">
      <c r="A1254" s="943">
        <v>4</v>
      </c>
      <c r="B1254" s="944">
        <v>823.62</v>
      </c>
      <c r="C1254" s="944" t="s">
        <v>546</v>
      </c>
      <c r="D1254" s="943" t="s">
        <v>22</v>
      </c>
      <c r="E1254" s="945">
        <v>10</v>
      </c>
      <c r="F1254" s="945">
        <v>3</v>
      </c>
      <c r="G1254" s="946">
        <v>30000</v>
      </c>
      <c r="H1254" s="946">
        <v>27918.1</v>
      </c>
    </row>
    <row r="1255" spans="1:9" s="26" customFormat="1">
      <c r="A1255" s="947">
        <v>4</v>
      </c>
      <c r="B1255" s="948">
        <v>824.5</v>
      </c>
      <c r="C1255" s="948" t="s">
        <v>3291</v>
      </c>
      <c r="D1255" s="947" t="s">
        <v>22</v>
      </c>
      <c r="E1255" s="950">
        <v>3</v>
      </c>
      <c r="F1255" s="950">
        <v>1</v>
      </c>
      <c r="G1255" s="951">
        <v>9000</v>
      </c>
      <c r="H1255" s="951">
        <v>8500</v>
      </c>
      <c r="I1255" s="18"/>
    </row>
    <row r="1256" spans="1:9">
      <c r="A1256" s="943">
        <v>4</v>
      </c>
      <c r="B1256" s="944">
        <v>824.51</v>
      </c>
      <c r="C1256" s="944" t="s">
        <v>550</v>
      </c>
      <c r="D1256" s="943" t="s">
        <v>22</v>
      </c>
      <c r="E1256" s="945">
        <v>6</v>
      </c>
      <c r="F1256" s="945">
        <v>2</v>
      </c>
      <c r="G1256" s="946">
        <v>6500</v>
      </c>
      <c r="H1256" s="946">
        <v>7029.17</v>
      </c>
    </row>
    <row r="1257" spans="1:9" s="26" customFormat="1">
      <c r="A1257" s="947">
        <v>4</v>
      </c>
      <c r="B1257" s="948">
        <v>826.51</v>
      </c>
      <c r="C1257" s="948" t="s">
        <v>3301</v>
      </c>
      <c r="D1257" s="947" t="s">
        <v>2</v>
      </c>
      <c r="E1257" s="950">
        <v>2</v>
      </c>
      <c r="F1257" s="950">
        <v>1</v>
      </c>
      <c r="G1257" s="951">
        <v>2900</v>
      </c>
      <c r="H1257" s="951">
        <v>2700</v>
      </c>
      <c r="I1257" s="18"/>
    </row>
    <row r="1258" spans="1:9">
      <c r="A1258" s="943">
        <v>4</v>
      </c>
      <c r="B1258" s="944">
        <v>831</v>
      </c>
      <c r="C1258" s="944" t="s">
        <v>555</v>
      </c>
      <c r="D1258" s="943" t="s">
        <v>3</v>
      </c>
      <c r="E1258" s="945">
        <v>800</v>
      </c>
      <c r="F1258" s="945">
        <v>1</v>
      </c>
      <c r="G1258" s="946">
        <v>40</v>
      </c>
      <c r="H1258" s="946">
        <v>41.1</v>
      </c>
    </row>
    <row r="1259" spans="1:9" s="26" customFormat="1">
      <c r="A1259" s="947">
        <v>4</v>
      </c>
      <c r="B1259" s="948">
        <v>832</v>
      </c>
      <c r="C1259" s="948" t="s">
        <v>556</v>
      </c>
      <c r="D1259" s="947" t="s">
        <v>3</v>
      </c>
      <c r="E1259" s="949">
        <v>28930</v>
      </c>
      <c r="F1259" s="950">
        <v>13</v>
      </c>
      <c r="G1259" s="951">
        <v>15</v>
      </c>
      <c r="H1259" s="951">
        <v>15.13</v>
      </c>
      <c r="I1259" s="18"/>
    </row>
    <row r="1260" spans="1:9">
      <c r="A1260" s="943">
        <v>4</v>
      </c>
      <c r="B1260" s="944">
        <v>833.7</v>
      </c>
      <c r="C1260" s="944" t="s">
        <v>558</v>
      </c>
      <c r="D1260" s="943" t="s">
        <v>2</v>
      </c>
      <c r="E1260" s="945">
        <v>420</v>
      </c>
      <c r="F1260" s="945">
        <v>5</v>
      </c>
      <c r="G1260" s="946">
        <v>97.5</v>
      </c>
      <c r="H1260" s="946">
        <v>94.45</v>
      </c>
    </row>
    <row r="1261" spans="1:9" s="26" customFormat="1">
      <c r="A1261" s="947">
        <v>4</v>
      </c>
      <c r="B1261" s="948">
        <v>834.17</v>
      </c>
      <c r="C1261" s="948" t="s">
        <v>560</v>
      </c>
      <c r="D1261" s="947" t="s">
        <v>2</v>
      </c>
      <c r="E1261" s="950">
        <v>42</v>
      </c>
      <c r="F1261" s="950">
        <v>1</v>
      </c>
      <c r="G1261" s="951">
        <v>150</v>
      </c>
      <c r="H1261" s="951">
        <v>150</v>
      </c>
      <c r="I1261" s="18"/>
    </row>
    <row r="1262" spans="1:9">
      <c r="A1262" s="943" t="s">
        <v>81</v>
      </c>
      <c r="B1262" s="944">
        <v>100</v>
      </c>
      <c r="C1262" s="944" t="s">
        <v>51</v>
      </c>
      <c r="D1262" s="943" t="s">
        <v>22</v>
      </c>
      <c r="E1262" s="945">
        <v>162</v>
      </c>
      <c r="F1262" s="945">
        <v>37</v>
      </c>
      <c r="G1262" s="946">
        <v>37500</v>
      </c>
      <c r="H1262" s="946">
        <v>35654.32</v>
      </c>
    </row>
    <row r="1263" spans="1:9" s="26" customFormat="1">
      <c r="A1263" s="947" t="s">
        <v>81</v>
      </c>
      <c r="B1263" s="948">
        <v>100.001</v>
      </c>
      <c r="C1263" s="948" t="s">
        <v>82</v>
      </c>
      <c r="D1263" s="947" t="s">
        <v>24</v>
      </c>
      <c r="E1263" s="949">
        <v>5640</v>
      </c>
      <c r="F1263" s="950">
        <v>1</v>
      </c>
      <c r="G1263" s="951">
        <v>150</v>
      </c>
      <c r="H1263" s="951">
        <v>146</v>
      </c>
      <c r="I1263" s="18"/>
    </row>
    <row r="1264" spans="1:9">
      <c r="A1264" s="943" t="s">
        <v>81</v>
      </c>
      <c r="B1264" s="944">
        <v>100.002</v>
      </c>
      <c r="C1264" s="944" t="s">
        <v>83</v>
      </c>
      <c r="D1264" s="943" t="s">
        <v>24</v>
      </c>
      <c r="E1264" s="952">
        <v>19660</v>
      </c>
      <c r="F1264" s="945">
        <v>17</v>
      </c>
      <c r="G1264" s="946">
        <v>110</v>
      </c>
      <c r="H1264" s="946">
        <v>112.76</v>
      </c>
    </row>
    <row r="1265" spans="1:9" s="26" customFormat="1">
      <c r="A1265" s="947" t="s">
        <v>81</v>
      </c>
      <c r="B1265" s="948">
        <v>100.004</v>
      </c>
      <c r="C1265" s="948" t="s">
        <v>1938</v>
      </c>
      <c r="D1265" s="947" t="s">
        <v>24</v>
      </c>
      <c r="E1265" s="950">
        <v>300</v>
      </c>
      <c r="F1265" s="950">
        <v>1</v>
      </c>
      <c r="G1265" s="951">
        <v>185</v>
      </c>
      <c r="H1265" s="951">
        <v>182.87</v>
      </c>
      <c r="I1265" s="18"/>
    </row>
    <row r="1266" spans="1:9">
      <c r="A1266" s="943" t="s">
        <v>81</v>
      </c>
      <c r="B1266" s="944">
        <v>100.1</v>
      </c>
      <c r="C1266" s="944" t="s">
        <v>85</v>
      </c>
      <c r="D1266" s="943" t="s">
        <v>24</v>
      </c>
      <c r="E1266" s="952">
        <v>254325</v>
      </c>
      <c r="F1266" s="945">
        <v>41</v>
      </c>
      <c r="G1266" s="946">
        <v>130</v>
      </c>
      <c r="H1266" s="946">
        <v>132.03</v>
      </c>
    </row>
    <row r="1267" spans="1:9" s="26" customFormat="1">
      <c r="A1267" s="947" t="s">
        <v>81</v>
      </c>
      <c r="B1267" s="948">
        <v>100.5</v>
      </c>
      <c r="C1267" s="948" t="s">
        <v>1272</v>
      </c>
      <c r="D1267" s="947" t="s">
        <v>22</v>
      </c>
      <c r="E1267" s="950">
        <v>2</v>
      </c>
      <c r="F1267" s="950">
        <v>1</v>
      </c>
      <c r="G1267" s="951">
        <v>186000</v>
      </c>
      <c r="H1267" s="951">
        <v>186000</v>
      </c>
      <c r="I1267" s="18"/>
    </row>
    <row r="1268" spans="1:9">
      <c r="A1268" s="943" t="s">
        <v>81</v>
      </c>
      <c r="B1268" s="944">
        <v>100.7</v>
      </c>
      <c r="C1268" s="944" t="s">
        <v>87</v>
      </c>
      <c r="D1268" s="943" t="s">
        <v>22</v>
      </c>
      <c r="E1268" s="945">
        <v>3</v>
      </c>
      <c r="F1268" s="945">
        <v>2</v>
      </c>
      <c r="G1268" s="946">
        <v>363282.5</v>
      </c>
      <c r="H1268" s="946">
        <v>330521.67</v>
      </c>
    </row>
    <row r="1269" spans="1:9" s="26" customFormat="1">
      <c r="A1269" s="947" t="s">
        <v>81</v>
      </c>
      <c r="B1269" s="948">
        <v>100.71</v>
      </c>
      <c r="C1269" s="948" t="s">
        <v>88</v>
      </c>
      <c r="D1269" s="947" t="s">
        <v>22</v>
      </c>
      <c r="E1269" s="950">
        <v>2</v>
      </c>
      <c r="F1269" s="950">
        <v>1</v>
      </c>
      <c r="G1269" s="951">
        <v>38500</v>
      </c>
      <c r="H1269" s="951">
        <v>38500</v>
      </c>
      <c r="I1269" s="18"/>
    </row>
    <row r="1270" spans="1:9">
      <c r="A1270" s="943" t="s">
        <v>81</v>
      </c>
      <c r="B1270" s="944">
        <v>100.75</v>
      </c>
      <c r="C1270" s="944" t="s">
        <v>89</v>
      </c>
      <c r="D1270" s="943" t="s">
        <v>22</v>
      </c>
      <c r="E1270" s="945">
        <v>2</v>
      </c>
      <c r="F1270" s="945">
        <v>1</v>
      </c>
      <c r="G1270" s="946">
        <v>1277740</v>
      </c>
      <c r="H1270" s="946">
        <v>1277740</v>
      </c>
    </row>
    <row r="1271" spans="1:9" s="26" customFormat="1">
      <c r="A1271" s="947" t="s">
        <v>81</v>
      </c>
      <c r="B1271" s="948">
        <v>101</v>
      </c>
      <c r="C1271" s="948" t="s">
        <v>54</v>
      </c>
      <c r="D1271" s="947" t="s">
        <v>55</v>
      </c>
      <c r="E1271" s="950">
        <v>101.58</v>
      </c>
      <c r="F1271" s="950">
        <v>40</v>
      </c>
      <c r="G1271" s="951">
        <v>60000</v>
      </c>
      <c r="H1271" s="951">
        <v>57985.89</v>
      </c>
      <c r="I1271" s="18"/>
    </row>
    <row r="1272" spans="1:9">
      <c r="A1272" s="943" t="s">
        <v>81</v>
      </c>
      <c r="B1272" s="944">
        <v>101.1</v>
      </c>
      <c r="C1272" s="944" t="s">
        <v>1273</v>
      </c>
      <c r="D1272" s="943" t="s">
        <v>55</v>
      </c>
      <c r="E1272" s="945">
        <v>303.55</v>
      </c>
      <c r="F1272" s="945">
        <v>13</v>
      </c>
      <c r="G1272" s="946">
        <v>18450</v>
      </c>
      <c r="H1272" s="946">
        <v>17967.72</v>
      </c>
    </row>
    <row r="1273" spans="1:9" s="26" customFormat="1">
      <c r="A1273" s="947" t="s">
        <v>81</v>
      </c>
      <c r="B1273" s="948">
        <v>102</v>
      </c>
      <c r="C1273" s="948" t="s">
        <v>92</v>
      </c>
      <c r="D1273" s="947" t="s">
        <v>55</v>
      </c>
      <c r="E1273" s="950">
        <v>20.149999999999999</v>
      </c>
      <c r="F1273" s="950">
        <v>7</v>
      </c>
      <c r="G1273" s="951">
        <v>40000</v>
      </c>
      <c r="H1273" s="951">
        <v>53230.83</v>
      </c>
      <c r="I1273" s="18"/>
    </row>
    <row r="1274" spans="1:9">
      <c r="A1274" s="943" t="s">
        <v>81</v>
      </c>
      <c r="B1274" s="944">
        <v>102.01</v>
      </c>
      <c r="C1274" s="944" t="s">
        <v>1950</v>
      </c>
      <c r="D1274" s="943" t="s">
        <v>22</v>
      </c>
      <c r="E1274" s="945">
        <v>9</v>
      </c>
      <c r="F1274" s="945">
        <v>2</v>
      </c>
      <c r="G1274" s="946">
        <v>22750</v>
      </c>
      <c r="H1274" s="946">
        <v>23083.33</v>
      </c>
    </row>
    <row r="1275" spans="1:9" s="26" customFormat="1">
      <c r="A1275" s="947" t="s">
        <v>81</v>
      </c>
      <c r="B1275" s="948">
        <v>102.1</v>
      </c>
      <c r="C1275" s="948" t="s">
        <v>93</v>
      </c>
      <c r="D1275" s="947" t="s">
        <v>17</v>
      </c>
      <c r="E1275" s="949">
        <v>191362</v>
      </c>
      <c r="F1275" s="950">
        <v>35</v>
      </c>
      <c r="G1275" s="951">
        <v>19.88</v>
      </c>
      <c r="H1275" s="951">
        <v>17.239999999999998</v>
      </c>
      <c r="I1275" s="18"/>
    </row>
    <row r="1276" spans="1:9">
      <c r="A1276" s="943" t="s">
        <v>81</v>
      </c>
      <c r="B1276" s="944">
        <v>102.12</v>
      </c>
      <c r="C1276" s="944" t="s">
        <v>93</v>
      </c>
      <c r="D1276" s="943" t="s">
        <v>2</v>
      </c>
      <c r="E1276" s="952">
        <v>2403</v>
      </c>
      <c r="F1276" s="945">
        <v>5</v>
      </c>
      <c r="G1276" s="946">
        <v>557.5</v>
      </c>
      <c r="H1276" s="946">
        <v>517.24</v>
      </c>
    </row>
    <row r="1277" spans="1:9" s="26" customFormat="1">
      <c r="A1277" s="947" t="s">
        <v>81</v>
      </c>
      <c r="B1277" s="948">
        <v>102.2</v>
      </c>
      <c r="C1277" s="948" t="s">
        <v>93</v>
      </c>
      <c r="D1277" s="947" t="s">
        <v>22</v>
      </c>
      <c r="E1277" s="950">
        <v>21</v>
      </c>
      <c r="F1277" s="950">
        <v>8</v>
      </c>
      <c r="G1277" s="951">
        <v>15000</v>
      </c>
      <c r="H1277" s="951">
        <v>15095.24</v>
      </c>
      <c r="I1277" s="18"/>
    </row>
    <row r="1278" spans="1:9">
      <c r="A1278" s="943" t="s">
        <v>81</v>
      </c>
      <c r="B1278" s="944">
        <v>102.3</v>
      </c>
      <c r="C1278" s="944" t="s">
        <v>3995</v>
      </c>
      <c r="D1278" s="943" t="s">
        <v>24</v>
      </c>
      <c r="E1278" s="952">
        <v>1330</v>
      </c>
      <c r="F1278" s="945">
        <v>15</v>
      </c>
      <c r="G1278" s="946">
        <v>700</v>
      </c>
      <c r="H1278" s="946">
        <v>658.82</v>
      </c>
    </row>
    <row r="1279" spans="1:9" s="26" customFormat="1">
      <c r="A1279" s="947" t="s">
        <v>81</v>
      </c>
      <c r="B1279" s="948">
        <v>102.33</v>
      </c>
      <c r="C1279" s="948" t="s">
        <v>1275</v>
      </c>
      <c r="D1279" s="947" t="s">
        <v>24</v>
      </c>
      <c r="E1279" s="950">
        <v>774</v>
      </c>
      <c r="F1279" s="950">
        <v>15</v>
      </c>
      <c r="G1279" s="951">
        <v>355</v>
      </c>
      <c r="H1279" s="951">
        <v>337.79</v>
      </c>
      <c r="I1279" s="18"/>
    </row>
    <row r="1280" spans="1:9">
      <c r="A1280" s="943" t="s">
        <v>81</v>
      </c>
      <c r="B1280" s="944">
        <v>102.511</v>
      </c>
      <c r="C1280" s="944" t="s">
        <v>4029</v>
      </c>
      <c r="D1280" s="943" t="s">
        <v>2</v>
      </c>
      <c r="E1280" s="952">
        <v>3228</v>
      </c>
      <c r="F1280" s="945">
        <v>38</v>
      </c>
      <c r="G1280" s="946">
        <v>476.5</v>
      </c>
      <c r="H1280" s="946">
        <v>476.8</v>
      </c>
    </row>
    <row r="1281" spans="1:9" s="26" customFormat="1">
      <c r="A1281" s="947" t="s">
        <v>81</v>
      </c>
      <c r="B1281" s="948">
        <v>102.521</v>
      </c>
      <c r="C1281" s="948" t="s">
        <v>1276</v>
      </c>
      <c r="D1281" s="947" t="s">
        <v>17</v>
      </c>
      <c r="E1281" s="949">
        <v>80381</v>
      </c>
      <c r="F1281" s="950">
        <v>41</v>
      </c>
      <c r="G1281" s="951">
        <v>12</v>
      </c>
      <c r="H1281" s="951">
        <v>11.41</v>
      </c>
      <c r="I1281" s="18"/>
    </row>
    <row r="1282" spans="1:9">
      <c r="A1282" s="943" t="s">
        <v>81</v>
      </c>
      <c r="B1282" s="944">
        <v>102.52200000000001</v>
      </c>
      <c r="C1282" s="944" t="s">
        <v>1952</v>
      </c>
      <c r="D1282" s="943" t="s">
        <v>17</v>
      </c>
      <c r="E1282" s="952">
        <v>1750</v>
      </c>
      <c r="F1282" s="945">
        <v>1</v>
      </c>
      <c r="G1282" s="946">
        <v>21.5</v>
      </c>
      <c r="H1282" s="946">
        <v>21.4</v>
      </c>
    </row>
    <row r="1283" spans="1:9" s="26" customFormat="1">
      <c r="A1283" s="947" t="s">
        <v>81</v>
      </c>
      <c r="B1283" s="948">
        <v>102.55</v>
      </c>
      <c r="C1283" s="948" t="s">
        <v>1277</v>
      </c>
      <c r="D1283" s="947" t="s">
        <v>24</v>
      </c>
      <c r="E1283" s="949">
        <v>5019</v>
      </c>
      <c r="F1283" s="950">
        <v>25</v>
      </c>
      <c r="G1283" s="951">
        <v>250</v>
      </c>
      <c r="H1283" s="951">
        <v>246.44</v>
      </c>
      <c r="I1283" s="18"/>
    </row>
    <row r="1284" spans="1:9">
      <c r="A1284" s="943" t="s">
        <v>81</v>
      </c>
      <c r="B1284" s="944">
        <v>103</v>
      </c>
      <c r="C1284" s="944" t="s">
        <v>35</v>
      </c>
      <c r="D1284" s="943" t="s">
        <v>2</v>
      </c>
      <c r="E1284" s="952">
        <v>1190</v>
      </c>
      <c r="F1284" s="945">
        <v>39</v>
      </c>
      <c r="G1284" s="946">
        <v>2000</v>
      </c>
      <c r="H1284" s="946">
        <v>1949.45</v>
      </c>
    </row>
    <row r="1285" spans="1:9" s="26" customFormat="1">
      <c r="A1285" s="947" t="s">
        <v>81</v>
      </c>
      <c r="B1285" s="948">
        <v>104</v>
      </c>
      <c r="C1285" s="948" t="s">
        <v>94</v>
      </c>
      <c r="D1285" s="947" t="s">
        <v>2</v>
      </c>
      <c r="E1285" s="950">
        <v>688</v>
      </c>
      <c r="F1285" s="950">
        <v>28</v>
      </c>
      <c r="G1285" s="951">
        <v>3800</v>
      </c>
      <c r="H1285" s="951">
        <v>3727.04</v>
      </c>
      <c r="I1285" s="18"/>
    </row>
    <row r="1286" spans="1:9">
      <c r="A1286" s="943" t="s">
        <v>81</v>
      </c>
      <c r="B1286" s="944">
        <v>105</v>
      </c>
      <c r="C1286" s="944" t="s">
        <v>95</v>
      </c>
      <c r="D1286" s="943" t="s">
        <v>2</v>
      </c>
      <c r="E1286" s="945">
        <v>364</v>
      </c>
      <c r="F1286" s="945">
        <v>17</v>
      </c>
      <c r="G1286" s="946">
        <v>750</v>
      </c>
      <c r="H1286" s="946">
        <v>725.68</v>
      </c>
    </row>
    <row r="1287" spans="1:9" s="26" customFormat="1">
      <c r="A1287" s="947" t="s">
        <v>81</v>
      </c>
      <c r="B1287" s="948">
        <v>106.101</v>
      </c>
      <c r="C1287" s="948" t="s">
        <v>1955</v>
      </c>
      <c r="D1287" s="947" t="s">
        <v>2</v>
      </c>
      <c r="E1287" s="950">
        <v>20</v>
      </c>
      <c r="F1287" s="950">
        <v>1</v>
      </c>
      <c r="G1287" s="951">
        <v>5000</v>
      </c>
      <c r="H1287" s="951">
        <v>4827.5</v>
      </c>
      <c r="I1287" s="18"/>
    </row>
    <row r="1288" spans="1:9">
      <c r="A1288" s="943" t="s">
        <v>81</v>
      </c>
      <c r="B1288" s="944">
        <v>106.11</v>
      </c>
      <c r="C1288" s="944" t="s">
        <v>1956</v>
      </c>
      <c r="D1288" s="943" t="s">
        <v>2</v>
      </c>
      <c r="E1288" s="945">
        <v>100</v>
      </c>
      <c r="F1288" s="945">
        <v>1</v>
      </c>
      <c r="G1288" s="946">
        <v>1635</v>
      </c>
      <c r="H1288" s="946">
        <v>1635</v>
      </c>
    </row>
    <row r="1289" spans="1:9" s="26" customFormat="1">
      <c r="A1289" s="947" t="s">
        <v>81</v>
      </c>
      <c r="B1289" s="948">
        <v>106.12</v>
      </c>
      <c r="C1289" s="948" t="s">
        <v>96</v>
      </c>
      <c r="D1289" s="947" t="s">
        <v>17</v>
      </c>
      <c r="E1289" s="949">
        <v>4084</v>
      </c>
      <c r="F1289" s="950">
        <v>9</v>
      </c>
      <c r="G1289" s="951">
        <v>100</v>
      </c>
      <c r="H1289" s="951">
        <v>100.64</v>
      </c>
      <c r="I1289" s="18"/>
    </row>
    <row r="1290" spans="1:9">
      <c r="A1290" s="943" t="s">
        <v>81</v>
      </c>
      <c r="B1290" s="944">
        <v>106.14</v>
      </c>
      <c r="C1290" s="944" t="s">
        <v>1958</v>
      </c>
      <c r="D1290" s="943" t="s">
        <v>2</v>
      </c>
      <c r="E1290" s="945">
        <v>6</v>
      </c>
      <c r="F1290" s="945">
        <v>1</v>
      </c>
      <c r="G1290" s="946">
        <v>5640</v>
      </c>
      <c r="H1290" s="946">
        <v>5570</v>
      </c>
    </row>
    <row r="1291" spans="1:9" s="26" customFormat="1">
      <c r="A1291" s="947" t="s">
        <v>81</v>
      </c>
      <c r="B1291" s="948">
        <v>106.15</v>
      </c>
      <c r="C1291" s="948" t="s">
        <v>97</v>
      </c>
      <c r="D1291" s="947" t="s">
        <v>2</v>
      </c>
      <c r="E1291" s="950">
        <v>366</v>
      </c>
      <c r="F1291" s="950">
        <v>9</v>
      </c>
      <c r="G1291" s="951">
        <v>1544</v>
      </c>
      <c r="H1291" s="951">
        <v>1472.41</v>
      </c>
      <c r="I1291" s="18"/>
    </row>
    <row r="1292" spans="1:9">
      <c r="A1292" s="943" t="s">
        <v>81</v>
      </c>
      <c r="B1292" s="944">
        <v>106.301</v>
      </c>
      <c r="C1292" s="944" t="s">
        <v>1962</v>
      </c>
      <c r="D1292" s="943" t="s">
        <v>22</v>
      </c>
      <c r="E1292" s="945">
        <v>5</v>
      </c>
      <c r="F1292" s="945">
        <v>1</v>
      </c>
      <c r="G1292" s="946">
        <v>66062625</v>
      </c>
      <c r="H1292" s="946">
        <v>64366725</v>
      </c>
    </row>
    <row r="1293" spans="1:9" s="26" customFormat="1">
      <c r="A1293" s="947" t="s">
        <v>81</v>
      </c>
      <c r="B1293" s="948">
        <v>106.30200000000001</v>
      </c>
      <c r="C1293" s="948" t="s">
        <v>1962</v>
      </c>
      <c r="D1293" s="947" t="s">
        <v>3</v>
      </c>
      <c r="E1293" s="949">
        <v>6000</v>
      </c>
      <c r="F1293" s="950">
        <v>1</v>
      </c>
      <c r="G1293" s="951">
        <v>182.5</v>
      </c>
      <c r="H1293" s="951">
        <v>146.66999999999999</v>
      </c>
      <c r="I1293" s="18"/>
    </row>
    <row r="1294" spans="1:9">
      <c r="A1294" s="943" t="s">
        <v>81</v>
      </c>
      <c r="B1294" s="944">
        <v>106.49</v>
      </c>
      <c r="C1294" s="944" t="s">
        <v>1968</v>
      </c>
      <c r="D1294" s="943" t="s">
        <v>17</v>
      </c>
      <c r="E1294" s="952">
        <v>1640</v>
      </c>
      <c r="F1294" s="945">
        <v>3</v>
      </c>
      <c r="G1294" s="946">
        <v>327.5</v>
      </c>
      <c r="H1294" s="946">
        <v>453.38</v>
      </c>
    </row>
    <row r="1295" spans="1:9" s="26" customFormat="1">
      <c r="A1295" s="947" t="s">
        <v>81</v>
      </c>
      <c r="B1295" s="948">
        <v>106.88</v>
      </c>
      <c r="C1295" s="948" t="s">
        <v>98</v>
      </c>
      <c r="D1295" s="947" t="s">
        <v>2</v>
      </c>
      <c r="E1295" s="950">
        <v>633</v>
      </c>
      <c r="F1295" s="950">
        <v>16</v>
      </c>
      <c r="G1295" s="951">
        <v>9750</v>
      </c>
      <c r="H1295" s="951">
        <v>9663.5300000000007</v>
      </c>
      <c r="I1295" s="18"/>
    </row>
    <row r="1296" spans="1:9">
      <c r="A1296" s="943" t="s">
        <v>81</v>
      </c>
      <c r="B1296" s="944">
        <v>107.02</v>
      </c>
      <c r="C1296" s="944" t="s">
        <v>99</v>
      </c>
      <c r="D1296" s="943" t="s">
        <v>100</v>
      </c>
      <c r="E1296" s="952">
        <v>77000</v>
      </c>
      <c r="F1296" s="945">
        <v>3</v>
      </c>
      <c r="G1296" s="946">
        <v>3</v>
      </c>
      <c r="H1296" s="946">
        <v>3.86</v>
      </c>
    </row>
    <row r="1297" spans="1:9" s="26" customFormat="1">
      <c r="A1297" s="947" t="s">
        <v>81</v>
      </c>
      <c r="B1297" s="948">
        <v>107.18</v>
      </c>
      <c r="C1297" s="948" t="s">
        <v>1978</v>
      </c>
      <c r="D1297" s="947" t="s">
        <v>100</v>
      </c>
      <c r="E1297" s="949">
        <v>4302</v>
      </c>
      <c r="F1297" s="950">
        <v>1</v>
      </c>
      <c r="G1297" s="951">
        <v>50</v>
      </c>
      <c r="H1297" s="951">
        <v>48.37</v>
      </c>
      <c r="I1297" s="18"/>
    </row>
    <row r="1298" spans="1:9">
      <c r="A1298" s="943" t="s">
        <v>81</v>
      </c>
      <c r="B1298" s="944">
        <v>107.48</v>
      </c>
      <c r="C1298" s="944" t="s">
        <v>101</v>
      </c>
      <c r="D1298" s="943" t="s">
        <v>17</v>
      </c>
      <c r="E1298" s="952">
        <v>18160</v>
      </c>
      <c r="F1298" s="945">
        <v>2</v>
      </c>
      <c r="G1298" s="946">
        <v>30</v>
      </c>
      <c r="H1298" s="946">
        <v>32.25</v>
      </c>
    </row>
    <row r="1299" spans="1:9" s="26" customFormat="1">
      <c r="A1299" s="947" t="s">
        <v>81</v>
      </c>
      <c r="B1299" s="948">
        <v>107.855</v>
      </c>
      <c r="C1299" s="948" t="s">
        <v>102</v>
      </c>
      <c r="D1299" s="947" t="s">
        <v>17</v>
      </c>
      <c r="E1299" s="949">
        <v>13506</v>
      </c>
      <c r="F1299" s="950">
        <v>11</v>
      </c>
      <c r="G1299" s="951">
        <v>109.4</v>
      </c>
      <c r="H1299" s="951">
        <v>105.68</v>
      </c>
      <c r="I1299" s="18"/>
    </row>
    <row r="1300" spans="1:9">
      <c r="A1300" s="943" t="s">
        <v>81</v>
      </c>
      <c r="B1300" s="944">
        <v>107.97</v>
      </c>
      <c r="C1300" s="944" t="s">
        <v>103</v>
      </c>
      <c r="D1300" s="943" t="s">
        <v>100</v>
      </c>
      <c r="E1300" s="952">
        <v>378991</v>
      </c>
      <c r="F1300" s="945">
        <v>16</v>
      </c>
      <c r="G1300" s="946">
        <v>45</v>
      </c>
      <c r="H1300" s="946">
        <v>46.23</v>
      </c>
    </row>
    <row r="1301" spans="1:9" s="26" customFormat="1">
      <c r="A1301" s="947" t="s">
        <v>81</v>
      </c>
      <c r="B1301" s="948">
        <v>112.1</v>
      </c>
      <c r="C1301" s="948" t="s">
        <v>4030</v>
      </c>
      <c r="D1301" s="947" t="s">
        <v>22</v>
      </c>
      <c r="E1301" s="950">
        <v>6</v>
      </c>
      <c r="F1301" s="950">
        <v>1</v>
      </c>
      <c r="G1301" s="951">
        <v>33500</v>
      </c>
      <c r="H1301" s="951">
        <v>35416.67</v>
      </c>
      <c r="I1301" s="18"/>
    </row>
    <row r="1302" spans="1:9">
      <c r="A1302" s="943" t="s">
        <v>81</v>
      </c>
      <c r="B1302" s="944">
        <v>114.1</v>
      </c>
      <c r="C1302" s="944" t="s">
        <v>104</v>
      </c>
      <c r="D1302" s="943" t="s">
        <v>22</v>
      </c>
      <c r="E1302" s="945">
        <v>21</v>
      </c>
      <c r="F1302" s="945">
        <v>6</v>
      </c>
      <c r="G1302" s="946">
        <v>185000</v>
      </c>
      <c r="H1302" s="946">
        <v>145074.04</v>
      </c>
    </row>
    <row r="1303" spans="1:9" s="26" customFormat="1">
      <c r="A1303" s="947" t="s">
        <v>81</v>
      </c>
      <c r="B1303" s="948">
        <v>114.2</v>
      </c>
      <c r="C1303" s="948" t="s">
        <v>104</v>
      </c>
      <c r="D1303" s="947" t="s">
        <v>22</v>
      </c>
      <c r="E1303" s="950">
        <v>5</v>
      </c>
      <c r="F1303" s="950">
        <v>1</v>
      </c>
      <c r="G1303" s="951">
        <v>100000</v>
      </c>
      <c r="H1303" s="951">
        <v>110200</v>
      </c>
      <c r="I1303" s="18"/>
    </row>
    <row r="1304" spans="1:9">
      <c r="A1304" s="943" t="s">
        <v>81</v>
      </c>
      <c r="B1304" s="944">
        <v>115.1</v>
      </c>
      <c r="C1304" s="944" t="s">
        <v>105</v>
      </c>
      <c r="D1304" s="943" t="s">
        <v>22</v>
      </c>
      <c r="E1304" s="945">
        <v>6</v>
      </c>
      <c r="F1304" s="945">
        <v>1</v>
      </c>
      <c r="G1304" s="946">
        <v>250000</v>
      </c>
      <c r="H1304" s="946">
        <v>215000</v>
      </c>
    </row>
    <row r="1305" spans="1:9" s="26" customFormat="1">
      <c r="A1305" s="947" t="s">
        <v>81</v>
      </c>
      <c r="B1305" s="948">
        <v>115.3</v>
      </c>
      <c r="C1305" s="948" t="s">
        <v>105</v>
      </c>
      <c r="D1305" s="947" t="s">
        <v>22</v>
      </c>
      <c r="E1305" s="950">
        <v>4</v>
      </c>
      <c r="F1305" s="950">
        <v>2</v>
      </c>
      <c r="G1305" s="951">
        <v>1237500</v>
      </c>
      <c r="H1305" s="951">
        <v>1468750</v>
      </c>
      <c r="I1305" s="18"/>
    </row>
    <row r="1306" spans="1:9">
      <c r="A1306" s="943" t="s">
        <v>81</v>
      </c>
      <c r="B1306" s="944">
        <v>119</v>
      </c>
      <c r="C1306" s="944" t="s">
        <v>106</v>
      </c>
      <c r="D1306" s="943" t="s">
        <v>22</v>
      </c>
      <c r="E1306" s="945">
        <v>11</v>
      </c>
      <c r="F1306" s="945">
        <v>5</v>
      </c>
      <c r="G1306" s="946">
        <v>21575</v>
      </c>
      <c r="H1306" s="946">
        <v>19877.27</v>
      </c>
    </row>
    <row r="1307" spans="1:9" s="26" customFormat="1">
      <c r="A1307" s="947" t="s">
        <v>81</v>
      </c>
      <c r="B1307" s="948">
        <v>120</v>
      </c>
      <c r="C1307" s="948" t="s">
        <v>107</v>
      </c>
      <c r="D1307" s="947" t="s">
        <v>4</v>
      </c>
      <c r="E1307" s="949">
        <v>1225128</v>
      </c>
      <c r="F1307" s="950">
        <v>35</v>
      </c>
      <c r="G1307" s="951">
        <v>45</v>
      </c>
      <c r="H1307" s="951">
        <v>46.28</v>
      </c>
      <c r="I1307" s="18"/>
    </row>
    <row r="1308" spans="1:9">
      <c r="A1308" s="943" t="s">
        <v>81</v>
      </c>
      <c r="B1308" s="944">
        <v>120.1</v>
      </c>
      <c r="C1308" s="944" t="s">
        <v>19</v>
      </c>
      <c r="D1308" s="943" t="s">
        <v>4</v>
      </c>
      <c r="E1308" s="952">
        <v>556043</v>
      </c>
      <c r="F1308" s="945">
        <v>70</v>
      </c>
      <c r="G1308" s="946">
        <v>70</v>
      </c>
      <c r="H1308" s="946">
        <v>66.260000000000005</v>
      </c>
    </row>
    <row r="1309" spans="1:9" s="26" customFormat="1">
      <c r="A1309" s="947" t="s">
        <v>81</v>
      </c>
      <c r="B1309" s="948">
        <v>121</v>
      </c>
      <c r="C1309" s="948" t="s">
        <v>108</v>
      </c>
      <c r="D1309" s="947" t="s">
        <v>4</v>
      </c>
      <c r="E1309" s="949">
        <v>14647</v>
      </c>
      <c r="F1309" s="950">
        <v>31</v>
      </c>
      <c r="G1309" s="951">
        <v>154</v>
      </c>
      <c r="H1309" s="951">
        <v>159.26</v>
      </c>
      <c r="I1309" s="18"/>
    </row>
    <row r="1310" spans="1:9">
      <c r="A1310" s="943" t="s">
        <v>81</v>
      </c>
      <c r="B1310" s="944">
        <v>123</v>
      </c>
      <c r="C1310" s="944" t="s">
        <v>109</v>
      </c>
      <c r="D1310" s="943" t="s">
        <v>4</v>
      </c>
      <c r="E1310" s="952">
        <v>2390</v>
      </c>
      <c r="F1310" s="945">
        <v>3</v>
      </c>
      <c r="G1310" s="946">
        <v>80</v>
      </c>
      <c r="H1310" s="946">
        <v>85.93</v>
      </c>
    </row>
    <row r="1311" spans="1:9" s="26" customFormat="1">
      <c r="A1311" s="947" t="s">
        <v>81</v>
      </c>
      <c r="B1311" s="948">
        <v>127</v>
      </c>
      <c r="C1311" s="948" t="s">
        <v>111</v>
      </c>
      <c r="D1311" s="947" t="s">
        <v>4</v>
      </c>
      <c r="E1311" s="949">
        <v>16727</v>
      </c>
      <c r="F1311" s="950">
        <v>8</v>
      </c>
      <c r="G1311" s="951">
        <v>210</v>
      </c>
      <c r="H1311" s="951">
        <v>196.13</v>
      </c>
      <c r="I1311" s="18"/>
    </row>
    <row r="1312" spans="1:9">
      <c r="A1312" s="943" t="s">
        <v>81</v>
      </c>
      <c r="B1312" s="944">
        <v>127.1</v>
      </c>
      <c r="C1312" s="944" t="s">
        <v>112</v>
      </c>
      <c r="D1312" s="943" t="s">
        <v>4</v>
      </c>
      <c r="E1312" s="952">
        <v>16615</v>
      </c>
      <c r="F1312" s="945">
        <v>44</v>
      </c>
      <c r="G1312" s="946">
        <v>3500</v>
      </c>
      <c r="H1312" s="946">
        <v>3478.49</v>
      </c>
    </row>
    <row r="1313" spans="1:9" s="26" customFormat="1">
      <c r="A1313" s="947" t="s">
        <v>81</v>
      </c>
      <c r="B1313" s="948">
        <v>127.4</v>
      </c>
      <c r="C1313" s="948" t="s">
        <v>113</v>
      </c>
      <c r="D1313" s="947" t="s">
        <v>1</v>
      </c>
      <c r="E1313" s="949">
        <v>31834</v>
      </c>
      <c r="F1313" s="950">
        <v>29</v>
      </c>
      <c r="G1313" s="951">
        <v>1135</v>
      </c>
      <c r="H1313" s="951">
        <v>1102.48</v>
      </c>
      <c r="I1313" s="18"/>
    </row>
    <row r="1314" spans="1:9">
      <c r="A1314" s="943" t="s">
        <v>81</v>
      </c>
      <c r="B1314" s="944">
        <v>127.41</v>
      </c>
      <c r="C1314" s="944" t="s">
        <v>114</v>
      </c>
      <c r="D1314" s="943" t="s">
        <v>4</v>
      </c>
      <c r="E1314" s="952">
        <v>8433</v>
      </c>
      <c r="F1314" s="945">
        <v>29</v>
      </c>
      <c r="G1314" s="946">
        <v>3880</v>
      </c>
      <c r="H1314" s="946">
        <v>3744.48</v>
      </c>
    </row>
    <row r="1315" spans="1:9" s="26" customFormat="1">
      <c r="A1315" s="947" t="s">
        <v>81</v>
      </c>
      <c r="B1315" s="948">
        <v>129.19999999999999</v>
      </c>
      <c r="C1315" s="948" t="s">
        <v>115</v>
      </c>
      <c r="D1315" s="947" t="s">
        <v>1</v>
      </c>
      <c r="E1315" s="949">
        <v>12500</v>
      </c>
      <c r="F1315" s="950">
        <v>2</v>
      </c>
      <c r="G1315" s="951">
        <v>33</v>
      </c>
      <c r="H1315" s="951">
        <v>26.38</v>
      </c>
      <c r="I1315" s="18"/>
    </row>
    <row r="1316" spans="1:9">
      <c r="A1316" s="943" t="s">
        <v>81</v>
      </c>
      <c r="B1316" s="944">
        <v>129.30000000000001</v>
      </c>
      <c r="C1316" s="944" t="s">
        <v>115</v>
      </c>
      <c r="D1316" s="943" t="s">
        <v>4</v>
      </c>
      <c r="E1316" s="952">
        <v>1750</v>
      </c>
      <c r="F1316" s="945">
        <v>1</v>
      </c>
      <c r="G1316" s="946">
        <v>52</v>
      </c>
      <c r="H1316" s="946">
        <v>55.8</v>
      </c>
    </row>
    <row r="1317" spans="1:9" s="26" customFormat="1">
      <c r="A1317" s="947" t="s">
        <v>81</v>
      </c>
      <c r="B1317" s="948">
        <v>129.5</v>
      </c>
      <c r="C1317" s="948" t="s">
        <v>116</v>
      </c>
      <c r="D1317" s="947" t="s">
        <v>17</v>
      </c>
      <c r="E1317" s="949">
        <v>22980</v>
      </c>
      <c r="F1317" s="950">
        <v>1</v>
      </c>
      <c r="G1317" s="951">
        <v>25.25</v>
      </c>
      <c r="H1317" s="951">
        <v>24.08</v>
      </c>
      <c r="I1317" s="18"/>
    </row>
    <row r="1318" spans="1:9">
      <c r="A1318" s="943" t="s">
        <v>81</v>
      </c>
      <c r="B1318" s="944">
        <v>129.6</v>
      </c>
      <c r="C1318" s="944" t="s">
        <v>117</v>
      </c>
      <c r="D1318" s="943" t="s">
        <v>1</v>
      </c>
      <c r="E1318" s="952">
        <v>229034</v>
      </c>
      <c r="F1318" s="945">
        <v>20</v>
      </c>
      <c r="G1318" s="946">
        <v>34.5</v>
      </c>
      <c r="H1318" s="946">
        <v>34.14</v>
      </c>
    </row>
    <row r="1319" spans="1:9" s="26" customFormat="1">
      <c r="A1319" s="947" t="s">
        <v>81</v>
      </c>
      <c r="B1319" s="948">
        <v>140</v>
      </c>
      <c r="C1319" s="948" t="s">
        <v>118</v>
      </c>
      <c r="D1319" s="947" t="s">
        <v>4</v>
      </c>
      <c r="E1319" s="949">
        <v>69307</v>
      </c>
      <c r="F1319" s="950">
        <v>15</v>
      </c>
      <c r="G1319" s="951">
        <v>66.5</v>
      </c>
      <c r="H1319" s="951">
        <v>68.06</v>
      </c>
      <c r="I1319" s="18"/>
    </row>
    <row r="1320" spans="1:9">
      <c r="A1320" s="943" t="s">
        <v>81</v>
      </c>
      <c r="B1320" s="944">
        <v>140.1</v>
      </c>
      <c r="C1320" s="944" t="s">
        <v>119</v>
      </c>
      <c r="D1320" s="943" t="s">
        <v>4</v>
      </c>
      <c r="E1320" s="952">
        <v>1650</v>
      </c>
      <c r="F1320" s="945">
        <v>1</v>
      </c>
      <c r="G1320" s="946">
        <v>77.5</v>
      </c>
      <c r="H1320" s="946">
        <v>73.5</v>
      </c>
    </row>
    <row r="1321" spans="1:9" s="26" customFormat="1">
      <c r="A1321" s="947" t="s">
        <v>81</v>
      </c>
      <c r="B1321" s="948">
        <v>141</v>
      </c>
      <c r="C1321" s="948" t="s">
        <v>120</v>
      </c>
      <c r="D1321" s="947" t="s">
        <v>4</v>
      </c>
      <c r="E1321" s="949">
        <v>53308</v>
      </c>
      <c r="F1321" s="950">
        <v>38</v>
      </c>
      <c r="G1321" s="951">
        <v>60</v>
      </c>
      <c r="H1321" s="951">
        <v>58.26</v>
      </c>
      <c r="I1321" s="18"/>
    </row>
    <row r="1322" spans="1:9">
      <c r="A1322" s="943" t="s">
        <v>81</v>
      </c>
      <c r="B1322" s="944">
        <v>141.1</v>
      </c>
      <c r="C1322" s="944" t="s">
        <v>121</v>
      </c>
      <c r="D1322" s="943" t="s">
        <v>4</v>
      </c>
      <c r="E1322" s="952">
        <v>29394</v>
      </c>
      <c r="F1322" s="945">
        <v>63</v>
      </c>
      <c r="G1322" s="946">
        <v>126</v>
      </c>
      <c r="H1322" s="946">
        <v>122.03</v>
      </c>
    </row>
    <row r="1323" spans="1:9" s="26" customFormat="1">
      <c r="A1323" s="947" t="s">
        <v>81</v>
      </c>
      <c r="B1323" s="948">
        <v>142</v>
      </c>
      <c r="C1323" s="948" t="s">
        <v>122</v>
      </c>
      <c r="D1323" s="947" t="s">
        <v>4</v>
      </c>
      <c r="E1323" s="949">
        <v>42439</v>
      </c>
      <c r="F1323" s="950">
        <v>46</v>
      </c>
      <c r="G1323" s="951">
        <v>45</v>
      </c>
      <c r="H1323" s="951">
        <v>41.98</v>
      </c>
      <c r="I1323" s="18"/>
    </row>
    <row r="1324" spans="1:9">
      <c r="A1324" s="943" t="s">
        <v>81</v>
      </c>
      <c r="B1324" s="944">
        <v>143</v>
      </c>
      <c r="C1324" s="944" t="s">
        <v>123</v>
      </c>
      <c r="D1324" s="943" t="s">
        <v>4</v>
      </c>
      <c r="E1324" s="952">
        <v>2925</v>
      </c>
      <c r="F1324" s="945">
        <v>5</v>
      </c>
      <c r="G1324" s="946">
        <v>75</v>
      </c>
      <c r="H1324" s="946">
        <v>71.849999999999994</v>
      </c>
    </row>
    <row r="1325" spans="1:9" s="26" customFormat="1">
      <c r="A1325" s="947" t="s">
        <v>81</v>
      </c>
      <c r="B1325" s="948">
        <v>144</v>
      </c>
      <c r="C1325" s="948" t="s">
        <v>124</v>
      </c>
      <c r="D1325" s="947" t="s">
        <v>4</v>
      </c>
      <c r="E1325" s="949">
        <v>14506</v>
      </c>
      <c r="F1325" s="950">
        <v>58</v>
      </c>
      <c r="G1325" s="951">
        <v>200</v>
      </c>
      <c r="H1325" s="951">
        <v>206.21</v>
      </c>
      <c r="I1325" s="18"/>
    </row>
    <row r="1326" spans="1:9">
      <c r="A1326" s="943" t="s">
        <v>81</v>
      </c>
      <c r="B1326" s="944">
        <v>145</v>
      </c>
      <c r="C1326" s="944" t="s">
        <v>125</v>
      </c>
      <c r="D1326" s="943" t="s">
        <v>2</v>
      </c>
      <c r="E1326" s="945">
        <v>216</v>
      </c>
      <c r="F1326" s="945">
        <v>12</v>
      </c>
      <c r="G1326" s="946">
        <v>980</v>
      </c>
      <c r="H1326" s="946">
        <v>843.3</v>
      </c>
    </row>
    <row r="1327" spans="1:9" s="26" customFormat="1">
      <c r="A1327" s="947" t="s">
        <v>81</v>
      </c>
      <c r="B1327" s="948">
        <v>146</v>
      </c>
      <c r="C1327" s="948" t="s">
        <v>126</v>
      </c>
      <c r="D1327" s="947" t="s">
        <v>2</v>
      </c>
      <c r="E1327" s="949">
        <v>3056</v>
      </c>
      <c r="F1327" s="950">
        <v>41</v>
      </c>
      <c r="G1327" s="951">
        <v>900</v>
      </c>
      <c r="H1327" s="951">
        <v>861.42</v>
      </c>
      <c r="I1327" s="18"/>
    </row>
    <row r="1328" spans="1:9">
      <c r="A1328" s="943" t="s">
        <v>81</v>
      </c>
      <c r="B1328" s="944">
        <v>149.19999999999999</v>
      </c>
      <c r="C1328" s="944" t="s">
        <v>1284</v>
      </c>
      <c r="D1328" s="943" t="s">
        <v>22</v>
      </c>
      <c r="E1328" s="945">
        <v>9</v>
      </c>
      <c r="F1328" s="945">
        <v>4</v>
      </c>
      <c r="G1328" s="946">
        <v>100000</v>
      </c>
      <c r="H1328" s="946">
        <v>87888.89</v>
      </c>
    </row>
    <row r="1329" spans="1:9" s="26" customFormat="1">
      <c r="A1329" s="947" t="s">
        <v>81</v>
      </c>
      <c r="B1329" s="948">
        <v>150</v>
      </c>
      <c r="C1329" s="948" t="s">
        <v>128</v>
      </c>
      <c r="D1329" s="947" t="s">
        <v>4</v>
      </c>
      <c r="E1329" s="949">
        <v>81553</v>
      </c>
      <c r="F1329" s="950">
        <v>33</v>
      </c>
      <c r="G1329" s="951">
        <v>45</v>
      </c>
      <c r="H1329" s="951">
        <v>47.33</v>
      </c>
      <c r="I1329" s="18"/>
    </row>
    <row r="1330" spans="1:9">
      <c r="A1330" s="943" t="s">
        <v>81</v>
      </c>
      <c r="B1330" s="944">
        <v>150.1</v>
      </c>
      <c r="C1330" s="944" t="s">
        <v>129</v>
      </c>
      <c r="D1330" s="943" t="s">
        <v>4</v>
      </c>
      <c r="E1330" s="952">
        <v>60723</v>
      </c>
      <c r="F1330" s="945">
        <v>15</v>
      </c>
      <c r="G1330" s="946">
        <v>59.28</v>
      </c>
      <c r="H1330" s="946">
        <v>57.55</v>
      </c>
    </row>
    <row r="1331" spans="1:9" s="26" customFormat="1">
      <c r="A1331" s="947" t="s">
        <v>81</v>
      </c>
      <c r="B1331" s="948">
        <v>151</v>
      </c>
      <c r="C1331" s="948" t="s">
        <v>5</v>
      </c>
      <c r="D1331" s="947" t="s">
        <v>4</v>
      </c>
      <c r="E1331" s="949">
        <v>851389</v>
      </c>
      <c r="F1331" s="950">
        <v>86</v>
      </c>
      <c r="G1331" s="951">
        <v>58.5</v>
      </c>
      <c r="H1331" s="951">
        <v>57.61</v>
      </c>
      <c r="I1331" s="18"/>
    </row>
    <row r="1332" spans="1:9">
      <c r="A1332" s="943" t="s">
        <v>81</v>
      </c>
      <c r="B1332" s="944">
        <v>151.01</v>
      </c>
      <c r="C1332" s="944" t="s">
        <v>130</v>
      </c>
      <c r="D1332" s="943" t="s">
        <v>4</v>
      </c>
      <c r="E1332" s="952">
        <v>44137</v>
      </c>
      <c r="F1332" s="945">
        <v>26</v>
      </c>
      <c r="G1332" s="946">
        <v>67</v>
      </c>
      <c r="H1332" s="946">
        <v>69.91</v>
      </c>
    </row>
    <row r="1333" spans="1:9" s="26" customFormat="1">
      <c r="A1333" s="947" t="s">
        <v>81</v>
      </c>
      <c r="B1333" s="948">
        <v>151.1</v>
      </c>
      <c r="C1333" s="948" t="s">
        <v>131</v>
      </c>
      <c r="D1333" s="947" t="s">
        <v>4</v>
      </c>
      <c r="E1333" s="949">
        <v>6070</v>
      </c>
      <c r="F1333" s="950">
        <v>6</v>
      </c>
      <c r="G1333" s="951">
        <v>66</v>
      </c>
      <c r="H1333" s="951">
        <v>64.900000000000006</v>
      </c>
      <c r="I1333" s="18"/>
    </row>
    <row r="1334" spans="1:9">
      <c r="A1334" s="943" t="s">
        <v>81</v>
      </c>
      <c r="B1334" s="944">
        <v>151.19999999999999</v>
      </c>
      <c r="C1334" s="944" t="s">
        <v>52</v>
      </c>
      <c r="D1334" s="943" t="s">
        <v>4</v>
      </c>
      <c r="E1334" s="952">
        <v>100085</v>
      </c>
      <c r="F1334" s="945">
        <v>34</v>
      </c>
      <c r="G1334" s="946">
        <v>65</v>
      </c>
      <c r="H1334" s="946">
        <v>61.67</v>
      </c>
    </row>
    <row r="1335" spans="1:9" s="26" customFormat="1">
      <c r="A1335" s="947" t="s">
        <v>81</v>
      </c>
      <c r="B1335" s="948">
        <v>153</v>
      </c>
      <c r="C1335" s="948" t="s">
        <v>134</v>
      </c>
      <c r="D1335" s="947" t="s">
        <v>4</v>
      </c>
      <c r="E1335" s="949">
        <v>4815</v>
      </c>
      <c r="F1335" s="950">
        <v>31</v>
      </c>
      <c r="G1335" s="951">
        <v>250</v>
      </c>
      <c r="H1335" s="951">
        <v>250.33</v>
      </c>
      <c r="I1335" s="18"/>
    </row>
    <row r="1336" spans="1:9">
      <c r="A1336" s="943" t="s">
        <v>81</v>
      </c>
      <c r="B1336" s="944">
        <v>153.1</v>
      </c>
      <c r="C1336" s="944" t="s">
        <v>135</v>
      </c>
      <c r="D1336" s="943" t="s">
        <v>4</v>
      </c>
      <c r="E1336" s="945">
        <v>801</v>
      </c>
      <c r="F1336" s="945">
        <v>10</v>
      </c>
      <c r="G1336" s="946">
        <v>339.12</v>
      </c>
      <c r="H1336" s="946">
        <v>306.24</v>
      </c>
    </row>
    <row r="1337" spans="1:9" s="26" customFormat="1">
      <c r="A1337" s="947" t="s">
        <v>81</v>
      </c>
      <c r="B1337" s="948">
        <v>154</v>
      </c>
      <c r="C1337" s="948" t="s">
        <v>136</v>
      </c>
      <c r="D1337" s="947" t="s">
        <v>4</v>
      </c>
      <c r="E1337" s="949">
        <v>6344</v>
      </c>
      <c r="F1337" s="950">
        <v>9</v>
      </c>
      <c r="G1337" s="951">
        <v>65</v>
      </c>
      <c r="H1337" s="951">
        <v>63.57</v>
      </c>
      <c r="I1337" s="18"/>
    </row>
    <row r="1338" spans="1:9">
      <c r="A1338" s="943" t="s">
        <v>81</v>
      </c>
      <c r="B1338" s="944">
        <v>156</v>
      </c>
      <c r="C1338" s="944" t="s">
        <v>26</v>
      </c>
      <c r="D1338" s="943" t="s">
        <v>7</v>
      </c>
      <c r="E1338" s="952">
        <v>71271</v>
      </c>
      <c r="F1338" s="945">
        <v>55</v>
      </c>
      <c r="G1338" s="946">
        <v>60</v>
      </c>
      <c r="H1338" s="946">
        <v>61.07</v>
      </c>
    </row>
    <row r="1339" spans="1:9" s="26" customFormat="1">
      <c r="A1339" s="947" t="s">
        <v>81</v>
      </c>
      <c r="B1339" s="948">
        <v>156.1</v>
      </c>
      <c r="C1339" s="948" t="s">
        <v>137</v>
      </c>
      <c r="D1339" s="947" t="s">
        <v>7</v>
      </c>
      <c r="E1339" s="949">
        <v>7095</v>
      </c>
      <c r="F1339" s="950">
        <v>6</v>
      </c>
      <c r="G1339" s="951">
        <v>66.5</v>
      </c>
      <c r="H1339" s="951">
        <v>69.12</v>
      </c>
      <c r="I1339" s="18"/>
    </row>
    <row r="1340" spans="1:9">
      <c r="A1340" s="943" t="s">
        <v>81</v>
      </c>
      <c r="B1340" s="944">
        <v>156.19999999999999</v>
      </c>
      <c r="C1340" s="944" t="s">
        <v>2034</v>
      </c>
      <c r="D1340" s="943" t="s">
        <v>7</v>
      </c>
      <c r="E1340" s="952">
        <v>7800</v>
      </c>
      <c r="F1340" s="945">
        <v>2</v>
      </c>
      <c r="G1340" s="946">
        <v>71</v>
      </c>
      <c r="H1340" s="946">
        <v>81.88</v>
      </c>
    </row>
    <row r="1341" spans="1:9" s="26" customFormat="1">
      <c r="A1341" s="947" t="s">
        <v>81</v>
      </c>
      <c r="B1341" s="948">
        <v>156.5</v>
      </c>
      <c r="C1341" s="948" t="s">
        <v>138</v>
      </c>
      <c r="D1341" s="947" t="s">
        <v>4</v>
      </c>
      <c r="E1341" s="950">
        <v>560</v>
      </c>
      <c r="F1341" s="950">
        <v>1</v>
      </c>
      <c r="G1341" s="951">
        <v>95</v>
      </c>
      <c r="H1341" s="951">
        <v>91.14</v>
      </c>
      <c r="I1341" s="18"/>
    </row>
    <row r="1342" spans="1:9">
      <c r="A1342" s="943" t="s">
        <v>81</v>
      </c>
      <c r="B1342" s="944">
        <v>157.1</v>
      </c>
      <c r="C1342" s="944" t="s">
        <v>139</v>
      </c>
      <c r="D1342" s="943" t="s">
        <v>4</v>
      </c>
      <c r="E1342" s="945">
        <v>160</v>
      </c>
      <c r="F1342" s="945">
        <v>1</v>
      </c>
      <c r="G1342" s="946">
        <v>600</v>
      </c>
      <c r="H1342" s="946">
        <v>593.5</v>
      </c>
    </row>
    <row r="1343" spans="1:9" s="26" customFormat="1">
      <c r="A1343" s="947" t="s">
        <v>81</v>
      </c>
      <c r="B1343" s="948">
        <v>157.19999999999999</v>
      </c>
      <c r="C1343" s="948" t="s">
        <v>140</v>
      </c>
      <c r="D1343" s="947" t="s">
        <v>4</v>
      </c>
      <c r="E1343" s="950">
        <v>160</v>
      </c>
      <c r="F1343" s="950">
        <v>1</v>
      </c>
      <c r="G1343" s="951">
        <v>600</v>
      </c>
      <c r="H1343" s="951">
        <v>605</v>
      </c>
      <c r="I1343" s="18"/>
    </row>
    <row r="1344" spans="1:9">
      <c r="A1344" s="943" t="s">
        <v>81</v>
      </c>
      <c r="B1344" s="944">
        <v>170</v>
      </c>
      <c r="C1344" s="944" t="s">
        <v>1287</v>
      </c>
      <c r="D1344" s="943" t="s">
        <v>1</v>
      </c>
      <c r="E1344" s="952">
        <v>2504618</v>
      </c>
      <c r="F1344" s="945">
        <v>73</v>
      </c>
      <c r="G1344" s="946">
        <v>10</v>
      </c>
      <c r="H1344" s="946">
        <v>8.6999999999999993</v>
      </c>
    </row>
    <row r="1345" spans="1:9" s="26" customFormat="1">
      <c r="A1345" s="947" t="s">
        <v>81</v>
      </c>
      <c r="B1345" s="948">
        <v>180.01</v>
      </c>
      <c r="C1345" s="948" t="s">
        <v>1288</v>
      </c>
      <c r="D1345" s="947" t="s">
        <v>22</v>
      </c>
      <c r="E1345" s="950">
        <v>140</v>
      </c>
      <c r="F1345" s="950">
        <v>51</v>
      </c>
      <c r="G1345" s="951">
        <v>8000</v>
      </c>
      <c r="H1345" s="951">
        <v>6915.74</v>
      </c>
      <c r="I1345" s="18"/>
    </row>
    <row r="1346" spans="1:9">
      <c r="A1346" s="943" t="s">
        <v>81</v>
      </c>
      <c r="B1346" s="944">
        <v>180.02</v>
      </c>
      <c r="C1346" s="944" t="s">
        <v>1289</v>
      </c>
      <c r="D1346" s="943" t="s">
        <v>24</v>
      </c>
      <c r="E1346" s="952">
        <v>5585</v>
      </c>
      <c r="F1346" s="945">
        <v>42</v>
      </c>
      <c r="G1346" s="946">
        <v>15</v>
      </c>
      <c r="H1346" s="946">
        <v>13.26</v>
      </c>
    </row>
    <row r="1347" spans="1:9" s="26" customFormat="1">
      <c r="A1347" s="947" t="s">
        <v>81</v>
      </c>
      <c r="B1347" s="948">
        <v>180.03</v>
      </c>
      <c r="C1347" s="948" t="s">
        <v>1290</v>
      </c>
      <c r="D1347" s="947" t="s">
        <v>24</v>
      </c>
      <c r="E1347" s="949">
        <v>12425</v>
      </c>
      <c r="F1347" s="950">
        <v>56</v>
      </c>
      <c r="G1347" s="951">
        <v>140</v>
      </c>
      <c r="H1347" s="951">
        <v>142.12</v>
      </c>
      <c r="I1347" s="18"/>
    </row>
    <row r="1348" spans="1:9">
      <c r="A1348" s="943" t="s">
        <v>81</v>
      </c>
      <c r="B1348" s="944">
        <v>181.11</v>
      </c>
      <c r="C1348" s="944" t="s">
        <v>58</v>
      </c>
      <c r="D1348" s="943" t="s">
        <v>7</v>
      </c>
      <c r="E1348" s="952">
        <v>79538</v>
      </c>
      <c r="F1348" s="945">
        <v>51</v>
      </c>
      <c r="G1348" s="946">
        <v>72</v>
      </c>
      <c r="H1348" s="946">
        <v>69.86</v>
      </c>
    </row>
    <row r="1349" spans="1:9" s="26" customFormat="1">
      <c r="A1349" s="947" t="s">
        <v>81</v>
      </c>
      <c r="B1349" s="948">
        <v>181.12</v>
      </c>
      <c r="C1349" s="948" t="s">
        <v>141</v>
      </c>
      <c r="D1349" s="947" t="s">
        <v>7</v>
      </c>
      <c r="E1349" s="949">
        <v>27794</v>
      </c>
      <c r="F1349" s="950">
        <v>57</v>
      </c>
      <c r="G1349" s="951">
        <v>140</v>
      </c>
      <c r="H1349" s="951">
        <v>133.30000000000001</v>
      </c>
      <c r="I1349" s="18"/>
    </row>
    <row r="1350" spans="1:9">
      <c r="A1350" s="943" t="s">
        <v>81</v>
      </c>
      <c r="B1350" s="944">
        <v>181.13</v>
      </c>
      <c r="C1350" s="944" t="s">
        <v>142</v>
      </c>
      <c r="D1350" s="943" t="s">
        <v>7</v>
      </c>
      <c r="E1350" s="952">
        <v>13679</v>
      </c>
      <c r="F1350" s="945">
        <v>56</v>
      </c>
      <c r="G1350" s="946">
        <v>235</v>
      </c>
      <c r="H1350" s="946">
        <v>229.78</v>
      </c>
    </row>
    <row r="1351" spans="1:9" s="26" customFormat="1">
      <c r="A1351" s="947" t="s">
        <v>81</v>
      </c>
      <c r="B1351" s="948">
        <v>181.14</v>
      </c>
      <c r="C1351" s="948" t="s">
        <v>59</v>
      </c>
      <c r="D1351" s="947" t="s">
        <v>7</v>
      </c>
      <c r="E1351" s="949">
        <v>4220</v>
      </c>
      <c r="F1351" s="950">
        <v>53</v>
      </c>
      <c r="G1351" s="951">
        <v>588.5</v>
      </c>
      <c r="H1351" s="951">
        <v>595.9</v>
      </c>
      <c r="I1351" s="18"/>
    </row>
    <row r="1352" spans="1:9">
      <c r="A1352" s="943" t="s">
        <v>81</v>
      </c>
      <c r="B1352" s="944">
        <v>182.1</v>
      </c>
      <c r="C1352" s="944" t="s">
        <v>143</v>
      </c>
      <c r="D1352" s="943" t="s">
        <v>22</v>
      </c>
      <c r="E1352" s="945">
        <v>60</v>
      </c>
      <c r="F1352" s="945">
        <v>20</v>
      </c>
      <c r="G1352" s="946">
        <v>3500</v>
      </c>
      <c r="H1352" s="946">
        <v>3402.64</v>
      </c>
    </row>
    <row r="1353" spans="1:9" s="26" customFormat="1">
      <c r="A1353" s="947" t="s">
        <v>81</v>
      </c>
      <c r="B1353" s="948">
        <v>182.2</v>
      </c>
      <c r="C1353" s="948" t="s">
        <v>144</v>
      </c>
      <c r="D1353" s="947" t="s">
        <v>17</v>
      </c>
      <c r="E1353" s="949">
        <v>5988</v>
      </c>
      <c r="F1353" s="950">
        <v>19</v>
      </c>
      <c r="G1353" s="951">
        <v>125</v>
      </c>
      <c r="H1353" s="951">
        <v>126.12</v>
      </c>
      <c r="I1353" s="18"/>
    </row>
    <row r="1354" spans="1:9">
      <c r="A1354" s="943" t="s">
        <v>81</v>
      </c>
      <c r="B1354" s="944">
        <v>182.3</v>
      </c>
      <c r="C1354" s="944" t="s">
        <v>145</v>
      </c>
      <c r="D1354" s="943" t="s">
        <v>22</v>
      </c>
      <c r="E1354" s="945">
        <v>6</v>
      </c>
      <c r="F1354" s="945">
        <v>4</v>
      </c>
      <c r="G1354" s="946">
        <v>13000</v>
      </c>
      <c r="H1354" s="946">
        <v>10416.67</v>
      </c>
    </row>
    <row r="1355" spans="1:9" s="26" customFormat="1">
      <c r="A1355" s="947" t="s">
        <v>81</v>
      </c>
      <c r="B1355" s="948">
        <v>183.1</v>
      </c>
      <c r="C1355" s="948" t="s">
        <v>146</v>
      </c>
      <c r="D1355" s="947" t="s">
        <v>20</v>
      </c>
      <c r="E1355" s="949">
        <v>121600</v>
      </c>
      <c r="F1355" s="950">
        <v>15</v>
      </c>
      <c r="G1355" s="951">
        <v>15</v>
      </c>
      <c r="H1355" s="951">
        <v>15.61</v>
      </c>
      <c r="I1355" s="18"/>
    </row>
    <row r="1356" spans="1:9">
      <c r="A1356" s="943" t="s">
        <v>81</v>
      </c>
      <c r="B1356" s="944">
        <v>183.2</v>
      </c>
      <c r="C1356" s="944" t="s">
        <v>147</v>
      </c>
      <c r="D1356" s="943" t="s">
        <v>100</v>
      </c>
      <c r="E1356" s="952">
        <v>47776</v>
      </c>
      <c r="F1356" s="945">
        <v>18</v>
      </c>
      <c r="G1356" s="946">
        <v>10</v>
      </c>
      <c r="H1356" s="946">
        <v>10.62</v>
      </c>
    </row>
    <row r="1357" spans="1:9" s="26" customFormat="1">
      <c r="A1357" s="947" t="s">
        <v>81</v>
      </c>
      <c r="B1357" s="948">
        <v>184.1</v>
      </c>
      <c r="C1357" s="948" t="s">
        <v>148</v>
      </c>
      <c r="D1357" s="947" t="s">
        <v>7</v>
      </c>
      <c r="E1357" s="954">
        <v>3191.8</v>
      </c>
      <c r="F1357" s="950">
        <v>39</v>
      </c>
      <c r="G1357" s="951">
        <v>450</v>
      </c>
      <c r="H1357" s="951">
        <v>416.59</v>
      </c>
      <c r="I1357" s="18"/>
    </row>
    <row r="1358" spans="1:9">
      <c r="A1358" s="943" t="s">
        <v>81</v>
      </c>
      <c r="B1358" s="944">
        <v>188.3</v>
      </c>
      <c r="C1358" s="944" t="s">
        <v>150</v>
      </c>
      <c r="D1358" s="943" t="s">
        <v>2</v>
      </c>
      <c r="E1358" s="952">
        <v>27802</v>
      </c>
      <c r="F1358" s="945">
        <v>1</v>
      </c>
      <c r="G1358" s="946">
        <v>8</v>
      </c>
      <c r="H1358" s="946">
        <v>8</v>
      </c>
    </row>
    <row r="1359" spans="1:9" s="26" customFormat="1">
      <c r="A1359" s="947" t="s">
        <v>81</v>
      </c>
      <c r="B1359" s="948">
        <v>191</v>
      </c>
      <c r="C1359" s="948" t="s">
        <v>151</v>
      </c>
      <c r="D1359" s="947" t="s">
        <v>17</v>
      </c>
      <c r="E1359" s="950">
        <v>390</v>
      </c>
      <c r="F1359" s="950">
        <v>2</v>
      </c>
      <c r="G1359" s="951">
        <v>88</v>
      </c>
      <c r="H1359" s="951">
        <v>141.6</v>
      </c>
      <c r="I1359" s="18"/>
    </row>
    <row r="1360" spans="1:9">
      <c r="A1360" s="943" t="s">
        <v>81</v>
      </c>
      <c r="B1360" s="944">
        <v>191.1</v>
      </c>
      <c r="C1360" s="944" t="s">
        <v>152</v>
      </c>
      <c r="D1360" s="943" t="s">
        <v>17</v>
      </c>
      <c r="E1360" s="945">
        <v>60</v>
      </c>
      <c r="F1360" s="945">
        <v>1</v>
      </c>
      <c r="G1360" s="946">
        <v>137.5</v>
      </c>
      <c r="H1360" s="946">
        <v>137.5</v>
      </c>
    </row>
    <row r="1361" spans="1:9" s="26" customFormat="1">
      <c r="A1361" s="947" t="s">
        <v>81</v>
      </c>
      <c r="B1361" s="948">
        <v>201</v>
      </c>
      <c r="C1361" s="948" t="s">
        <v>155</v>
      </c>
      <c r="D1361" s="947" t="s">
        <v>2</v>
      </c>
      <c r="E1361" s="954">
        <v>6723.6</v>
      </c>
      <c r="F1361" s="950">
        <v>50</v>
      </c>
      <c r="G1361" s="951">
        <v>5842.5</v>
      </c>
      <c r="H1361" s="951">
        <v>5689.1</v>
      </c>
      <c r="I1361" s="18"/>
    </row>
    <row r="1362" spans="1:9">
      <c r="A1362" s="943" t="s">
        <v>81</v>
      </c>
      <c r="B1362" s="944">
        <v>201.3</v>
      </c>
      <c r="C1362" s="944" t="s">
        <v>156</v>
      </c>
      <c r="D1362" s="943" t="s">
        <v>2</v>
      </c>
      <c r="E1362" s="945">
        <v>116</v>
      </c>
      <c r="F1362" s="945">
        <v>5</v>
      </c>
      <c r="G1362" s="946">
        <v>8000</v>
      </c>
      <c r="H1362" s="946">
        <v>8266.67</v>
      </c>
    </row>
    <row r="1363" spans="1:9" s="26" customFormat="1">
      <c r="A1363" s="947" t="s">
        <v>81</v>
      </c>
      <c r="B1363" s="948">
        <v>201.5</v>
      </c>
      <c r="C1363" s="948" t="s">
        <v>2075</v>
      </c>
      <c r="D1363" s="947" t="s">
        <v>2</v>
      </c>
      <c r="E1363" s="950">
        <v>134</v>
      </c>
      <c r="F1363" s="950">
        <v>3</v>
      </c>
      <c r="G1363" s="951">
        <v>7453.85</v>
      </c>
      <c r="H1363" s="951">
        <v>7475.7</v>
      </c>
      <c r="I1363" s="18"/>
    </row>
    <row r="1364" spans="1:9">
      <c r="A1364" s="943" t="s">
        <v>81</v>
      </c>
      <c r="B1364" s="944">
        <v>202</v>
      </c>
      <c r="C1364" s="944" t="s">
        <v>157</v>
      </c>
      <c r="D1364" s="943" t="s">
        <v>2</v>
      </c>
      <c r="E1364" s="953">
        <v>3991.2</v>
      </c>
      <c r="F1364" s="945">
        <v>50</v>
      </c>
      <c r="G1364" s="946">
        <v>6250</v>
      </c>
      <c r="H1364" s="946">
        <v>6227.5</v>
      </c>
    </row>
    <row r="1365" spans="1:9" s="26" customFormat="1">
      <c r="A1365" s="947" t="s">
        <v>81</v>
      </c>
      <c r="B1365" s="948">
        <v>202.01</v>
      </c>
      <c r="C1365" s="948" t="s">
        <v>2076</v>
      </c>
      <c r="D1365" s="947" t="s">
        <v>2</v>
      </c>
      <c r="E1365" s="950">
        <v>33</v>
      </c>
      <c r="F1365" s="950">
        <v>2</v>
      </c>
      <c r="G1365" s="951">
        <v>9300</v>
      </c>
      <c r="H1365" s="951">
        <v>8453.23</v>
      </c>
      <c r="I1365" s="18"/>
    </row>
    <row r="1366" spans="1:9">
      <c r="A1366" s="943" t="s">
        <v>81</v>
      </c>
      <c r="B1366" s="944">
        <v>202.2</v>
      </c>
      <c r="C1366" s="944" t="s">
        <v>158</v>
      </c>
      <c r="D1366" s="943" t="s">
        <v>2</v>
      </c>
      <c r="E1366" s="945">
        <v>85.5</v>
      </c>
      <c r="F1366" s="945">
        <v>7</v>
      </c>
      <c r="G1366" s="946">
        <v>9000</v>
      </c>
      <c r="H1366" s="946">
        <v>9033.41</v>
      </c>
    </row>
    <row r="1367" spans="1:9" s="26" customFormat="1">
      <c r="A1367" s="947" t="s">
        <v>81</v>
      </c>
      <c r="B1367" s="948">
        <v>202.21</v>
      </c>
      <c r="C1367" s="948" t="s">
        <v>2077</v>
      </c>
      <c r="D1367" s="947" t="s">
        <v>2</v>
      </c>
      <c r="E1367" s="950">
        <v>12</v>
      </c>
      <c r="F1367" s="950">
        <v>1</v>
      </c>
      <c r="G1367" s="951">
        <v>14299.79</v>
      </c>
      <c r="H1367" s="951">
        <v>13399.19</v>
      </c>
      <c r="I1367" s="18"/>
    </row>
    <row r="1368" spans="1:9">
      <c r="A1368" s="943" t="s">
        <v>81</v>
      </c>
      <c r="B1368" s="944">
        <v>203</v>
      </c>
      <c r="C1368" s="944" t="s">
        <v>159</v>
      </c>
      <c r="D1368" s="943" t="s">
        <v>2</v>
      </c>
      <c r="E1368" s="945">
        <v>97</v>
      </c>
      <c r="F1368" s="945">
        <v>9</v>
      </c>
      <c r="G1368" s="946">
        <v>12325</v>
      </c>
      <c r="H1368" s="946">
        <v>11806.1</v>
      </c>
    </row>
    <row r="1369" spans="1:9" s="26" customFormat="1">
      <c r="A1369" s="947" t="s">
        <v>81</v>
      </c>
      <c r="B1369" s="948">
        <v>203.11</v>
      </c>
      <c r="C1369" s="948" t="s">
        <v>1293</v>
      </c>
      <c r="D1369" s="947" t="s">
        <v>2</v>
      </c>
      <c r="E1369" s="950">
        <v>10</v>
      </c>
      <c r="F1369" s="950">
        <v>1</v>
      </c>
      <c r="G1369" s="951">
        <v>12000</v>
      </c>
      <c r="H1369" s="951">
        <v>9000</v>
      </c>
      <c r="I1369" s="18"/>
    </row>
    <row r="1370" spans="1:9">
      <c r="A1370" s="943" t="s">
        <v>81</v>
      </c>
      <c r="B1370" s="944">
        <v>204</v>
      </c>
      <c r="C1370" s="944" t="s">
        <v>160</v>
      </c>
      <c r="D1370" s="943" t="s">
        <v>2</v>
      </c>
      <c r="E1370" s="945">
        <v>515</v>
      </c>
      <c r="F1370" s="945">
        <v>20</v>
      </c>
      <c r="G1370" s="946">
        <v>3165</v>
      </c>
      <c r="H1370" s="946">
        <v>3156.26</v>
      </c>
    </row>
    <row r="1371" spans="1:9" s="26" customFormat="1">
      <c r="A1371" s="947" t="s">
        <v>81</v>
      </c>
      <c r="B1371" s="948">
        <v>204.11</v>
      </c>
      <c r="C1371" s="948" t="s">
        <v>1294</v>
      </c>
      <c r="D1371" s="947" t="s">
        <v>2</v>
      </c>
      <c r="E1371" s="950">
        <v>387</v>
      </c>
      <c r="F1371" s="950">
        <v>12</v>
      </c>
      <c r="G1371" s="951">
        <v>4400</v>
      </c>
      <c r="H1371" s="951">
        <v>4373.05</v>
      </c>
      <c r="I1371" s="18"/>
    </row>
    <row r="1372" spans="1:9">
      <c r="A1372" s="943" t="s">
        <v>81</v>
      </c>
      <c r="B1372" s="944">
        <v>204.3</v>
      </c>
      <c r="C1372" s="944" t="s">
        <v>2081</v>
      </c>
      <c r="D1372" s="943" t="s">
        <v>2</v>
      </c>
      <c r="E1372" s="945">
        <v>4</v>
      </c>
      <c r="F1372" s="945">
        <v>1</v>
      </c>
      <c r="G1372" s="946">
        <v>4250</v>
      </c>
      <c r="H1372" s="946">
        <v>4205.2</v>
      </c>
    </row>
    <row r="1373" spans="1:9" s="26" customFormat="1">
      <c r="A1373" s="947" t="s">
        <v>81</v>
      </c>
      <c r="B1373" s="948">
        <v>205</v>
      </c>
      <c r="C1373" s="948" t="s">
        <v>161</v>
      </c>
      <c r="D1373" s="947" t="s">
        <v>2</v>
      </c>
      <c r="E1373" s="950">
        <v>39</v>
      </c>
      <c r="F1373" s="950">
        <v>4</v>
      </c>
      <c r="G1373" s="951">
        <v>9475</v>
      </c>
      <c r="H1373" s="951">
        <v>9790</v>
      </c>
      <c r="I1373" s="18"/>
    </row>
    <row r="1374" spans="1:9">
      <c r="A1374" s="943" t="s">
        <v>81</v>
      </c>
      <c r="B1374" s="944">
        <v>206</v>
      </c>
      <c r="C1374" s="944" t="s">
        <v>162</v>
      </c>
      <c r="D1374" s="943" t="s">
        <v>2</v>
      </c>
      <c r="E1374" s="945">
        <v>12</v>
      </c>
      <c r="F1374" s="945">
        <v>1</v>
      </c>
      <c r="G1374" s="946">
        <v>7200</v>
      </c>
      <c r="H1374" s="946">
        <v>7233.33</v>
      </c>
    </row>
    <row r="1375" spans="1:9" s="26" customFormat="1">
      <c r="A1375" s="947" t="s">
        <v>81</v>
      </c>
      <c r="B1375" s="948">
        <v>206.1</v>
      </c>
      <c r="C1375" s="948" t="s">
        <v>163</v>
      </c>
      <c r="D1375" s="947" t="s">
        <v>2</v>
      </c>
      <c r="E1375" s="950">
        <v>76</v>
      </c>
      <c r="F1375" s="950">
        <v>6</v>
      </c>
      <c r="G1375" s="951">
        <v>6800</v>
      </c>
      <c r="H1375" s="951">
        <v>6461.61</v>
      </c>
      <c r="I1375" s="18"/>
    </row>
    <row r="1376" spans="1:9">
      <c r="A1376" s="943" t="s">
        <v>81</v>
      </c>
      <c r="B1376" s="944">
        <v>207</v>
      </c>
      <c r="C1376" s="944" t="s">
        <v>164</v>
      </c>
      <c r="D1376" s="943" t="s">
        <v>2</v>
      </c>
      <c r="E1376" s="945">
        <v>8</v>
      </c>
      <c r="F1376" s="945">
        <v>1</v>
      </c>
      <c r="G1376" s="946">
        <v>6125</v>
      </c>
      <c r="H1376" s="946">
        <v>6312.5</v>
      </c>
    </row>
    <row r="1377" spans="1:9" s="26" customFormat="1">
      <c r="A1377" s="947" t="s">
        <v>81</v>
      </c>
      <c r="B1377" s="948">
        <v>207.1</v>
      </c>
      <c r="C1377" s="948" t="s">
        <v>165</v>
      </c>
      <c r="D1377" s="947" t="s">
        <v>2</v>
      </c>
      <c r="E1377" s="950">
        <v>44</v>
      </c>
      <c r="F1377" s="950">
        <v>4</v>
      </c>
      <c r="G1377" s="951">
        <v>6000</v>
      </c>
      <c r="H1377" s="951">
        <v>6262.98</v>
      </c>
      <c r="I1377" s="18"/>
    </row>
    <row r="1378" spans="1:9">
      <c r="A1378" s="943" t="s">
        <v>81</v>
      </c>
      <c r="B1378" s="944">
        <v>209</v>
      </c>
      <c r="C1378" s="944" t="s">
        <v>1296</v>
      </c>
      <c r="D1378" s="943" t="s">
        <v>2</v>
      </c>
      <c r="E1378" s="945">
        <v>13</v>
      </c>
      <c r="F1378" s="945">
        <v>1</v>
      </c>
      <c r="G1378" s="946">
        <v>5500</v>
      </c>
      <c r="H1378" s="946">
        <v>5423.08</v>
      </c>
    </row>
    <row r="1379" spans="1:9" s="26" customFormat="1">
      <c r="A1379" s="947" t="s">
        <v>81</v>
      </c>
      <c r="B1379" s="948">
        <v>209.1</v>
      </c>
      <c r="C1379" s="948" t="s">
        <v>166</v>
      </c>
      <c r="D1379" s="947" t="s">
        <v>2</v>
      </c>
      <c r="E1379" s="950">
        <v>52</v>
      </c>
      <c r="F1379" s="950">
        <v>5</v>
      </c>
      <c r="G1379" s="951">
        <v>5000</v>
      </c>
      <c r="H1379" s="951">
        <v>4957.1400000000003</v>
      </c>
      <c r="I1379" s="18"/>
    </row>
    <row r="1380" spans="1:9">
      <c r="A1380" s="943" t="s">
        <v>81</v>
      </c>
      <c r="B1380" s="944">
        <v>209.2</v>
      </c>
      <c r="C1380" s="944" t="s">
        <v>167</v>
      </c>
      <c r="D1380" s="943" t="s">
        <v>2</v>
      </c>
      <c r="E1380" s="945">
        <v>3</v>
      </c>
      <c r="F1380" s="945">
        <v>1</v>
      </c>
      <c r="G1380" s="946">
        <v>13000</v>
      </c>
      <c r="H1380" s="946">
        <v>12283.33</v>
      </c>
    </row>
    <row r="1381" spans="1:9" s="26" customFormat="1">
      <c r="A1381" s="947" t="s">
        <v>81</v>
      </c>
      <c r="B1381" s="948">
        <v>209.3</v>
      </c>
      <c r="C1381" s="948" t="s">
        <v>168</v>
      </c>
      <c r="D1381" s="947" t="s">
        <v>2</v>
      </c>
      <c r="E1381" s="950">
        <v>110</v>
      </c>
      <c r="F1381" s="950">
        <v>4</v>
      </c>
      <c r="G1381" s="951">
        <v>2250</v>
      </c>
      <c r="H1381" s="951">
        <v>2170.59</v>
      </c>
      <c r="I1381" s="18"/>
    </row>
    <row r="1382" spans="1:9">
      <c r="A1382" s="943" t="s">
        <v>81</v>
      </c>
      <c r="B1382" s="944">
        <v>210</v>
      </c>
      <c r="C1382" s="944" t="s">
        <v>169</v>
      </c>
      <c r="D1382" s="943" t="s">
        <v>2</v>
      </c>
      <c r="E1382" s="945">
        <v>16</v>
      </c>
      <c r="F1382" s="945">
        <v>2</v>
      </c>
      <c r="G1382" s="946">
        <v>7500</v>
      </c>
      <c r="H1382" s="946">
        <v>7360</v>
      </c>
    </row>
    <row r="1383" spans="1:9" s="26" customFormat="1">
      <c r="A1383" s="947" t="s">
        <v>81</v>
      </c>
      <c r="B1383" s="948">
        <v>210.02</v>
      </c>
      <c r="C1383" s="948" t="s">
        <v>170</v>
      </c>
      <c r="D1383" s="947" t="s">
        <v>2</v>
      </c>
      <c r="E1383" s="950">
        <v>9</v>
      </c>
      <c r="F1383" s="950">
        <v>2</v>
      </c>
      <c r="G1383" s="951">
        <v>1775</v>
      </c>
      <c r="H1383" s="951">
        <v>1858.33</v>
      </c>
      <c r="I1383" s="18"/>
    </row>
    <row r="1384" spans="1:9">
      <c r="A1384" s="943" t="s">
        <v>81</v>
      </c>
      <c r="B1384" s="944">
        <v>210.1</v>
      </c>
      <c r="C1384" s="944" t="s">
        <v>171</v>
      </c>
      <c r="D1384" s="943" t="s">
        <v>2</v>
      </c>
      <c r="E1384" s="945">
        <v>108</v>
      </c>
      <c r="F1384" s="945">
        <v>3</v>
      </c>
      <c r="G1384" s="946">
        <v>10000</v>
      </c>
      <c r="H1384" s="946">
        <v>10643.13</v>
      </c>
    </row>
    <row r="1385" spans="1:9" s="26" customFormat="1">
      <c r="A1385" s="947" t="s">
        <v>81</v>
      </c>
      <c r="B1385" s="948">
        <v>211</v>
      </c>
      <c r="C1385" s="948" t="s">
        <v>1299</v>
      </c>
      <c r="D1385" s="947" t="s">
        <v>2</v>
      </c>
      <c r="E1385" s="950">
        <v>4</v>
      </c>
      <c r="F1385" s="950">
        <v>1</v>
      </c>
      <c r="G1385" s="951">
        <v>11500</v>
      </c>
      <c r="H1385" s="951">
        <v>11500</v>
      </c>
      <c r="I1385" s="18"/>
    </row>
    <row r="1386" spans="1:9">
      <c r="A1386" s="943" t="s">
        <v>81</v>
      </c>
      <c r="B1386" s="944">
        <v>220</v>
      </c>
      <c r="C1386" s="944" t="s">
        <v>172</v>
      </c>
      <c r="D1386" s="943" t="s">
        <v>2</v>
      </c>
      <c r="E1386" s="952">
        <v>28562</v>
      </c>
      <c r="F1386" s="945">
        <v>72</v>
      </c>
      <c r="G1386" s="946">
        <v>550</v>
      </c>
      <c r="H1386" s="946">
        <v>533.92999999999995</v>
      </c>
    </row>
    <row r="1387" spans="1:9" s="26" customFormat="1">
      <c r="A1387" s="947" t="s">
        <v>81</v>
      </c>
      <c r="B1387" s="948">
        <v>220.2</v>
      </c>
      <c r="C1387" s="948" t="s">
        <v>173</v>
      </c>
      <c r="D1387" s="947" t="s">
        <v>17</v>
      </c>
      <c r="E1387" s="949">
        <v>15594</v>
      </c>
      <c r="F1387" s="950">
        <v>53</v>
      </c>
      <c r="G1387" s="951">
        <v>525</v>
      </c>
      <c r="H1387" s="951">
        <v>525.08000000000004</v>
      </c>
      <c r="I1387" s="18"/>
    </row>
    <row r="1388" spans="1:9">
      <c r="A1388" s="943" t="s">
        <v>81</v>
      </c>
      <c r="B1388" s="944">
        <v>220.3</v>
      </c>
      <c r="C1388" s="944" t="s">
        <v>174</v>
      </c>
      <c r="D1388" s="943" t="s">
        <v>2</v>
      </c>
      <c r="E1388" s="945">
        <v>772</v>
      </c>
      <c r="F1388" s="945">
        <v>36</v>
      </c>
      <c r="G1388" s="946">
        <v>1200</v>
      </c>
      <c r="H1388" s="946">
        <v>1207.31</v>
      </c>
    </row>
    <row r="1389" spans="1:9" s="26" customFormat="1">
      <c r="A1389" s="947" t="s">
        <v>81</v>
      </c>
      <c r="B1389" s="948">
        <v>220.5</v>
      </c>
      <c r="C1389" s="948" t="s">
        <v>175</v>
      </c>
      <c r="D1389" s="947" t="s">
        <v>2</v>
      </c>
      <c r="E1389" s="949">
        <v>2188</v>
      </c>
      <c r="F1389" s="950">
        <v>39</v>
      </c>
      <c r="G1389" s="951">
        <v>1000</v>
      </c>
      <c r="H1389" s="951">
        <v>966.23</v>
      </c>
      <c r="I1389" s="18"/>
    </row>
    <row r="1390" spans="1:9">
      <c r="A1390" s="943" t="s">
        <v>81</v>
      </c>
      <c r="B1390" s="944">
        <v>220.51</v>
      </c>
      <c r="C1390" s="944" t="s">
        <v>175</v>
      </c>
      <c r="D1390" s="943" t="s">
        <v>17</v>
      </c>
      <c r="E1390" s="945">
        <v>30</v>
      </c>
      <c r="F1390" s="945">
        <v>1</v>
      </c>
      <c r="G1390" s="946">
        <v>745</v>
      </c>
      <c r="H1390" s="946">
        <v>696.67</v>
      </c>
    </row>
    <row r="1391" spans="1:9" s="26" customFormat="1">
      <c r="A1391" s="947" t="s">
        <v>81</v>
      </c>
      <c r="B1391" s="948">
        <v>220.6</v>
      </c>
      <c r="C1391" s="948" t="s">
        <v>176</v>
      </c>
      <c r="D1391" s="947" t="s">
        <v>17</v>
      </c>
      <c r="E1391" s="950">
        <v>842</v>
      </c>
      <c r="F1391" s="950">
        <v>14</v>
      </c>
      <c r="G1391" s="951">
        <v>537.5</v>
      </c>
      <c r="H1391" s="951">
        <v>532.76</v>
      </c>
      <c r="I1391" s="18"/>
    </row>
    <row r="1392" spans="1:9">
      <c r="A1392" s="943" t="s">
        <v>81</v>
      </c>
      <c r="B1392" s="944">
        <v>220.7</v>
      </c>
      <c r="C1392" s="944" t="s">
        <v>177</v>
      </c>
      <c r="D1392" s="943" t="s">
        <v>2</v>
      </c>
      <c r="E1392" s="952">
        <v>4346</v>
      </c>
      <c r="F1392" s="945">
        <v>50</v>
      </c>
      <c r="G1392" s="946">
        <v>515</v>
      </c>
      <c r="H1392" s="946">
        <v>522.41</v>
      </c>
    </row>
    <row r="1393" spans="1:9" s="26" customFormat="1">
      <c r="A1393" s="947" t="s">
        <v>81</v>
      </c>
      <c r="B1393" s="948">
        <v>220.8</v>
      </c>
      <c r="C1393" s="948" t="s">
        <v>178</v>
      </c>
      <c r="D1393" s="947" t="s">
        <v>2</v>
      </c>
      <c r="E1393" s="950">
        <v>909</v>
      </c>
      <c r="F1393" s="950">
        <v>20</v>
      </c>
      <c r="G1393" s="951">
        <v>1000</v>
      </c>
      <c r="H1393" s="951">
        <v>963.42</v>
      </c>
      <c r="I1393" s="18"/>
    </row>
    <row r="1394" spans="1:9">
      <c r="A1394" s="943" t="s">
        <v>81</v>
      </c>
      <c r="B1394" s="944">
        <v>221</v>
      </c>
      <c r="C1394" s="944" t="s">
        <v>180</v>
      </c>
      <c r="D1394" s="943" t="s">
        <v>2</v>
      </c>
      <c r="E1394" s="952">
        <v>4342</v>
      </c>
      <c r="F1394" s="945">
        <v>48</v>
      </c>
      <c r="G1394" s="946">
        <v>1150</v>
      </c>
      <c r="H1394" s="946">
        <v>1126.17</v>
      </c>
    </row>
    <row r="1395" spans="1:9" s="26" customFormat="1">
      <c r="A1395" s="947" t="s">
        <v>81</v>
      </c>
      <c r="B1395" s="948">
        <v>221.1</v>
      </c>
      <c r="C1395" s="948" t="s">
        <v>1300</v>
      </c>
      <c r="D1395" s="947" t="s">
        <v>2</v>
      </c>
      <c r="E1395" s="949">
        <v>2854</v>
      </c>
      <c r="F1395" s="950">
        <v>31</v>
      </c>
      <c r="G1395" s="951">
        <v>1200</v>
      </c>
      <c r="H1395" s="951">
        <v>1131.8900000000001</v>
      </c>
      <c r="I1395" s="18"/>
    </row>
    <row r="1396" spans="1:9">
      <c r="A1396" s="943" t="s">
        <v>81</v>
      </c>
      <c r="B1396" s="944">
        <v>222</v>
      </c>
      <c r="C1396" s="944" t="s">
        <v>181</v>
      </c>
      <c r="D1396" s="943" t="s">
        <v>2</v>
      </c>
      <c r="E1396" s="952">
        <v>3061</v>
      </c>
      <c r="F1396" s="945">
        <v>20</v>
      </c>
      <c r="G1396" s="946">
        <v>1250</v>
      </c>
      <c r="H1396" s="946">
        <v>1157.3399999999999</v>
      </c>
    </row>
    <row r="1397" spans="1:9" s="26" customFormat="1">
      <c r="A1397" s="947" t="s">
        <v>81</v>
      </c>
      <c r="B1397" s="948">
        <v>222.1</v>
      </c>
      <c r="C1397" s="948" t="s">
        <v>182</v>
      </c>
      <c r="D1397" s="947" t="s">
        <v>2</v>
      </c>
      <c r="E1397" s="949">
        <v>8715</v>
      </c>
      <c r="F1397" s="950">
        <v>55</v>
      </c>
      <c r="G1397" s="951">
        <v>1250</v>
      </c>
      <c r="H1397" s="951">
        <v>1260.53</v>
      </c>
      <c r="I1397" s="18"/>
    </row>
    <row r="1398" spans="1:9">
      <c r="A1398" s="943" t="s">
        <v>81</v>
      </c>
      <c r="B1398" s="944">
        <v>222.2</v>
      </c>
      <c r="C1398" s="944" t="s">
        <v>183</v>
      </c>
      <c r="D1398" s="943" t="s">
        <v>2</v>
      </c>
      <c r="E1398" s="945">
        <v>235</v>
      </c>
      <c r="F1398" s="945">
        <v>15</v>
      </c>
      <c r="G1398" s="946">
        <v>1200</v>
      </c>
      <c r="H1398" s="946">
        <v>1217.6099999999999</v>
      </c>
    </row>
    <row r="1399" spans="1:9" s="26" customFormat="1">
      <c r="A1399" s="947" t="s">
        <v>81</v>
      </c>
      <c r="B1399" s="948">
        <v>222.3</v>
      </c>
      <c r="C1399" s="948" t="s">
        <v>29</v>
      </c>
      <c r="D1399" s="947" t="s">
        <v>2</v>
      </c>
      <c r="E1399" s="949">
        <v>7474</v>
      </c>
      <c r="F1399" s="950">
        <v>27</v>
      </c>
      <c r="G1399" s="951">
        <v>1131</v>
      </c>
      <c r="H1399" s="951">
        <v>1118.0899999999999</v>
      </c>
      <c r="I1399" s="18"/>
    </row>
    <row r="1400" spans="1:9">
      <c r="A1400" s="943" t="s">
        <v>81</v>
      </c>
      <c r="B1400" s="944">
        <v>222.4</v>
      </c>
      <c r="C1400" s="944" t="s">
        <v>4031</v>
      </c>
      <c r="D1400" s="943" t="s">
        <v>2</v>
      </c>
      <c r="E1400" s="945">
        <v>579</v>
      </c>
      <c r="F1400" s="945">
        <v>4</v>
      </c>
      <c r="G1400" s="946">
        <v>2400</v>
      </c>
      <c r="H1400" s="946">
        <v>2189.92</v>
      </c>
    </row>
    <row r="1401" spans="1:9" s="26" customFormat="1">
      <c r="A1401" s="947" t="s">
        <v>81</v>
      </c>
      <c r="B1401" s="948">
        <v>223.1</v>
      </c>
      <c r="C1401" s="948" t="s">
        <v>184</v>
      </c>
      <c r="D1401" s="947" t="s">
        <v>2</v>
      </c>
      <c r="E1401" s="950">
        <v>891</v>
      </c>
      <c r="F1401" s="950">
        <v>13</v>
      </c>
      <c r="G1401" s="951">
        <v>150</v>
      </c>
      <c r="H1401" s="951">
        <v>144.74</v>
      </c>
      <c r="I1401" s="18"/>
    </row>
    <row r="1402" spans="1:9">
      <c r="A1402" s="943" t="s">
        <v>81</v>
      </c>
      <c r="B1402" s="944">
        <v>223.2</v>
      </c>
      <c r="C1402" s="944" t="s">
        <v>185</v>
      </c>
      <c r="D1402" s="943" t="s">
        <v>2</v>
      </c>
      <c r="E1402" s="952">
        <v>4538</v>
      </c>
      <c r="F1402" s="945">
        <v>49</v>
      </c>
      <c r="G1402" s="946">
        <v>100</v>
      </c>
      <c r="H1402" s="946">
        <v>102.94</v>
      </c>
    </row>
    <row r="1403" spans="1:9" s="26" customFormat="1">
      <c r="A1403" s="947" t="s">
        <v>81</v>
      </c>
      <c r="B1403" s="948">
        <v>224.1</v>
      </c>
      <c r="C1403" s="948" t="s">
        <v>186</v>
      </c>
      <c r="D1403" s="947" t="s">
        <v>2</v>
      </c>
      <c r="E1403" s="950">
        <v>101</v>
      </c>
      <c r="F1403" s="950">
        <v>6</v>
      </c>
      <c r="G1403" s="951">
        <v>610</v>
      </c>
      <c r="H1403" s="951">
        <v>605.96</v>
      </c>
      <c r="I1403" s="18"/>
    </row>
    <row r="1404" spans="1:9">
      <c r="A1404" s="943" t="s">
        <v>81</v>
      </c>
      <c r="B1404" s="944">
        <v>224.12</v>
      </c>
      <c r="C1404" s="944" t="s">
        <v>187</v>
      </c>
      <c r="D1404" s="943" t="s">
        <v>2</v>
      </c>
      <c r="E1404" s="952">
        <v>3173</v>
      </c>
      <c r="F1404" s="945">
        <v>22</v>
      </c>
      <c r="G1404" s="946">
        <v>600</v>
      </c>
      <c r="H1404" s="946">
        <v>623.85</v>
      </c>
    </row>
    <row r="1405" spans="1:9" s="26" customFormat="1">
      <c r="A1405" s="947" t="s">
        <v>81</v>
      </c>
      <c r="B1405" s="948">
        <v>224.18</v>
      </c>
      <c r="C1405" s="948" t="s">
        <v>188</v>
      </c>
      <c r="D1405" s="947" t="s">
        <v>2</v>
      </c>
      <c r="E1405" s="950">
        <v>4</v>
      </c>
      <c r="F1405" s="950">
        <v>1</v>
      </c>
      <c r="G1405" s="951">
        <v>937.5</v>
      </c>
      <c r="H1405" s="951">
        <v>898.75</v>
      </c>
      <c r="I1405" s="18"/>
    </row>
    <row r="1406" spans="1:9">
      <c r="A1406" s="943" t="s">
        <v>81</v>
      </c>
      <c r="B1406" s="944">
        <v>225.52</v>
      </c>
      <c r="C1406" s="944" t="s">
        <v>1303</v>
      </c>
      <c r="D1406" s="943" t="s">
        <v>2</v>
      </c>
      <c r="E1406" s="945">
        <v>27</v>
      </c>
      <c r="F1406" s="945">
        <v>1</v>
      </c>
      <c r="G1406" s="946">
        <v>600</v>
      </c>
      <c r="H1406" s="946">
        <v>600</v>
      </c>
    </row>
    <row r="1407" spans="1:9" s="26" customFormat="1">
      <c r="A1407" s="947" t="s">
        <v>81</v>
      </c>
      <c r="B1407" s="948">
        <v>227.3</v>
      </c>
      <c r="C1407" s="948" t="s">
        <v>189</v>
      </c>
      <c r="D1407" s="947" t="s">
        <v>4</v>
      </c>
      <c r="E1407" s="949">
        <v>15611</v>
      </c>
      <c r="F1407" s="950">
        <v>69</v>
      </c>
      <c r="G1407" s="951">
        <v>350</v>
      </c>
      <c r="H1407" s="951">
        <v>340.14</v>
      </c>
      <c r="I1407" s="18"/>
    </row>
    <row r="1408" spans="1:9">
      <c r="A1408" s="943" t="s">
        <v>81</v>
      </c>
      <c r="B1408" s="944">
        <v>227.31</v>
      </c>
      <c r="C1408" s="944" t="s">
        <v>190</v>
      </c>
      <c r="D1408" s="943" t="s">
        <v>17</v>
      </c>
      <c r="E1408" s="952">
        <v>408968</v>
      </c>
      <c r="F1408" s="945">
        <v>62</v>
      </c>
      <c r="G1408" s="946">
        <v>14</v>
      </c>
      <c r="H1408" s="946">
        <v>13.1</v>
      </c>
    </row>
    <row r="1409" spans="1:9" s="26" customFormat="1">
      <c r="A1409" s="947" t="s">
        <v>81</v>
      </c>
      <c r="B1409" s="948">
        <v>227.4</v>
      </c>
      <c r="C1409" s="948" t="s">
        <v>191</v>
      </c>
      <c r="D1409" s="947" t="s">
        <v>3</v>
      </c>
      <c r="E1409" s="949">
        <v>2717</v>
      </c>
      <c r="F1409" s="950">
        <v>23</v>
      </c>
      <c r="G1409" s="951">
        <v>131</v>
      </c>
      <c r="H1409" s="951">
        <v>124.99</v>
      </c>
      <c r="I1409" s="18"/>
    </row>
    <row r="1410" spans="1:9">
      <c r="A1410" s="943" t="s">
        <v>81</v>
      </c>
      <c r="B1410" s="944">
        <v>230.21199999999999</v>
      </c>
      <c r="C1410" s="944" t="s">
        <v>2092</v>
      </c>
      <c r="D1410" s="943" t="s">
        <v>17</v>
      </c>
      <c r="E1410" s="945">
        <v>70</v>
      </c>
      <c r="F1410" s="945">
        <v>1</v>
      </c>
      <c r="G1410" s="946">
        <v>215</v>
      </c>
      <c r="H1410" s="946">
        <v>220.71</v>
      </c>
    </row>
    <row r="1411" spans="1:9" s="26" customFormat="1">
      <c r="A1411" s="947" t="s">
        <v>81</v>
      </c>
      <c r="B1411" s="948">
        <v>230.21799999999999</v>
      </c>
      <c r="C1411" s="948" t="s">
        <v>2094</v>
      </c>
      <c r="D1411" s="947" t="s">
        <v>17</v>
      </c>
      <c r="E1411" s="950">
        <v>40</v>
      </c>
      <c r="F1411" s="950">
        <v>1</v>
      </c>
      <c r="G1411" s="951">
        <v>300</v>
      </c>
      <c r="H1411" s="951">
        <v>286.2</v>
      </c>
      <c r="I1411" s="18"/>
    </row>
    <row r="1412" spans="1:9">
      <c r="A1412" s="943" t="s">
        <v>81</v>
      </c>
      <c r="B1412" s="944">
        <v>234.12</v>
      </c>
      <c r="C1412" s="944" t="s">
        <v>195</v>
      </c>
      <c r="D1412" s="943" t="s">
        <v>17</v>
      </c>
      <c r="E1412" s="952">
        <v>194090</v>
      </c>
      <c r="F1412" s="945">
        <v>28</v>
      </c>
      <c r="G1412" s="946">
        <v>132.5</v>
      </c>
      <c r="H1412" s="946">
        <v>129.66999999999999</v>
      </c>
    </row>
    <row r="1413" spans="1:9" s="26" customFormat="1">
      <c r="A1413" s="947" t="s">
        <v>81</v>
      </c>
      <c r="B1413" s="948">
        <v>234.15</v>
      </c>
      <c r="C1413" s="948" t="s">
        <v>196</v>
      </c>
      <c r="D1413" s="947" t="s">
        <v>17</v>
      </c>
      <c r="E1413" s="949">
        <v>30695</v>
      </c>
      <c r="F1413" s="950">
        <v>11</v>
      </c>
      <c r="G1413" s="951">
        <v>152.5</v>
      </c>
      <c r="H1413" s="951">
        <v>155.94999999999999</v>
      </c>
      <c r="I1413" s="18"/>
    </row>
    <row r="1414" spans="1:9">
      <c r="A1414" s="943" t="s">
        <v>81</v>
      </c>
      <c r="B1414" s="944">
        <v>234.18</v>
      </c>
      <c r="C1414" s="944" t="s">
        <v>197</v>
      </c>
      <c r="D1414" s="943" t="s">
        <v>17</v>
      </c>
      <c r="E1414" s="952">
        <v>33534</v>
      </c>
      <c r="F1414" s="945">
        <v>17</v>
      </c>
      <c r="G1414" s="946">
        <v>157.5</v>
      </c>
      <c r="H1414" s="946">
        <v>156.61000000000001</v>
      </c>
    </row>
    <row r="1415" spans="1:9" s="26" customFormat="1">
      <c r="A1415" s="947" t="s">
        <v>81</v>
      </c>
      <c r="B1415" s="948">
        <v>234.24</v>
      </c>
      <c r="C1415" s="948" t="s">
        <v>198</v>
      </c>
      <c r="D1415" s="947" t="s">
        <v>17</v>
      </c>
      <c r="E1415" s="949">
        <v>30974</v>
      </c>
      <c r="F1415" s="950">
        <v>17</v>
      </c>
      <c r="G1415" s="951">
        <v>200</v>
      </c>
      <c r="H1415" s="951">
        <v>206.06</v>
      </c>
      <c r="I1415" s="18"/>
    </row>
    <row r="1416" spans="1:9">
      <c r="A1416" s="943" t="s">
        <v>81</v>
      </c>
      <c r="B1416" s="944">
        <v>234.3</v>
      </c>
      <c r="C1416" s="944" t="s">
        <v>199</v>
      </c>
      <c r="D1416" s="943" t="s">
        <v>17</v>
      </c>
      <c r="E1416" s="952">
        <v>5415</v>
      </c>
      <c r="F1416" s="945">
        <v>3</v>
      </c>
      <c r="G1416" s="946">
        <v>315</v>
      </c>
      <c r="H1416" s="946">
        <v>306</v>
      </c>
    </row>
    <row r="1417" spans="1:9" s="26" customFormat="1">
      <c r="A1417" s="947" t="s">
        <v>81</v>
      </c>
      <c r="B1417" s="948">
        <v>234.36</v>
      </c>
      <c r="C1417" s="948" t="s">
        <v>200</v>
      </c>
      <c r="D1417" s="947" t="s">
        <v>17</v>
      </c>
      <c r="E1417" s="949">
        <v>7480</v>
      </c>
      <c r="F1417" s="950">
        <v>3</v>
      </c>
      <c r="G1417" s="951">
        <v>280</v>
      </c>
      <c r="H1417" s="951">
        <v>280.5</v>
      </c>
      <c r="I1417" s="18"/>
    </row>
    <row r="1418" spans="1:9">
      <c r="A1418" s="943" t="s">
        <v>81</v>
      </c>
      <c r="B1418" s="944">
        <v>235.12</v>
      </c>
      <c r="C1418" s="944" t="s">
        <v>201</v>
      </c>
      <c r="D1418" s="943" t="s">
        <v>2</v>
      </c>
      <c r="E1418" s="945">
        <v>133</v>
      </c>
      <c r="F1418" s="945">
        <v>12</v>
      </c>
      <c r="G1418" s="946">
        <v>1325</v>
      </c>
      <c r="H1418" s="946">
        <v>1245.47</v>
      </c>
    </row>
    <row r="1419" spans="1:9" s="26" customFormat="1">
      <c r="A1419" s="947" t="s">
        <v>81</v>
      </c>
      <c r="B1419" s="948">
        <v>235.15</v>
      </c>
      <c r="C1419" s="948" t="s">
        <v>202</v>
      </c>
      <c r="D1419" s="947" t="s">
        <v>2</v>
      </c>
      <c r="E1419" s="950">
        <v>34</v>
      </c>
      <c r="F1419" s="950">
        <v>2</v>
      </c>
      <c r="G1419" s="951">
        <v>1900</v>
      </c>
      <c r="H1419" s="951">
        <v>1920</v>
      </c>
      <c r="I1419" s="18"/>
    </row>
    <row r="1420" spans="1:9">
      <c r="A1420" s="943" t="s">
        <v>81</v>
      </c>
      <c r="B1420" s="944">
        <v>235.18</v>
      </c>
      <c r="C1420" s="944" t="s">
        <v>203</v>
      </c>
      <c r="D1420" s="943" t="s">
        <v>2</v>
      </c>
      <c r="E1420" s="945">
        <v>77</v>
      </c>
      <c r="F1420" s="945">
        <v>9</v>
      </c>
      <c r="G1420" s="946">
        <v>1800</v>
      </c>
      <c r="H1420" s="946">
        <v>1937.06</v>
      </c>
    </row>
    <row r="1421" spans="1:9" s="26" customFormat="1">
      <c r="A1421" s="947" t="s">
        <v>81</v>
      </c>
      <c r="B1421" s="948">
        <v>235.24</v>
      </c>
      <c r="C1421" s="948" t="s">
        <v>204</v>
      </c>
      <c r="D1421" s="947" t="s">
        <v>2</v>
      </c>
      <c r="E1421" s="950">
        <v>50</v>
      </c>
      <c r="F1421" s="950">
        <v>10</v>
      </c>
      <c r="G1421" s="951">
        <v>1850</v>
      </c>
      <c r="H1421" s="951">
        <v>1903.38</v>
      </c>
      <c r="I1421" s="18"/>
    </row>
    <row r="1422" spans="1:9">
      <c r="A1422" s="943" t="s">
        <v>81</v>
      </c>
      <c r="B1422" s="944">
        <v>235.3</v>
      </c>
      <c r="C1422" s="944" t="s">
        <v>205</v>
      </c>
      <c r="D1422" s="943" t="s">
        <v>2</v>
      </c>
      <c r="E1422" s="945">
        <v>8</v>
      </c>
      <c r="F1422" s="945">
        <v>2</v>
      </c>
      <c r="G1422" s="946">
        <v>3800</v>
      </c>
      <c r="H1422" s="946">
        <v>3828.63</v>
      </c>
    </row>
    <row r="1423" spans="1:9" s="26" customFormat="1">
      <c r="A1423" s="947" t="s">
        <v>81</v>
      </c>
      <c r="B1423" s="948">
        <v>235.36</v>
      </c>
      <c r="C1423" s="948" t="s">
        <v>206</v>
      </c>
      <c r="D1423" s="947" t="s">
        <v>2</v>
      </c>
      <c r="E1423" s="950">
        <v>14</v>
      </c>
      <c r="F1423" s="950">
        <v>2</v>
      </c>
      <c r="G1423" s="951">
        <v>2300</v>
      </c>
      <c r="H1423" s="951">
        <v>2424.83</v>
      </c>
      <c r="I1423" s="18"/>
    </row>
    <row r="1424" spans="1:9">
      <c r="A1424" s="943" t="s">
        <v>81</v>
      </c>
      <c r="B1424" s="944">
        <v>238.06</v>
      </c>
      <c r="C1424" s="944" t="s">
        <v>2138</v>
      </c>
      <c r="D1424" s="943" t="s">
        <v>17</v>
      </c>
      <c r="E1424" s="945">
        <v>250</v>
      </c>
      <c r="F1424" s="945">
        <v>1</v>
      </c>
      <c r="G1424" s="946">
        <v>160</v>
      </c>
      <c r="H1424" s="946">
        <v>147.6</v>
      </c>
    </row>
    <row r="1425" spans="1:9" s="26" customFormat="1">
      <c r="A1425" s="947" t="s">
        <v>81</v>
      </c>
      <c r="B1425" s="948">
        <v>238.1</v>
      </c>
      <c r="C1425" s="948" t="s">
        <v>207</v>
      </c>
      <c r="D1425" s="947" t="s">
        <v>17</v>
      </c>
      <c r="E1425" s="949">
        <v>14317</v>
      </c>
      <c r="F1425" s="950">
        <v>25</v>
      </c>
      <c r="G1425" s="951">
        <v>222.5</v>
      </c>
      <c r="H1425" s="951">
        <v>223.52</v>
      </c>
      <c r="I1425" s="18"/>
    </row>
    <row r="1426" spans="1:9">
      <c r="A1426" s="943" t="s">
        <v>81</v>
      </c>
      <c r="B1426" s="944">
        <v>238.12</v>
      </c>
      <c r="C1426" s="944" t="s">
        <v>208</v>
      </c>
      <c r="D1426" s="943" t="s">
        <v>17</v>
      </c>
      <c r="E1426" s="952">
        <v>16137</v>
      </c>
      <c r="F1426" s="945">
        <v>20</v>
      </c>
      <c r="G1426" s="946">
        <v>250</v>
      </c>
      <c r="H1426" s="946">
        <v>232.63</v>
      </c>
    </row>
    <row r="1427" spans="1:9" s="26" customFormat="1">
      <c r="A1427" s="947" t="s">
        <v>81</v>
      </c>
      <c r="B1427" s="948">
        <v>238.16</v>
      </c>
      <c r="C1427" s="948" t="s">
        <v>209</v>
      </c>
      <c r="D1427" s="947" t="s">
        <v>17</v>
      </c>
      <c r="E1427" s="950">
        <v>60</v>
      </c>
      <c r="F1427" s="950">
        <v>1</v>
      </c>
      <c r="G1427" s="951">
        <v>275</v>
      </c>
      <c r="H1427" s="951">
        <v>275</v>
      </c>
      <c r="I1427" s="18"/>
    </row>
    <row r="1428" spans="1:9">
      <c r="A1428" s="943" t="s">
        <v>81</v>
      </c>
      <c r="B1428" s="944">
        <v>238.18</v>
      </c>
      <c r="C1428" s="944" t="s">
        <v>2139</v>
      </c>
      <c r="D1428" s="943" t="s">
        <v>17</v>
      </c>
      <c r="E1428" s="945">
        <v>840</v>
      </c>
      <c r="F1428" s="945">
        <v>2</v>
      </c>
      <c r="G1428" s="946">
        <v>275</v>
      </c>
      <c r="H1428" s="946">
        <v>281.83</v>
      </c>
    </row>
    <row r="1429" spans="1:9" s="26" customFormat="1">
      <c r="A1429" s="947" t="s">
        <v>81</v>
      </c>
      <c r="B1429" s="948">
        <v>238.24</v>
      </c>
      <c r="C1429" s="948" t="s">
        <v>210</v>
      </c>
      <c r="D1429" s="947" t="s">
        <v>17</v>
      </c>
      <c r="E1429" s="950">
        <v>12</v>
      </c>
      <c r="F1429" s="950">
        <v>1</v>
      </c>
      <c r="G1429" s="951">
        <v>410</v>
      </c>
      <c r="H1429" s="951">
        <v>410</v>
      </c>
      <c r="I1429" s="18"/>
    </row>
    <row r="1430" spans="1:9">
      <c r="A1430" s="943" t="s">
        <v>81</v>
      </c>
      <c r="B1430" s="944">
        <v>241.12</v>
      </c>
      <c r="C1430" s="944" t="s">
        <v>3996</v>
      </c>
      <c r="D1430" s="943" t="s">
        <v>17</v>
      </c>
      <c r="E1430" s="952">
        <v>42205</v>
      </c>
      <c r="F1430" s="945">
        <v>27</v>
      </c>
      <c r="G1430" s="946">
        <v>145</v>
      </c>
      <c r="H1430" s="946">
        <v>139.11000000000001</v>
      </c>
    </row>
    <row r="1431" spans="1:9" s="26" customFormat="1">
      <c r="A1431" s="947" t="s">
        <v>81</v>
      </c>
      <c r="B1431" s="948">
        <v>241.15</v>
      </c>
      <c r="C1431" s="948" t="s">
        <v>3997</v>
      </c>
      <c r="D1431" s="947" t="s">
        <v>17</v>
      </c>
      <c r="E1431" s="949">
        <v>8922</v>
      </c>
      <c r="F1431" s="950">
        <v>12</v>
      </c>
      <c r="G1431" s="951">
        <v>170</v>
      </c>
      <c r="H1431" s="951">
        <v>160.94</v>
      </c>
      <c r="I1431" s="18"/>
    </row>
    <row r="1432" spans="1:9">
      <c r="A1432" s="943" t="s">
        <v>81</v>
      </c>
      <c r="B1432" s="944">
        <v>241.18</v>
      </c>
      <c r="C1432" s="944" t="s">
        <v>3998</v>
      </c>
      <c r="D1432" s="943" t="s">
        <v>17</v>
      </c>
      <c r="E1432" s="952">
        <v>8471</v>
      </c>
      <c r="F1432" s="945">
        <v>10</v>
      </c>
      <c r="G1432" s="946">
        <v>182.5</v>
      </c>
      <c r="H1432" s="946">
        <v>165.78</v>
      </c>
    </row>
    <row r="1433" spans="1:9" s="26" customFormat="1">
      <c r="A1433" s="947" t="s">
        <v>81</v>
      </c>
      <c r="B1433" s="948">
        <v>241.24</v>
      </c>
      <c r="C1433" s="948" t="s">
        <v>3999</v>
      </c>
      <c r="D1433" s="947" t="s">
        <v>17</v>
      </c>
      <c r="E1433" s="950">
        <v>820</v>
      </c>
      <c r="F1433" s="950">
        <v>3</v>
      </c>
      <c r="G1433" s="951">
        <v>172.5</v>
      </c>
      <c r="H1433" s="951">
        <v>212.71</v>
      </c>
      <c r="I1433" s="18"/>
    </row>
    <row r="1434" spans="1:9">
      <c r="A1434" s="943" t="s">
        <v>81</v>
      </c>
      <c r="B1434" s="944">
        <v>241.36</v>
      </c>
      <c r="C1434" s="944" t="s">
        <v>4000</v>
      </c>
      <c r="D1434" s="943" t="s">
        <v>17</v>
      </c>
      <c r="E1434" s="945">
        <v>400</v>
      </c>
      <c r="F1434" s="945">
        <v>2</v>
      </c>
      <c r="G1434" s="946">
        <v>500</v>
      </c>
      <c r="H1434" s="946">
        <v>536.91999999999996</v>
      </c>
    </row>
    <row r="1435" spans="1:9" s="26" customFormat="1">
      <c r="A1435" s="947" t="s">
        <v>81</v>
      </c>
      <c r="B1435" s="948">
        <v>241.42</v>
      </c>
      <c r="C1435" s="948" t="s">
        <v>4032</v>
      </c>
      <c r="D1435" s="947" t="s">
        <v>17</v>
      </c>
      <c r="E1435" s="950">
        <v>720</v>
      </c>
      <c r="F1435" s="950">
        <v>2</v>
      </c>
      <c r="G1435" s="951">
        <v>350</v>
      </c>
      <c r="H1435" s="951">
        <v>416.26</v>
      </c>
      <c r="I1435" s="18"/>
    </row>
    <row r="1436" spans="1:9">
      <c r="A1436" s="943" t="s">
        <v>81</v>
      </c>
      <c r="B1436" s="944">
        <v>242.12</v>
      </c>
      <c r="C1436" s="944" t="s">
        <v>219</v>
      </c>
      <c r="D1436" s="943" t="s">
        <v>2</v>
      </c>
      <c r="E1436" s="945">
        <v>130</v>
      </c>
      <c r="F1436" s="945">
        <v>11</v>
      </c>
      <c r="G1436" s="946">
        <v>1840</v>
      </c>
      <c r="H1436" s="946">
        <v>1821.26</v>
      </c>
    </row>
    <row r="1437" spans="1:9" s="26" customFormat="1">
      <c r="A1437" s="947" t="s">
        <v>81</v>
      </c>
      <c r="B1437" s="948">
        <v>242.15</v>
      </c>
      <c r="C1437" s="948" t="s">
        <v>220</v>
      </c>
      <c r="D1437" s="947" t="s">
        <v>2</v>
      </c>
      <c r="E1437" s="950">
        <v>15</v>
      </c>
      <c r="F1437" s="950">
        <v>2</v>
      </c>
      <c r="G1437" s="951">
        <v>2650</v>
      </c>
      <c r="H1437" s="951">
        <v>2544.44</v>
      </c>
      <c r="I1437" s="18"/>
    </row>
    <row r="1438" spans="1:9">
      <c r="A1438" s="943" t="s">
        <v>81</v>
      </c>
      <c r="B1438" s="944">
        <v>242.18</v>
      </c>
      <c r="C1438" s="944" t="s">
        <v>221</v>
      </c>
      <c r="D1438" s="943" t="s">
        <v>2</v>
      </c>
      <c r="E1438" s="945">
        <v>31</v>
      </c>
      <c r="F1438" s="945">
        <v>5</v>
      </c>
      <c r="G1438" s="946">
        <v>2000</v>
      </c>
      <c r="H1438" s="946">
        <v>2068.61</v>
      </c>
    </row>
    <row r="1439" spans="1:9" s="26" customFormat="1">
      <c r="A1439" s="947" t="s">
        <v>81</v>
      </c>
      <c r="B1439" s="948">
        <v>242.24</v>
      </c>
      <c r="C1439" s="948" t="s">
        <v>222</v>
      </c>
      <c r="D1439" s="947" t="s">
        <v>2</v>
      </c>
      <c r="E1439" s="950">
        <v>51</v>
      </c>
      <c r="F1439" s="950">
        <v>5</v>
      </c>
      <c r="G1439" s="951">
        <v>2125</v>
      </c>
      <c r="H1439" s="951">
        <v>2325.8000000000002</v>
      </c>
      <c r="I1439" s="18"/>
    </row>
    <row r="1440" spans="1:9">
      <c r="A1440" s="943" t="s">
        <v>81</v>
      </c>
      <c r="B1440" s="944">
        <v>242.42</v>
      </c>
      <c r="C1440" s="944" t="s">
        <v>1310</v>
      </c>
      <c r="D1440" s="943" t="s">
        <v>2</v>
      </c>
      <c r="E1440" s="945">
        <v>6</v>
      </c>
      <c r="F1440" s="945">
        <v>1</v>
      </c>
      <c r="G1440" s="946">
        <v>3750</v>
      </c>
      <c r="H1440" s="946">
        <v>3831.49</v>
      </c>
    </row>
    <row r="1441" spans="1:9" s="26" customFormat="1">
      <c r="A1441" s="947" t="s">
        <v>81</v>
      </c>
      <c r="B1441" s="948">
        <v>243.12</v>
      </c>
      <c r="C1441" s="948" t="s">
        <v>226</v>
      </c>
      <c r="D1441" s="947" t="s">
        <v>17</v>
      </c>
      <c r="E1441" s="949">
        <v>5640</v>
      </c>
      <c r="F1441" s="950">
        <v>2</v>
      </c>
      <c r="G1441" s="951">
        <v>152.5</v>
      </c>
      <c r="H1441" s="951">
        <v>147.04</v>
      </c>
      <c r="I1441" s="18"/>
    </row>
    <row r="1442" spans="1:9">
      <c r="A1442" s="943" t="s">
        <v>81</v>
      </c>
      <c r="B1442" s="944">
        <v>243.15</v>
      </c>
      <c r="C1442" s="944" t="s">
        <v>1311</v>
      </c>
      <c r="D1442" s="943" t="s">
        <v>17</v>
      </c>
      <c r="E1442" s="952">
        <v>2460</v>
      </c>
      <c r="F1442" s="945">
        <v>1</v>
      </c>
      <c r="G1442" s="946">
        <v>157.5</v>
      </c>
      <c r="H1442" s="946">
        <v>152.87</v>
      </c>
    </row>
    <row r="1443" spans="1:9" s="26" customFormat="1">
      <c r="A1443" s="947" t="s">
        <v>81</v>
      </c>
      <c r="B1443" s="948">
        <v>243.18</v>
      </c>
      <c r="C1443" s="948" t="s">
        <v>227</v>
      </c>
      <c r="D1443" s="947" t="s">
        <v>17</v>
      </c>
      <c r="E1443" s="950">
        <v>250</v>
      </c>
      <c r="F1443" s="950">
        <v>1</v>
      </c>
      <c r="G1443" s="951">
        <v>189</v>
      </c>
      <c r="H1443" s="951">
        <v>183.6</v>
      </c>
      <c r="I1443" s="18"/>
    </row>
    <row r="1444" spans="1:9">
      <c r="A1444" s="943" t="s">
        <v>81</v>
      </c>
      <c r="B1444" s="944">
        <v>243.24</v>
      </c>
      <c r="C1444" s="944" t="s">
        <v>228</v>
      </c>
      <c r="D1444" s="943" t="s">
        <v>17</v>
      </c>
      <c r="E1444" s="945">
        <v>975</v>
      </c>
      <c r="F1444" s="945">
        <v>2</v>
      </c>
      <c r="G1444" s="946">
        <v>227</v>
      </c>
      <c r="H1444" s="946">
        <v>261.56</v>
      </c>
    </row>
    <row r="1445" spans="1:9" s="26" customFormat="1">
      <c r="A1445" s="947" t="s">
        <v>81</v>
      </c>
      <c r="B1445" s="948">
        <v>244.12</v>
      </c>
      <c r="C1445" s="948" t="s">
        <v>229</v>
      </c>
      <c r="D1445" s="947" t="s">
        <v>17</v>
      </c>
      <c r="E1445" s="949">
        <v>31030</v>
      </c>
      <c r="F1445" s="950">
        <v>15</v>
      </c>
      <c r="G1445" s="951">
        <v>140</v>
      </c>
      <c r="H1445" s="951">
        <v>134.21</v>
      </c>
      <c r="I1445" s="18"/>
    </row>
    <row r="1446" spans="1:9">
      <c r="A1446" s="943" t="s">
        <v>81</v>
      </c>
      <c r="B1446" s="944">
        <v>244.15</v>
      </c>
      <c r="C1446" s="944" t="s">
        <v>230</v>
      </c>
      <c r="D1446" s="943" t="s">
        <v>17</v>
      </c>
      <c r="E1446" s="952">
        <v>6340</v>
      </c>
      <c r="F1446" s="945">
        <v>4</v>
      </c>
      <c r="G1446" s="946">
        <v>135</v>
      </c>
      <c r="H1446" s="946">
        <v>131.87</v>
      </c>
    </row>
    <row r="1447" spans="1:9" s="26" customFormat="1">
      <c r="A1447" s="947" t="s">
        <v>81</v>
      </c>
      <c r="B1447" s="948">
        <v>244.18</v>
      </c>
      <c r="C1447" s="948" t="s">
        <v>231</v>
      </c>
      <c r="D1447" s="947" t="s">
        <v>17</v>
      </c>
      <c r="E1447" s="949">
        <v>11875</v>
      </c>
      <c r="F1447" s="950">
        <v>3</v>
      </c>
      <c r="G1447" s="951">
        <v>140</v>
      </c>
      <c r="H1447" s="951">
        <v>140.69999999999999</v>
      </c>
      <c r="I1447" s="18"/>
    </row>
    <row r="1448" spans="1:9">
      <c r="A1448" s="943" t="s">
        <v>81</v>
      </c>
      <c r="B1448" s="944">
        <v>244.24</v>
      </c>
      <c r="C1448" s="944" t="s">
        <v>232</v>
      </c>
      <c r="D1448" s="943" t="s">
        <v>17</v>
      </c>
      <c r="E1448" s="952">
        <v>4230</v>
      </c>
      <c r="F1448" s="945">
        <v>3</v>
      </c>
      <c r="G1448" s="946">
        <v>180</v>
      </c>
      <c r="H1448" s="946">
        <v>182.15</v>
      </c>
    </row>
    <row r="1449" spans="1:9" s="26" customFormat="1">
      <c r="A1449" s="947" t="s">
        <v>81</v>
      </c>
      <c r="B1449" s="948">
        <v>250.06</v>
      </c>
      <c r="C1449" s="948" t="s">
        <v>235</v>
      </c>
      <c r="D1449" s="947" t="s">
        <v>17</v>
      </c>
      <c r="E1449" s="949">
        <v>2259</v>
      </c>
      <c r="F1449" s="950">
        <v>4</v>
      </c>
      <c r="G1449" s="951">
        <v>160</v>
      </c>
      <c r="H1449" s="951">
        <v>157.44999999999999</v>
      </c>
      <c r="I1449" s="18"/>
    </row>
    <row r="1450" spans="1:9">
      <c r="A1450" s="943" t="s">
        <v>81</v>
      </c>
      <c r="B1450" s="944">
        <v>250.08</v>
      </c>
      <c r="C1450" s="944" t="s">
        <v>236</v>
      </c>
      <c r="D1450" s="943" t="s">
        <v>17</v>
      </c>
      <c r="E1450" s="952">
        <v>2220</v>
      </c>
      <c r="F1450" s="945">
        <v>4</v>
      </c>
      <c r="G1450" s="946">
        <v>175</v>
      </c>
      <c r="H1450" s="946">
        <v>176.01</v>
      </c>
    </row>
    <row r="1451" spans="1:9" s="26" customFormat="1">
      <c r="A1451" s="947" t="s">
        <v>81</v>
      </c>
      <c r="B1451" s="948">
        <v>250.1</v>
      </c>
      <c r="C1451" s="948" t="s">
        <v>1312</v>
      </c>
      <c r="D1451" s="947" t="s">
        <v>17</v>
      </c>
      <c r="E1451" s="950">
        <v>240</v>
      </c>
      <c r="F1451" s="950">
        <v>1</v>
      </c>
      <c r="G1451" s="951">
        <v>200</v>
      </c>
      <c r="H1451" s="951">
        <v>200</v>
      </c>
      <c r="I1451" s="18"/>
    </row>
    <row r="1452" spans="1:9">
      <c r="A1452" s="943" t="s">
        <v>81</v>
      </c>
      <c r="B1452" s="944">
        <v>250.12</v>
      </c>
      <c r="C1452" s="944" t="s">
        <v>2186</v>
      </c>
      <c r="D1452" s="943" t="s">
        <v>17</v>
      </c>
      <c r="E1452" s="952">
        <v>9500</v>
      </c>
      <c r="F1452" s="945">
        <v>2</v>
      </c>
      <c r="G1452" s="946">
        <v>312.72000000000003</v>
      </c>
      <c r="H1452" s="946">
        <v>279.02999999999997</v>
      </c>
    </row>
    <row r="1453" spans="1:9" s="26" customFormat="1">
      <c r="A1453" s="947" t="s">
        <v>81</v>
      </c>
      <c r="B1453" s="948">
        <v>252.11199999999999</v>
      </c>
      <c r="C1453" s="948" t="s">
        <v>237</v>
      </c>
      <c r="D1453" s="947" t="s">
        <v>2</v>
      </c>
      <c r="E1453" s="950">
        <v>30</v>
      </c>
      <c r="F1453" s="950">
        <v>3</v>
      </c>
      <c r="G1453" s="951">
        <v>1100</v>
      </c>
      <c r="H1453" s="951">
        <v>1073.44</v>
      </c>
      <c r="I1453" s="18"/>
    </row>
    <row r="1454" spans="1:9">
      <c r="A1454" s="943" t="s">
        <v>81</v>
      </c>
      <c r="B1454" s="944">
        <v>252.11799999999999</v>
      </c>
      <c r="C1454" s="944" t="s">
        <v>2188</v>
      </c>
      <c r="D1454" s="943" t="s">
        <v>2</v>
      </c>
      <c r="E1454" s="945">
        <v>8</v>
      </c>
      <c r="F1454" s="945">
        <v>1</v>
      </c>
      <c r="G1454" s="946">
        <v>1200</v>
      </c>
      <c r="H1454" s="946">
        <v>1183.75</v>
      </c>
    </row>
    <row r="1455" spans="1:9" s="26" customFormat="1">
      <c r="A1455" s="947" t="s">
        <v>81</v>
      </c>
      <c r="B1455" s="948">
        <v>252.12</v>
      </c>
      <c r="C1455" s="948" t="s">
        <v>1313</v>
      </c>
      <c r="D1455" s="947" t="s">
        <v>17</v>
      </c>
      <c r="E1455" s="949">
        <v>2265</v>
      </c>
      <c r="F1455" s="950">
        <v>4</v>
      </c>
      <c r="G1455" s="951">
        <v>125</v>
      </c>
      <c r="H1455" s="951">
        <v>119.5</v>
      </c>
      <c r="I1455" s="18"/>
    </row>
    <row r="1456" spans="1:9">
      <c r="A1456" s="943" t="s">
        <v>81</v>
      </c>
      <c r="B1456" s="944">
        <v>252.124</v>
      </c>
      <c r="C1456" s="944" t="s">
        <v>2189</v>
      </c>
      <c r="D1456" s="943" t="s">
        <v>2</v>
      </c>
      <c r="E1456" s="945">
        <v>10</v>
      </c>
      <c r="F1456" s="945">
        <v>1</v>
      </c>
      <c r="G1456" s="946">
        <v>1550</v>
      </c>
      <c r="H1456" s="946">
        <v>1533</v>
      </c>
    </row>
    <row r="1457" spans="1:9" s="26" customFormat="1">
      <c r="A1457" s="947" t="s">
        <v>81</v>
      </c>
      <c r="B1457" s="948">
        <v>252.18</v>
      </c>
      <c r="C1457" s="948" t="s">
        <v>1315</v>
      </c>
      <c r="D1457" s="947" t="s">
        <v>17</v>
      </c>
      <c r="E1457" s="950">
        <v>500</v>
      </c>
      <c r="F1457" s="950">
        <v>1</v>
      </c>
      <c r="G1457" s="951">
        <v>138</v>
      </c>
      <c r="H1457" s="951">
        <v>133.6</v>
      </c>
      <c r="I1457" s="18"/>
    </row>
    <row r="1458" spans="1:9">
      <c r="A1458" s="943" t="s">
        <v>81</v>
      </c>
      <c r="B1458" s="944">
        <v>252.24</v>
      </c>
      <c r="C1458" s="944" t="s">
        <v>1316</v>
      </c>
      <c r="D1458" s="943" t="s">
        <v>17</v>
      </c>
      <c r="E1458" s="945">
        <v>500</v>
      </c>
      <c r="F1458" s="945">
        <v>1</v>
      </c>
      <c r="G1458" s="946">
        <v>165</v>
      </c>
      <c r="H1458" s="946">
        <v>156.5</v>
      </c>
    </row>
    <row r="1459" spans="1:9" s="26" customFormat="1">
      <c r="A1459" s="947" t="s">
        <v>81</v>
      </c>
      <c r="B1459" s="948">
        <v>254.08</v>
      </c>
      <c r="C1459" s="948" t="s">
        <v>2203</v>
      </c>
      <c r="D1459" s="947" t="s">
        <v>17</v>
      </c>
      <c r="E1459" s="950">
        <v>300</v>
      </c>
      <c r="F1459" s="950">
        <v>1</v>
      </c>
      <c r="G1459" s="951">
        <v>150</v>
      </c>
      <c r="H1459" s="951">
        <v>143.75</v>
      </c>
      <c r="I1459" s="18"/>
    </row>
    <row r="1460" spans="1:9">
      <c r="A1460" s="943" t="s">
        <v>81</v>
      </c>
      <c r="B1460" s="944">
        <v>258</v>
      </c>
      <c r="C1460" s="944" t="s">
        <v>238</v>
      </c>
      <c r="D1460" s="943" t="s">
        <v>1</v>
      </c>
      <c r="E1460" s="952">
        <v>4701</v>
      </c>
      <c r="F1460" s="945">
        <v>29</v>
      </c>
      <c r="G1460" s="946">
        <v>100</v>
      </c>
      <c r="H1460" s="946">
        <v>105.05</v>
      </c>
    </row>
    <row r="1461" spans="1:9" s="26" customFormat="1">
      <c r="A1461" s="947" t="s">
        <v>81</v>
      </c>
      <c r="B1461" s="948">
        <v>259</v>
      </c>
      <c r="C1461" s="948" t="s">
        <v>1318</v>
      </c>
      <c r="D1461" s="947" t="s">
        <v>7</v>
      </c>
      <c r="E1461" s="950">
        <v>180</v>
      </c>
      <c r="F1461" s="950">
        <v>1</v>
      </c>
      <c r="G1461" s="951">
        <v>87.5</v>
      </c>
      <c r="H1461" s="951">
        <v>74.33</v>
      </c>
      <c r="I1461" s="18"/>
    </row>
    <row r="1462" spans="1:9">
      <c r="A1462" s="943" t="s">
        <v>81</v>
      </c>
      <c r="B1462" s="944">
        <v>265.06</v>
      </c>
      <c r="C1462" s="944" t="s">
        <v>239</v>
      </c>
      <c r="D1462" s="943" t="s">
        <v>17</v>
      </c>
      <c r="E1462" s="945">
        <v>900</v>
      </c>
      <c r="F1462" s="945">
        <v>3</v>
      </c>
      <c r="G1462" s="946">
        <v>85</v>
      </c>
      <c r="H1462" s="946">
        <v>95.91</v>
      </c>
    </row>
    <row r="1463" spans="1:9" s="26" customFormat="1">
      <c r="A1463" s="947" t="s">
        <v>81</v>
      </c>
      <c r="B1463" s="948">
        <v>265.08</v>
      </c>
      <c r="C1463" s="948" t="s">
        <v>2230</v>
      </c>
      <c r="D1463" s="947" t="s">
        <v>17</v>
      </c>
      <c r="E1463" s="950">
        <v>390</v>
      </c>
      <c r="F1463" s="950">
        <v>3</v>
      </c>
      <c r="G1463" s="951">
        <v>100</v>
      </c>
      <c r="H1463" s="951">
        <v>133.33000000000001</v>
      </c>
      <c r="I1463" s="18"/>
    </row>
    <row r="1464" spans="1:9">
      <c r="A1464" s="943" t="s">
        <v>81</v>
      </c>
      <c r="B1464" s="944">
        <v>269.06</v>
      </c>
      <c r="C1464" s="944" t="s">
        <v>240</v>
      </c>
      <c r="D1464" s="943" t="s">
        <v>17</v>
      </c>
      <c r="E1464" s="945">
        <v>60</v>
      </c>
      <c r="F1464" s="945">
        <v>1</v>
      </c>
      <c r="G1464" s="946">
        <v>112.5</v>
      </c>
      <c r="H1464" s="946">
        <v>89.25</v>
      </c>
    </row>
    <row r="1465" spans="1:9" s="26" customFormat="1">
      <c r="A1465" s="947" t="s">
        <v>81</v>
      </c>
      <c r="B1465" s="948">
        <v>269.08</v>
      </c>
      <c r="C1465" s="948" t="s">
        <v>241</v>
      </c>
      <c r="D1465" s="947" t="s">
        <v>17</v>
      </c>
      <c r="E1465" s="949">
        <v>9630</v>
      </c>
      <c r="F1465" s="950">
        <v>2</v>
      </c>
      <c r="G1465" s="951">
        <v>82.5</v>
      </c>
      <c r="H1465" s="951">
        <v>84.82</v>
      </c>
      <c r="I1465" s="18"/>
    </row>
    <row r="1466" spans="1:9">
      <c r="A1466" s="943" t="s">
        <v>81</v>
      </c>
      <c r="B1466" s="944">
        <v>269.10000000000002</v>
      </c>
      <c r="C1466" s="944" t="s">
        <v>242</v>
      </c>
      <c r="D1466" s="943" t="s">
        <v>17</v>
      </c>
      <c r="E1466" s="945">
        <v>450</v>
      </c>
      <c r="F1466" s="945">
        <v>2</v>
      </c>
      <c r="G1466" s="946">
        <v>110</v>
      </c>
      <c r="H1466" s="946">
        <v>116.75</v>
      </c>
    </row>
    <row r="1467" spans="1:9" s="26" customFormat="1">
      <c r="A1467" s="947" t="s">
        <v>81</v>
      </c>
      <c r="B1467" s="948">
        <v>271.12</v>
      </c>
      <c r="C1467" s="948" t="s">
        <v>243</v>
      </c>
      <c r="D1467" s="947" t="s">
        <v>17</v>
      </c>
      <c r="E1467" s="949">
        <v>4395</v>
      </c>
      <c r="F1467" s="950">
        <v>3</v>
      </c>
      <c r="G1467" s="951">
        <v>35</v>
      </c>
      <c r="H1467" s="951">
        <v>32.94</v>
      </c>
      <c r="I1467" s="18"/>
    </row>
    <row r="1468" spans="1:9">
      <c r="A1468" s="943" t="s">
        <v>81</v>
      </c>
      <c r="B1468" s="944">
        <v>271.14999999999998</v>
      </c>
      <c r="C1468" s="944" t="s">
        <v>2242</v>
      </c>
      <c r="D1468" s="943" t="s">
        <v>17</v>
      </c>
      <c r="E1468" s="945">
        <v>285</v>
      </c>
      <c r="F1468" s="945">
        <v>1</v>
      </c>
      <c r="G1468" s="946">
        <v>42.5</v>
      </c>
      <c r="H1468" s="946">
        <v>36.94</v>
      </c>
    </row>
    <row r="1469" spans="1:9" s="26" customFormat="1">
      <c r="A1469" s="947" t="s">
        <v>81</v>
      </c>
      <c r="B1469" s="948">
        <v>271.18</v>
      </c>
      <c r="C1469" s="948" t="s">
        <v>2243</v>
      </c>
      <c r="D1469" s="947" t="s">
        <v>17</v>
      </c>
      <c r="E1469" s="950">
        <v>200</v>
      </c>
      <c r="F1469" s="950">
        <v>1</v>
      </c>
      <c r="G1469" s="951">
        <v>55</v>
      </c>
      <c r="H1469" s="951">
        <v>54.43</v>
      </c>
      <c r="I1469" s="18"/>
    </row>
    <row r="1470" spans="1:9">
      <c r="A1470" s="943" t="s">
        <v>81</v>
      </c>
      <c r="B1470" s="944">
        <v>271.24</v>
      </c>
      <c r="C1470" s="944" t="s">
        <v>2244</v>
      </c>
      <c r="D1470" s="943" t="s">
        <v>17</v>
      </c>
      <c r="E1470" s="945">
        <v>500</v>
      </c>
      <c r="F1470" s="945">
        <v>1</v>
      </c>
      <c r="G1470" s="946">
        <v>50</v>
      </c>
      <c r="H1470" s="946">
        <v>54</v>
      </c>
    </row>
    <row r="1471" spans="1:9" s="26" customFormat="1">
      <c r="A1471" s="947" t="s">
        <v>81</v>
      </c>
      <c r="B1471" s="948">
        <v>280</v>
      </c>
      <c r="C1471" s="948" t="s">
        <v>244</v>
      </c>
      <c r="D1471" s="947" t="s">
        <v>1</v>
      </c>
      <c r="E1471" s="949">
        <v>4608</v>
      </c>
      <c r="F1471" s="950">
        <v>12</v>
      </c>
      <c r="G1471" s="951">
        <v>196.5</v>
      </c>
      <c r="H1471" s="951">
        <v>159.99</v>
      </c>
      <c r="I1471" s="18"/>
    </row>
    <row r="1472" spans="1:9">
      <c r="A1472" s="943" t="s">
        <v>81</v>
      </c>
      <c r="B1472" s="944">
        <v>280.10000000000002</v>
      </c>
      <c r="C1472" s="944" t="s">
        <v>244</v>
      </c>
      <c r="D1472" s="943" t="s">
        <v>7</v>
      </c>
      <c r="E1472" s="952">
        <v>2721</v>
      </c>
      <c r="F1472" s="945">
        <v>8</v>
      </c>
      <c r="G1472" s="946">
        <v>345</v>
      </c>
      <c r="H1472" s="946">
        <v>360.09</v>
      </c>
    </row>
    <row r="1473" spans="1:9" s="26" customFormat="1">
      <c r="A1473" s="947" t="s">
        <v>81</v>
      </c>
      <c r="B1473" s="948">
        <v>281</v>
      </c>
      <c r="C1473" s="948" t="s">
        <v>245</v>
      </c>
      <c r="D1473" s="947" t="s">
        <v>1</v>
      </c>
      <c r="E1473" s="950">
        <v>120</v>
      </c>
      <c r="F1473" s="950">
        <v>2</v>
      </c>
      <c r="G1473" s="951">
        <v>250</v>
      </c>
      <c r="H1473" s="951">
        <v>305.56</v>
      </c>
      <c r="I1473" s="18"/>
    </row>
    <row r="1474" spans="1:9">
      <c r="A1474" s="943" t="s">
        <v>81</v>
      </c>
      <c r="B1474" s="944">
        <v>302.04000000000002</v>
      </c>
      <c r="C1474" s="944" t="s">
        <v>246</v>
      </c>
      <c r="D1474" s="943" t="s">
        <v>17</v>
      </c>
      <c r="E1474" s="945">
        <v>160</v>
      </c>
      <c r="F1474" s="945">
        <v>2</v>
      </c>
      <c r="G1474" s="946">
        <v>200</v>
      </c>
      <c r="H1474" s="946">
        <v>192.5</v>
      </c>
    </row>
    <row r="1475" spans="1:9" s="26" customFormat="1">
      <c r="A1475" s="947" t="s">
        <v>81</v>
      </c>
      <c r="B1475" s="948">
        <v>302.06</v>
      </c>
      <c r="C1475" s="948" t="s">
        <v>247</v>
      </c>
      <c r="D1475" s="947" t="s">
        <v>17</v>
      </c>
      <c r="E1475" s="949">
        <v>5340</v>
      </c>
      <c r="F1475" s="950">
        <v>8</v>
      </c>
      <c r="G1475" s="951">
        <v>210</v>
      </c>
      <c r="H1475" s="951">
        <v>210.98</v>
      </c>
      <c r="I1475" s="18"/>
    </row>
    <row r="1476" spans="1:9">
      <c r="A1476" s="943" t="s">
        <v>81</v>
      </c>
      <c r="B1476" s="944">
        <v>302.08</v>
      </c>
      <c r="C1476" s="944" t="s">
        <v>248</v>
      </c>
      <c r="D1476" s="943" t="s">
        <v>17</v>
      </c>
      <c r="E1476" s="952">
        <v>16470</v>
      </c>
      <c r="F1476" s="945">
        <v>6</v>
      </c>
      <c r="G1476" s="946">
        <v>207.5</v>
      </c>
      <c r="H1476" s="946">
        <v>212.4</v>
      </c>
    </row>
    <row r="1477" spans="1:9" s="26" customFormat="1">
      <c r="A1477" s="947" t="s">
        <v>81</v>
      </c>
      <c r="B1477" s="948">
        <v>302.10000000000002</v>
      </c>
      <c r="C1477" s="948" t="s">
        <v>249</v>
      </c>
      <c r="D1477" s="947" t="s">
        <v>17</v>
      </c>
      <c r="E1477" s="950">
        <v>400</v>
      </c>
      <c r="F1477" s="950">
        <v>2</v>
      </c>
      <c r="G1477" s="951">
        <v>225</v>
      </c>
      <c r="H1477" s="951">
        <v>236.88</v>
      </c>
      <c r="I1477" s="18"/>
    </row>
    <row r="1478" spans="1:9">
      <c r="A1478" s="943" t="s">
        <v>81</v>
      </c>
      <c r="B1478" s="944">
        <v>302.12</v>
      </c>
      <c r="C1478" s="944" t="s">
        <v>250</v>
      </c>
      <c r="D1478" s="943" t="s">
        <v>17</v>
      </c>
      <c r="E1478" s="952">
        <v>60697</v>
      </c>
      <c r="F1478" s="945">
        <v>6</v>
      </c>
      <c r="G1478" s="946">
        <v>230</v>
      </c>
      <c r="H1478" s="946">
        <v>229.61</v>
      </c>
    </row>
    <row r="1479" spans="1:9" s="26" customFormat="1">
      <c r="A1479" s="947" t="s">
        <v>81</v>
      </c>
      <c r="B1479" s="948">
        <v>303.06</v>
      </c>
      <c r="C1479" s="948" t="s">
        <v>251</v>
      </c>
      <c r="D1479" s="947" t="s">
        <v>17</v>
      </c>
      <c r="E1479" s="949">
        <v>7040</v>
      </c>
      <c r="F1479" s="950">
        <v>21</v>
      </c>
      <c r="G1479" s="951">
        <v>222.5</v>
      </c>
      <c r="H1479" s="951">
        <v>217.56</v>
      </c>
      <c r="I1479" s="18"/>
    </row>
    <row r="1480" spans="1:9">
      <c r="A1480" s="943" t="s">
        <v>81</v>
      </c>
      <c r="B1480" s="944">
        <v>303.08</v>
      </c>
      <c r="C1480" s="944" t="s">
        <v>252</v>
      </c>
      <c r="D1480" s="943" t="s">
        <v>17</v>
      </c>
      <c r="E1480" s="952">
        <v>2663</v>
      </c>
      <c r="F1480" s="945">
        <v>7</v>
      </c>
      <c r="G1480" s="946">
        <v>234.11</v>
      </c>
      <c r="H1480" s="946">
        <v>219.81</v>
      </c>
    </row>
    <row r="1481" spans="1:9" s="26" customFormat="1">
      <c r="A1481" s="947" t="s">
        <v>81</v>
      </c>
      <c r="B1481" s="948">
        <v>303.10000000000002</v>
      </c>
      <c r="C1481" s="948" t="s">
        <v>253</v>
      </c>
      <c r="D1481" s="947" t="s">
        <v>17</v>
      </c>
      <c r="E1481" s="949">
        <v>1130</v>
      </c>
      <c r="F1481" s="950">
        <v>4</v>
      </c>
      <c r="G1481" s="951">
        <v>276.26</v>
      </c>
      <c r="H1481" s="951">
        <v>284.79000000000002</v>
      </c>
      <c r="I1481" s="18"/>
    </row>
    <row r="1482" spans="1:9">
      <c r="A1482" s="943" t="s">
        <v>81</v>
      </c>
      <c r="B1482" s="944">
        <v>303.12</v>
      </c>
      <c r="C1482" s="944" t="s">
        <v>254</v>
      </c>
      <c r="D1482" s="943" t="s">
        <v>17</v>
      </c>
      <c r="E1482" s="952">
        <v>11753</v>
      </c>
      <c r="F1482" s="945">
        <v>9</v>
      </c>
      <c r="G1482" s="946">
        <v>300</v>
      </c>
      <c r="H1482" s="946">
        <v>284.63</v>
      </c>
    </row>
    <row r="1483" spans="1:9" s="26" customFormat="1">
      <c r="A1483" s="947" t="s">
        <v>81</v>
      </c>
      <c r="B1483" s="948">
        <v>309</v>
      </c>
      <c r="C1483" s="948" t="s">
        <v>256</v>
      </c>
      <c r="D1483" s="947" t="s">
        <v>100</v>
      </c>
      <c r="E1483" s="949">
        <v>152230</v>
      </c>
      <c r="F1483" s="950">
        <v>30</v>
      </c>
      <c r="G1483" s="951">
        <v>10</v>
      </c>
      <c r="H1483" s="951">
        <v>10.69</v>
      </c>
      <c r="I1483" s="18"/>
    </row>
    <row r="1484" spans="1:9">
      <c r="A1484" s="943" t="s">
        <v>81</v>
      </c>
      <c r="B1484" s="944">
        <v>315.08</v>
      </c>
      <c r="C1484" s="944" t="s">
        <v>1324</v>
      </c>
      <c r="D1484" s="943" t="s">
        <v>17</v>
      </c>
      <c r="E1484" s="945">
        <v>60</v>
      </c>
      <c r="F1484" s="945">
        <v>1</v>
      </c>
      <c r="G1484" s="946">
        <v>75</v>
      </c>
      <c r="H1484" s="946">
        <v>62.5</v>
      </c>
    </row>
    <row r="1485" spans="1:9" s="26" customFormat="1">
      <c r="A1485" s="947" t="s">
        <v>81</v>
      </c>
      <c r="B1485" s="948">
        <v>315.10000000000002</v>
      </c>
      <c r="C1485" s="948" t="s">
        <v>2264</v>
      </c>
      <c r="D1485" s="947" t="s">
        <v>17</v>
      </c>
      <c r="E1485" s="950">
        <v>40</v>
      </c>
      <c r="F1485" s="950">
        <v>1</v>
      </c>
      <c r="G1485" s="951">
        <v>75</v>
      </c>
      <c r="H1485" s="951">
        <v>62.5</v>
      </c>
      <c r="I1485" s="18"/>
    </row>
    <row r="1486" spans="1:9">
      <c r="A1486" s="943" t="s">
        <v>81</v>
      </c>
      <c r="B1486" s="944">
        <v>325.24</v>
      </c>
      <c r="C1486" s="944" t="s">
        <v>2275</v>
      </c>
      <c r="D1486" s="943" t="s">
        <v>17</v>
      </c>
      <c r="E1486" s="945">
        <v>300</v>
      </c>
      <c r="F1486" s="945">
        <v>1</v>
      </c>
      <c r="G1486" s="946">
        <v>253.5</v>
      </c>
      <c r="H1486" s="946">
        <v>235.67</v>
      </c>
    </row>
    <row r="1487" spans="1:9" s="26" customFormat="1">
      <c r="A1487" s="947" t="s">
        <v>81</v>
      </c>
      <c r="B1487" s="948">
        <v>336.1</v>
      </c>
      <c r="C1487" s="948" t="s">
        <v>258</v>
      </c>
      <c r="D1487" s="947" t="s">
        <v>17</v>
      </c>
      <c r="E1487" s="949">
        <v>2730</v>
      </c>
      <c r="F1487" s="950">
        <v>4</v>
      </c>
      <c r="G1487" s="951">
        <v>130</v>
      </c>
      <c r="H1487" s="951">
        <v>144.5</v>
      </c>
      <c r="I1487" s="18"/>
    </row>
    <row r="1488" spans="1:9">
      <c r="A1488" s="943" t="s">
        <v>81</v>
      </c>
      <c r="B1488" s="944">
        <v>345.6</v>
      </c>
      <c r="C1488" s="944" t="s">
        <v>2284</v>
      </c>
      <c r="D1488" s="943" t="s">
        <v>17</v>
      </c>
      <c r="E1488" s="952">
        <v>1400</v>
      </c>
      <c r="F1488" s="945">
        <v>1</v>
      </c>
      <c r="G1488" s="946">
        <v>269.5</v>
      </c>
      <c r="H1488" s="946">
        <v>269.25</v>
      </c>
    </row>
    <row r="1489" spans="1:9" s="26" customFormat="1">
      <c r="A1489" s="947" t="s">
        <v>81</v>
      </c>
      <c r="B1489" s="948">
        <v>347.07499999999999</v>
      </c>
      <c r="C1489" s="948" t="s">
        <v>259</v>
      </c>
      <c r="D1489" s="947" t="s">
        <v>17</v>
      </c>
      <c r="E1489" s="950">
        <v>240</v>
      </c>
      <c r="F1489" s="950">
        <v>1</v>
      </c>
      <c r="G1489" s="951">
        <v>104</v>
      </c>
      <c r="H1489" s="951">
        <v>102.17</v>
      </c>
      <c r="I1489" s="18"/>
    </row>
    <row r="1490" spans="1:9">
      <c r="A1490" s="943" t="s">
        <v>81</v>
      </c>
      <c r="B1490" s="944">
        <v>347.1</v>
      </c>
      <c r="C1490" s="944" t="s">
        <v>260</v>
      </c>
      <c r="D1490" s="943" t="s">
        <v>17</v>
      </c>
      <c r="E1490" s="952">
        <v>18030</v>
      </c>
      <c r="F1490" s="945">
        <v>14</v>
      </c>
      <c r="G1490" s="946">
        <v>115</v>
      </c>
      <c r="H1490" s="946">
        <v>110.55</v>
      </c>
    </row>
    <row r="1491" spans="1:9" s="26" customFormat="1">
      <c r="A1491" s="947" t="s">
        <v>81</v>
      </c>
      <c r="B1491" s="948">
        <v>347.15</v>
      </c>
      <c r="C1491" s="948" t="s">
        <v>1329</v>
      </c>
      <c r="D1491" s="947" t="s">
        <v>17</v>
      </c>
      <c r="E1491" s="949">
        <v>1010</v>
      </c>
      <c r="F1491" s="950">
        <v>4</v>
      </c>
      <c r="G1491" s="951">
        <v>132</v>
      </c>
      <c r="H1491" s="951">
        <v>137.94</v>
      </c>
      <c r="I1491" s="18"/>
    </row>
    <row r="1492" spans="1:9">
      <c r="A1492" s="943" t="s">
        <v>81</v>
      </c>
      <c r="B1492" s="944">
        <v>347.2</v>
      </c>
      <c r="C1492" s="944" t="s">
        <v>261</v>
      </c>
      <c r="D1492" s="943" t="s">
        <v>17</v>
      </c>
      <c r="E1492" s="952">
        <v>3500</v>
      </c>
      <c r="F1492" s="945">
        <v>5</v>
      </c>
      <c r="G1492" s="946">
        <v>135</v>
      </c>
      <c r="H1492" s="946">
        <v>127.16</v>
      </c>
    </row>
    <row r="1493" spans="1:9" s="26" customFormat="1">
      <c r="A1493" s="947" t="s">
        <v>81</v>
      </c>
      <c r="B1493" s="948">
        <v>349.08</v>
      </c>
      <c r="C1493" s="948" t="s">
        <v>1331</v>
      </c>
      <c r="D1493" s="947" t="s">
        <v>2</v>
      </c>
      <c r="E1493" s="950">
        <v>7</v>
      </c>
      <c r="F1493" s="950">
        <v>1</v>
      </c>
      <c r="G1493" s="951">
        <v>3300</v>
      </c>
      <c r="H1493" s="951">
        <v>3042.86</v>
      </c>
      <c r="I1493" s="18"/>
    </row>
    <row r="1494" spans="1:9">
      <c r="A1494" s="943" t="s">
        <v>81</v>
      </c>
      <c r="B1494" s="944">
        <v>350.04</v>
      </c>
      <c r="C1494" s="944" t="s">
        <v>263</v>
      </c>
      <c r="D1494" s="943" t="s">
        <v>2</v>
      </c>
      <c r="E1494" s="945">
        <v>6</v>
      </c>
      <c r="F1494" s="945">
        <v>2</v>
      </c>
      <c r="G1494" s="946">
        <v>3000</v>
      </c>
      <c r="H1494" s="946">
        <v>2825</v>
      </c>
    </row>
    <row r="1495" spans="1:9" s="26" customFormat="1">
      <c r="A1495" s="947" t="s">
        <v>81</v>
      </c>
      <c r="B1495" s="948">
        <v>350.06</v>
      </c>
      <c r="C1495" s="948" t="s">
        <v>264</v>
      </c>
      <c r="D1495" s="947" t="s">
        <v>2</v>
      </c>
      <c r="E1495" s="950">
        <v>358</v>
      </c>
      <c r="F1495" s="950">
        <v>16</v>
      </c>
      <c r="G1495" s="951">
        <v>3250</v>
      </c>
      <c r="H1495" s="951">
        <v>3292.69</v>
      </c>
      <c r="I1495" s="18"/>
    </row>
    <row r="1496" spans="1:9">
      <c r="A1496" s="943" t="s">
        <v>81</v>
      </c>
      <c r="B1496" s="944">
        <v>350.08</v>
      </c>
      <c r="C1496" s="944" t="s">
        <v>265</v>
      </c>
      <c r="D1496" s="943" t="s">
        <v>2</v>
      </c>
      <c r="E1496" s="945">
        <v>354</v>
      </c>
      <c r="F1496" s="945">
        <v>5</v>
      </c>
      <c r="G1496" s="946">
        <v>4000</v>
      </c>
      <c r="H1496" s="946">
        <v>4094.12</v>
      </c>
    </row>
    <row r="1497" spans="1:9" s="26" customFormat="1">
      <c r="A1497" s="947" t="s">
        <v>81</v>
      </c>
      <c r="B1497" s="948">
        <v>350.1</v>
      </c>
      <c r="C1497" s="948" t="s">
        <v>266</v>
      </c>
      <c r="D1497" s="947" t="s">
        <v>2</v>
      </c>
      <c r="E1497" s="950">
        <v>48</v>
      </c>
      <c r="F1497" s="950">
        <v>4</v>
      </c>
      <c r="G1497" s="951">
        <v>6850</v>
      </c>
      <c r="H1497" s="951">
        <v>6895.44</v>
      </c>
      <c r="I1497" s="18"/>
    </row>
    <row r="1498" spans="1:9">
      <c r="A1498" s="943" t="s">
        <v>81</v>
      </c>
      <c r="B1498" s="944">
        <v>350.12</v>
      </c>
      <c r="C1498" s="944" t="s">
        <v>267</v>
      </c>
      <c r="D1498" s="943" t="s">
        <v>2</v>
      </c>
      <c r="E1498" s="945">
        <v>501</v>
      </c>
      <c r="F1498" s="945">
        <v>10</v>
      </c>
      <c r="G1498" s="946">
        <v>6500</v>
      </c>
      <c r="H1498" s="946">
        <v>6509.79</v>
      </c>
    </row>
    <row r="1499" spans="1:9" s="26" customFormat="1">
      <c r="A1499" s="947" t="s">
        <v>81</v>
      </c>
      <c r="B1499" s="948">
        <v>354.12</v>
      </c>
      <c r="C1499" s="948" t="s">
        <v>2303</v>
      </c>
      <c r="D1499" s="947" t="s">
        <v>2</v>
      </c>
      <c r="E1499" s="950">
        <v>4</v>
      </c>
      <c r="F1499" s="950">
        <v>1</v>
      </c>
      <c r="G1499" s="951">
        <v>715</v>
      </c>
      <c r="H1499" s="951">
        <v>657.5</v>
      </c>
      <c r="I1499" s="18"/>
    </row>
    <row r="1500" spans="1:9">
      <c r="A1500" s="943" t="s">
        <v>81</v>
      </c>
      <c r="B1500" s="944">
        <v>355.06</v>
      </c>
      <c r="C1500" s="944" t="s">
        <v>1334</v>
      </c>
      <c r="D1500" s="943" t="s">
        <v>2</v>
      </c>
      <c r="E1500" s="945">
        <v>15</v>
      </c>
      <c r="F1500" s="945">
        <v>1</v>
      </c>
      <c r="G1500" s="946">
        <v>1000</v>
      </c>
      <c r="H1500" s="946">
        <v>1066.67</v>
      </c>
    </row>
    <row r="1501" spans="1:9" s="26" customFormat="1">
      <c r="A1501" s="947" t="s">
        <v>81</v>
      </c>
      <c r="B1501" s="948">
        <v>355.08</v>
      </c>
      <c r="C1501" s="948" t="s">
        <v>1335</v>
      </c>
      <c r="D1501" s="947" t="s">
        <v>2</v>
      </c>
      <c r="E1501" s="950">
        <v>4</v>
      </c>
      <c r="F1501" s="950">
        <v>2</v>
      </c>
      <c r="G1501" s="951">
        <v>1000</v>
      </c>
      <c r="H1501" s="951">
        <v>1215</v>
      </c>
      <c r="I1501" s="18"/>
    </row>
    <row r="1502" spans="1:9">
      <c r="A1502" s="943" t="s">
        <v>81</v>
      </c>
      <c r="B1502" s="944">
        <v>355.1</v>
      </c>
      <c r="C1502" s="944" t="s">
        <v>2308</v>
      </c>
      <c r="D1502" s="943" t="s">
        <v>2</v>
      </c>
      <c r="E1502" s="945">
        <v>6</v>
      </c>
      <c r="F1502" s="945">
        <v>1</v>
      </c>
      <c r="G1502" s="946">
        <v>1200</v>
      </c>
      <c r="H1502" s="946">
        <v>1433.33</v>
      </c>
    </row>
    <row r="1503" spans="1:9" s="26" customFormat="1">
      <c r="A1503" s="947" t="s">
        <v>81</v>
      </c>
      <c r="B1503" s="948">
        <v>357.06</v>
      </c>
      <c r="C1503" s="948" t="s">
        <v>268</v>
      </c>
      <c r="D1503" s="947" t="s">
        <v>2</v>
      </c>
      <c r="E1503" s="950">
        <v>132</v>
      </c>
      <c r="F1503" s="950">
        <v>11</v>
      </c>
      <c r="G1503" s="951">
        <v>650</v>
      </c>
      <c r="H1503" s="951">
        <v>646.83000000000004</v>
      </c>
      <c r="I1503" s="18"/>
    </row>
    <row r="1504" spans="1:9">
      <c r="A1504" s="943" t="s">
        <v>81</v>
      </c>
      <c r="B1504" s="944">
        <v>357.08</v>
      </c>
      <c r="C1504" s="944" t="s">
        <v>269</v>
      </c>
      <c r="D1504" s="943" t="s">
        <v>2</v>
      </c>
      <c r="E1504" s="945">
        <v>76</v>
      </c>
      <c r="F1504" s="945">
        <v>10</v>
      </c>
      <c r="G1504" s="946">
        <v>700</v>
      </c>
      <c r="H1504" s="946">
        <v>703.13</v>
      </c>
    </row>
    <row r="1505" spans="1:9" s="26" customFormat="1">
      <c r="A1505" s="947" t="s">
        <v>81</v>
      </c>
      <c r="B1505" s="948">
        <v>357.1</v>
      </c>
      <c r="C1505" s="948" t="s">
        <v>270</v>
      </c>
      <c r="D1505" s="947" t="s">
        <v>2</v>
      </c>
      <c r="E1505" s="950">
        <v>43</v>
      </c>
      <c r="F1505" s="950">
        <v>3</v>
      </c>
      <c r="G1505" s="951">
        <v>625</v>
      </c>
      <c r="H1505" s="951">
        <v>595.19000000000005</v>
      </c>
      <c r="I1505" s="18"/>
    </row>
    <row r="1506" spans="1:9">
      <c r="A1506" s="943" t="s">
        <v>81</v>
      </c>
      <c r="B1506" s="944">
        <v>357.12</v>
      </c>
      <c r="C1506" s="944" t="s">
        <v>271</v>
      </c>
      <c r="D1506" s="943" t="s">
        <v>2</v>
      </c>
      <c r="E1506" s="945">
        <v>350</v>
      </c>
      <c r="F1506" s="945">
        <v>12</v>
      </c>
      <c r="G1506" s="946">
        <v>700</v>
      </c>
      <c r="H1506" s="946">
        <v>661.06</v>
      </c>
    </row>
    <row r="1507" spans="1:9" s="26" customFormat="1">
      <c r="A1507" s="947" t="s">
        <v>81</v>
      </c>
      <c r="B1507" s="948">
        <v>357.16</v>
      </c>
      <c r="C1507" s="948" t="s">
        <v>272</v>
      </c>
      <c r="D1507" s="947" t="s">
        <v>2</v>
      </c>
      <c r="E1507" s="950">
        <v>6</v>
      </c>
      <c r="F1507" s="950">
        <v>2</v>
      </c>
      <c r="G1507" s="951">
        <v>775</v>
      </c>
      <c r="H1507" s="951">
        <v>556.5</v>
      </c>
      <c r="I1507" s="18"/>
    </row>
    <row r="1508" spans="1:9">
      <c r="A1508" s="943" t="s">
        <v>81</v>
      </c>
      <c r="B1508" s="944">
        <v>357.2</v>
      </c>
      <c r="C1508" s="944" t="s">
        <v>2314</v>
      </c>
      <c r="D1508" s="943" t="s">
        <v>2</v>
      </c>
      <c r="E1508" s="945">
        <v>22</v>
      </c>
      <c r="F1508" s="945">
        <v>2</v>
      </c>
      <c r="G1508" s="946">
        <v>625</v>
      </c>
      <c r="H1508" s="946">
        <v>676.67</v>
      </c>
    </row>
    <row r="1509" spans="1:9" s="26" customFormat="1">
      <c r="A1509" s="947" t="s">
        <v>81</v>
      </c>
      <c r="B1509" s="948">
        <v>358</v>
      </c>
      <c r="C1509" s="948" t="s">
        <v>274</v>
      </c>
      <c r="D1509" s="947" t="s">
        <v>2</v>
      </c>
      <c r="E1509" s="949">
        <v>8759</v>
      </c>
      <c r="F1509" s="950">
        <v>55</v>
      </c>
      <c r="G1509" s="951">
        <v>325</v>
      </c>
      <c r="H1509" s="951">
        <v>320.01</v>
      </c>
      <c r="I1509" s="18"/>
    </row>
    <row r="1510" spans="1:9">
      <c r="A1510" s="943" t="s">
        <v>81</v>
      </c>
      <c r="B1510" s="944">
        <v>358.1</v>
      </c>
      <c r="C1510" s="944" t="s">
        <v>275</v>
      </c>
      <c r="D1510" s="943" t="s">
        <v>2</v>
      </c>
      <c r="E1510" s="945">
        <v>222</v>
      </c>
      <c r="F1510" s="945">
        <v>11</v>
      </c>
      <c r="G1510" s="946">
        <v>180</v>
      </c>
      <c r="H1510" s="946">
        <v>180.55</v>
      </c>
    </row>
    <row r="1511" spans="1:9" s="26" customFormat="1">
      <c r="A1511" s="947" t="s">
        <v>81</v>
      </c>
      <c r="B1511" s="948">
        <v>363.07499999999999</v>
      </c>
      <c r="C1511" s="948" t="s">
        <v>1337</v>
      </c>
      <c r="D1511" s="947" t="s">
        <v>2</v>
      </c>
      <c r="E1511" s="950">
        <v>4</v>
      </c>
      <c r="F1511" s="950">
        <v>1</v>
      </c>
      <c r="G1511" s="951">
        <v>900</v>
      </c>
      <c r="H1511" s="951">
        <v>862.5</v>
      </c>
      <c r="I1511" s="18"/>
    </row>
    <row r="1512" spans="1:9">
      <c r="A1512" s="943" t="s">
        <v>81</v>
      </c>
      <c r="B1512" s="944">
        <v>363.1</v>
      </c>
      <c r="C1512" s="944" t="s">
        <v>276</v>
      </c>
      <c r="D1512" s="943" t="s">
        <v>2</v>
      </c>
      <c r="E1512" s="945">
        <v>542</v>
      </c>
      <c r="F1512" s="945">
        <v>13</v>
      </c>
      <c r="G1512" s="946">
        <v>975</v>
      </c>
      <c r="H1512" s="946">
        <v>890.34</v>
      </c>
    </row>
    <row r="1513" spans="1:9" s="26" customFormat="1">
      <c r="A1513" s="947" t="s">
        <v>81</v>
      </c>
      <c r="B1513" s="948">
        <v>363.15</v>
      </c>
      <c r="C1513" s="948" t="s">
        <v>1339</v>
      </c>
      <c r="D1513" s="947" t="s">
        <v>2</v>
      </c>
      <c r="E1513" s="950">
        <v>36</v>
      </c>
      <c r="F1513" s="950">
        <v>2</v>
      </c>
      <c r="G1513" s="951">
        <v>1450</v>
      </c>
      <c r="H1513" s="951">
        <v>1341</v>
      </c>
      <c r="I1513" s="18"/>
    </row>
    <row r="1514" spans="1:9">
      <c r="A1514" s="943" t="s">
        <v>81</v>
      </c>
      <c r="B1514" s="944">
        <v>363.2</v>
      </c>
      <c r="C1514" s="944" t="s">
        <v>277</v>
      </c>
      <c r="D1514" s="943" t="s">
        <v>2</v>
      </c>
      <c r="E1514" s="945">
        <v>111</v>
      </c>
      <c r="F1514" s="945">
        <v>6</v>
      </c>
      <c r="G1514" s="946">
        <v>1790</v>
      </c>
      <c r="H1514" s="946">
        <v>1629.81</v>
      </c>
    </row>
    <row r="1515" spans="1:9" s="26" customFormat="1">
      <c r="A1515" s="947" t="s">
        <v>81</v>
      </c>
      <c r="B1515" s="948">
        <v>367.06</v>
      </c>
      <c r="C1515" s="948" t="s">
        <v>278</v>
      </c>
      <c r="D1515" s="947" t="s">
        <v>2</v>
      </c>
      <c r="E1515" s="950">
        <v>22</v>
      </c>
      <c r="F1515" s="950">
        <v>3</v>
      </c>
      <c r="G1515" s="951">
        <v>775</v>
      </c>
      <c r="H1515" s="951">
        <v>818.33</v>
      </c>
      <c r="I1515" s="18"/>
    </row>
    <row r="1516" spans="1:9">
      <c r="A1516" s="943" t="s">
        <v>81</v>
      </c>
      <c r="B1516" s="944">
        <v>369.06</v>
      </c>
      <c r="C1516" s="944" t="s">
        <v>2322</v>
      </c>
      <c r="D1516" s="943" t="s">
        <v>2</v>
      </c>
      <c r="E1516" s="945">
        <v>12</v>
      </c>
      <c r="F1516" s="945">
        <v>2</v>
      </c>
      <c r="G1516" s="946">
        <v>11000</v>
      </c>
      <c r="H1516" s="946">
        <v>12625</v>
      </c>
    </row>
    <row r="1517" spans="1:9" s="26" customFormat="1">
      <c r="A1517" s="947" t="s">
        <v>81</v>
      </c>
      <c r="B1517" s="948">
        <v>369.08</v>
      </c>
      <c r="C1517" s="948" t="s">
        <v>280</v>
      </c>
      <c r="D1517" s="947" t="s">
        <v>2</v>
      </c>
      <c r="E1517" s="950">
        <v>1</v>
      </c>
      <c r="F1517" s="950">
        <v>1</v>
      </c>
      <c r="G1517" s="951">
        <v>15000</v>
      </c>
      <c r="H1517" s="951">
        <v>15000</v>
      </c>
      <c r="I1517" s="18"/>
    </row>
    <row r="1518" spans="1:9">
      <c r="A1518" s="943" t="s">
        <v>81</v>
      </c>
      <c r="B1518" s="944">
        <v>369.1</v>
      </c>
      <c r="C1518" s="944" t="s">
        <v>2323</v>
      </c>
      <c r="D1518" s="943" t="s">
        <v>2</v>
      </c>
      <c r="E1518" s="945">
        <v>4</v>
      </c>
      <c r="F1518" s="945">
        <v>1</v>
      </c>
      <c r="G1518" s="946">
        <v>21000</v>
      </c>
      <c r="H1518" s="946">
        <v>21000</v>
      </c>
    </row>
    <row r="1519" spans="1:9" s="26" customFormat="1">
      <c r="A1519" s="947" t="s">
        <v>81</v>
      </c>
      <c r="B1519" s="948">
        <v>370.1</v>
      </c>
      <c r="C1519" s="948" t="s">
        <v>282</v>
      </c>
      <c r="D1519" s="947" t="s">
        <v>2</v>
      </c>
      <c r="E1519" s="950">
        <v>11</v>
      </c>
      <c r="F1519" s="950">
        <v>3</v>
      </c>
      <c r="G1519" s="951">
        <v>10100</v>
      </c>
      <c r="H1519" s="951">
        <v>9736.36</v>
      </c>
      <c r="I1519" s="18"/>
    </row>
    <row r="1520" spans="1:9">
      <c r="A1520" s="943" t="s">
        <v>81</v>
      </c>
      <c r="B1520" s="944">
        <v>370.2</v>
      </c>
      <c r="C1520" s="944" t="s">
        <v>1343</v>
      </c>
      <c r="D1520" s="943" t="s">
        <v>2</v>
      </c>
      <c r="E1520" s="945">
        <v>14</v>
      </c>
      <c r="F1520" s="945">
        <v>3</v>
      </c>
      <c r="G1520" s="946">
        <v>11850</v>
      </c>
      <c r="H1520" s="946">
        <v>12687.73</v>
      </c>
    </row>
    <row r="1521" spans="1:9" s="26" customFormat="1">
      <c r="A1521" s="947" t="s">
        <v>81</v>
      </c>
      <c r="B1521" s="948">
        <v>370.4</v>
      </c>
      <c r="C1521" s="948" t="s">
        <v>283</v>
      </c>
      <c r="D1521" s="947" t="s">
        <v>2</v>
      </c>
      <c r="E1521" s="950">
        <v>27</v>
      </c>
      <c r="F1521" s="950">
        <v>7</v>
      </c>
      <c r="G1521" s="951">
        <v>15000</v>
      </c>
      <c r="H1521" s="951">
        <v>15415.37</v>
      </c>
      <c r="I1521" s="18"/>
    </row>
    <row r="1522" spans="1:9">
      <c r="A1522" s="943" t="s">
        <v>81</v>
      </c>
      <c r="B1522" s="944">
        <v>371.04</v>
      </c>
      <c r="C1522" s="944" t="s">
        <v>284</v>
      </c>
      <c r="D1522" s="943" t="s">
        <v>2</v>
      </c>
      <c r="E1522" s="945">
        <v>4</v>
      </c>
      <c r="F1522" s="945">
        <v>1</v>
      </c>
      <c r="G1522" s="946">
        <v>467.5</v>
      </c>
      <c r="H1522" s="946">
        <v>467.5</v>
      </c>
    </row>
    <row r="1523" spans="1:9" s="26" customFormat="1">
      <c r="A1523" s="947" t="s">
        <v>81</v>
      </c>
      <c r="B1523" s="948">
        <v>371.06</v>
      </c>
      <c r="C1523" s="948" t="s">
        <v>285</v>
      </c>
      <c r="D1523" s="947" t="s">
        <v>2</v>
      </c>
      <c r="E1523" s="950">
        <v>105</v>
      </c>
      <c r="F1523" s="950">
        <v>8</v>
      </c>
      <c r="G1523" s="951">
        <v>850</v>
      </c>
      <c r="H1523" s="951">
        <v>852.11</v>
      </c>
      <c r="I1523" s="18"/>
    </row>
    <row r="1524" spans="1:9">
      <c r="A1524" s="943" t="s">
        <v>81</v>
      </c>
      <c r="B1524" s="944">
        <v>371.08</v>
      </c>
      <c r="C1524" s="944" t="s">
        <v>286</v>
      </c>
      <c r="D1524" s="943" t="s">
        <v>2</v>
      </c>
      <c r="E1524" s="945">
        <v>141</v>
      </c>
      <c r="F1524" s="945">
        <v>6</v>
      </c>
      <c r="G1524" s="946">
        <v>825</v>
      </c>
      <c r="H1524" s="946">
        <v>940</v>
      </c>
    </row>
    <row r="1525" spans="1:9" s="26" customFormat="1">
      <c r="A1525" s="947" t="s">
        <v>81</v>
      </c>
      <c r="B1525" s="948">
        <v>371.1</v>
      </c>
      <c r="C1525" s="948" t="s">
        <v>2335</v>
      </c>
      <c r="D1525" s="947" t="s">
        <v>2</v>
      </c>
      <c r="E1525" s="950">
        <v>35</v>
      </c>
      <c r="F1525" s="950">
        <v>5</v>
      </c>
      <c r="G1525" s="951">
        <v>1307.5</v>
      </c>
      <c r="H1525" s="951">
        <v>1430.77</v>
      </c>
      <c r="I1525" s="18"/>
    </row>
    <row r="1526" spans="1:9">
      <c r="A1526" s="943" t="s">
        <v>81</v>
      </c>
      <c r="B1526" s="944">
        <v>371.12</v>
      </c>
      <c r="C1526" s="944" t="s">
        <v>287</v>
      </c>
      <c r="D1526" s="943" t="s">
        <v>2</v>
      </c>
      <c r="E1526" s="945">
        <v>206</v>
      </c>
      <c r="F1526" s="945">
        <v>9</v>
      </c>
      <c r="G1526" s="946">
        <v>1655</v>
      </c>
      <c r="H1526" s="946">
        <v>1547</v>
      </c>
    </row>
    <row r="1527" spans="1:9" s="26" customFormat="1">
      <c r="A1527" s="947" t="s">
        <v>81</v>
      </c>
      <c r="B1527" s="948">
        <v>371.16</v>
      </c>
      <c r="C1527" s="948" t="s">
        <v>1345</v>
      </c>
      <c r="D1527" s="947" t="s">
        <v>2</v>
      </c>
      <c r="E1527" s="950">
        <v>4</v>
      </c>
      <c r="F1527" s="950">
        <v>1</v>
      </c>
      <c r="G1527" s="951">
        <v>1350</v>
      </c>
      <c r="H1527" s="951">
        <v>1650</v>
      </c>
      <c r="I1527" s="18"/>
    </row>
    <row r="1528" spans="1:9">
      <c r="A1528" s="943" t="s">
        <v>81</v>
      </c>
      <c r="B1528" s="944">
        <v>373.04</v>
      </c>
      <c r="C1528" s="944" t="s">
        <v>1348</v>
      </c>
      <c r="D1528" s="943" t="s">
        <v>17</v>
      </c>
      <c r="E1528" s="945">
        <v>40</v>
      </c>
      <c r="F1528" s="945">
        <v>1</v>
      </c>
      <c r="G1528" s="946">
        <v>100</v>
      </c>
      <c r="H1528" s="946">
        <v>100</v>
      </c>
    </row>
    <row r="1529" spans="1:9" s="26" customFormat="1">
      <c r="A1529" s="947" t="s">
        <v>81</v>
      </c>
      <c r="B1529" s="948">
        <v>373.06</v>
      </c>
      <c r="C1529" s="948" t="s">
        <v>1349</v>
      </c>
      <c r="D1529" s="947" t="s">
        <v>17</v>
      </c>
      <c r="E1529" s="949">
        <v>1480</v>
      </c>
      <c r="F1529" s="950">
        <v>3</v>
      </c>
      <c r="G1529" s="951">
        <v>120</v>
      </c>
      <c r="H1529" s="951">
        <v>126.25</v>
      </c>
      <c r="I1529" s="18"/>
    </row>
    <row r="1530" spans="1:9">
      <c r="A1530" s="943" t="s">
        <v>81</v>
      </c>
      <c r="B1530" s="944">
        <v>373.08</v>
      </c>
      <c r="C1530" s="944" t="s">
        <v>288</v>
      </c>
      <c r="D1530" s="943" t="s">
        <v>17</v>
      </c>
      <c r="E1530" s="945">
        <v>165</v>
      </c>
      <c r="F1530" s="945">
        <v>2</v>
      </c>
      <c r="G1530" s="946">
        <v>105</v>
      </c>
      <c r="H1530" s="946">
        <v>97.14</v>
      </c>
    </row>
    <row r="1531" spans="1:9" s="26" customFormat="1">
      <c r="A1531" s="947" t="s">
        <v>81</v>
      </c>
      <c r="B1531" s="948">
        <v>373.1</v>
      </c>
      <c r="C1531" s="948" t="s">
        <v>2337</v>
      </c>
      <c r="D1531" s="947" t="s">
        <v>17</v>
      </c>
      <c r="E1531" s="950">
        <v>24</v>
      </c>
      <c r="F1531" s="950">
        <v>1</v>
      </c>
      <c r="G1531" s="951">
        <v>137.5</v>
      </c>
      <c r="H1531" s="951">
        <v>137.5</v>
      </c>
      <c r="I1531" s="18"/>
    </row>
    <row r="1532" spans="1:9">
      <c r="A1532" s="943" t="s">
        <v>81</v>
      </c>
      <c r="B1532" s="944">
        <v>373.12</v>
      </c>
      <c r="C1532" s="944" t="s">
        <v>289</v>
      </c>
      <c r="D1532" s="943" t="s">
        <v>17</v>
      </c>
      <c r="E1532" s="952">
        <v>3840</v>
      </c>
      <c r="F1532" s="945">
        <v>4</v>
      </c>
      <c r="G1532" s="946">
        <v>135</v>
      </c>
      <c r="H1532" s="946">
        <v>131.31</v>
      </c>
    </row>
    <row r="1533" spans="1:9" s="26" customFormat="1">
      <c r="A1533" s="947" t="s">
        <v>81</v>
      </c>
      <c r="B1533" s="948">
        <v>375.1</v>
      </c>
      <c r="C1533" s="948" t="s">
        <v>2341</v>
      </c>
      <c r="D1533" s="947" t="s">
        <v>2</v>
      </c>
      <c r="E1533" s="950">
        <v>6</v>
      </c>
      <c r="F1533" s="950">
        <v>1</v>
      </c>
      <c r="G1533" s="951">
        <v>25000</v>
      </c>
      <c r="H1533" s="951">
        <v>27466.67</v>
      </c>
      <c r="I1533" s="18"/>
    </row>
    <row r="1534" spans="1:9">
      <c r="A1534" s="943" t="s">
        <v>81</v>
      </c>
      <c r="B1534" s="944">
        <v>375.12</v>
      </c>
      <c r="C1534" s="944" t="s">
        <v>1354</v>
      </c>
      <c r="D1534" s="943" t="s">
        <v>2</v>
      </c>
      <c r="E1534" s="945">
        <v>3</v>
      </c>
      <c r="F1534" s="945">
        <v>1</v>
      </c>
      <c r="G1534" s="946">
        <v>27750</v>
      </c>
      <c r="H1534" s="946">
        <v>26833.33</v>
      </c>
    </row>
    <row r="1535" spans="1:9" s="26" customFormat="1">
      <c r="A1535" s="947" t="s">
        <v>81</v>
      </c>
      <c r="B1535" s="948">
        <v>376</v>
      </c>
      <c r="C1535" s="948" t="s">
        <v>290</v>
      </c>
      <c r="D1535" s="947" t="s">
        <v>2</v>
      </c>
      <c r="E1535" s="950">
        <v>310</v>
      </c>
      <c r="F1535" s="950">
        <v>12</v>
      </c>
      <c r="G1535" s="951">
        <v>8500</v>
      </c>
      <c r="H1535" s="951">
        <v>8472.19</v>
      </c>
      <c r="I1535" s="18"/>
    </row>
    <row r="1536" spans="1:9">
      <c r="A1536" s="943" t="s">
        <v>81</v>
      </c>
      <c r="B1536" s="944">
        <v>376.1</v>
      </c>
      <c r="C1536" s="944" t="s">
        <v>291</v>
      </c>
      <c r="D1536" s="943" t="s">
        <v>2</v>
      </c>
      <c r="E1536" s="945">
        <v>45</v>
      </c>
      <c r="F1536" s="945">
        <v>5</v>
      </c>
      <c r="G1536" s="946">
        <v>4744</v>
      </c>
      <c r="H1536" s="946">
        <v>4554.3999999999996</v>
      </c>
    </row>
    <row r="1537" spans="1:9" s="26" customFormat="1">
      <c r="A1537" s="947" t="s">
        <v>81</v>
      </c>
      <c r="B1537" s="948">
        <v>376.2</v>
      </c>
      <c r="C1537" s="948" t="s">
        <v>292</v>
      </c>
      <c r="D1537" s="947" t="s">
        <v>2</v>
      </c>
      <c r="E1537" s="950">
        <v>314</v>
      </c>
      <c r="F1537" s="950">
        <v>21</v>
      </c>
      <c r="G1537" s="951">
        <v>4359</v>
      </c>
      <c r="H1537" s="951">
        <v>4340.95</v>
      </c>
      <c r="I1537" s="18"/>
    </row>
    <row r="1538" spans="1:9">
      <c r="A1538" s="943" t="s">
        <v>81</v>
      </c>
      <c r="B1538" s="944">
        <v>376.3</v>
      </c>
      <c r="C1538" s="944" t="s">
        <v>293</v>
      </c>
      <c r="D1538" s="943" t="s">
        <v>2</v>
      </c>
      <c r="E1538" s="945">
        <v>182</v>
      </c>
      <c r="F1538" s="945">
        <v>8</v>
      </c>
      <c r="G1538" s="946">
        <v>1410</v>
      </c>
      <c r="H1538" s="946">
        <v>1344.79</v>
      </c>
    </row>
    <row r="1539" spans="1:9" s="26" customFormat="1">
      <c r="A1539" s="947" t="s">
        <v>81</v>
      </c>
      <c r="B1539" s="948">
        <v>376.5</v>
      </c>
      <c r="C1539" s="948" t="s">
        <v>294</v>
      </c>
      <c r="D1539" s="947" t="s">
        <v>2</v>
      </c>
      <c r="E1539" s="950">
        <v>187</v>
      </c>
      <c r="F1539" s="950">
        <v>12</v>
      </c>
      <c r="G1539" s="951">
        <v>2500</v>
      </c>
      <c r="H1539" s="951">
        <v>2461.96</v>
      </c>
      <c r="I1539" s="18"/>
    </row>
    <row r="1540" spans="1:9">
      <c r="A1540" s="943" t="s">
        <v>81</v>
      </c>
      <c r="B1540" s="944">
        <v>379.1</v>
      </c>
      <c r="C1540" s="944" t="s">
        <v>1355</v>
      </c>
      <c r="D1540" s="943" t="s">
        <v>2</v>
      </c>
      <c r="E1540" s="945">
        <v>6</v>
      </c>
      <c r="F1540" s="945">
        <v>2</v>
      </c>
      <c r="G1540" s="946">
        <v>1750</v>
      </c>
      <c r="H1540" s="946">
        <v>1628.33</v>
      </c>
    </row>
    <row r="1541" spans="1:9" s="26" customFormat="1">
      <c r="A1541" s="947" t="s">
        <v>81</v>
      </c>
      <c r="B1541" s="948">
        <v>379.15</v>
      </c>
      <c r="C1541" s="948" t="s">
        <v>2342</v>
      </c>
      <c r="D1541" s="947" t="s">
        <v>2</v>
      </c>
      <c r="E1541" s="950">
        <v>3</v>
      </c>
      <c r="F1541" s="950">
        <v>1</v>
      </c>
      <c r="G1541" s="951">
        <v>1800</v>
      </c>
      <c r="H1541" s="951">
        <v>1733.33</v>
      </c>
      <c r="I1541" s="18"/>
    </row>
    <row r="1542" spans="1:9">
      <c r="A1542" s="943" t="s">
        <v>81</v>
      </c>
      <c r="B1542" s="944">
        <v>381</v>
      </c>
      <c r="C1542" s="944" t="s">
        <v>295</v>
      </c>
      <c r="D1542" s="943" t="s">
        <v>2</v>
      </c>
      <c r="E1542" s="952">
        <v>1314</v>
      </c>
      <c r="F1542" s="945">
        <v>25</v>
      </c>
      <c r="G1542" s="946">
        <v>500</v>
      </c>
      <c r="H1542" s="946">
        <v>495.71</v>
      </c>
    </row>
    <row r="1543" spans="1:9" s="26" customFormat="1">
      <c r="A1543" s="947" t="s">
        <v>81</v>
      </c>
      <c r="B1543" s="948">
        <v>381.01</v>
      </c>
      <c r="C1543" s="948" t="s">
        <v>296</v>
      </c>
      <c r="D1543" s="947" t="s">
        <v>2</v>
      </c>
      <c r="E1543" s="950">
        <v>390</v>
      </c>
      <c r="F1543" s="950">
        <v>4</v>
      </c>
      <c r="G1543" s="951">
        <v>460</v>
      </c>
      <c r="H1543" s="951">
        <v>449.94</v>
      </c>
      <c r="I1543" s="18"/>
    </row>
    <row r="1544" spans="1:9">
      <c r="A1544" s="943" t="s">
        <v>81</v>
      </c>
      <c r="B1544" s="944">
        <v>381.1</v>
      </c>
      <c r="C1544" s="944" t="s">
        <v>39</v>
      </c>
      <c r="D1544" s="943" t="s">
        <v>2</v>
      </c>
      <c r="E1544" s="945">
        <v>25</v>
      </c>
      <c r="F1544" s="945">
        <v>3</v>
      </c>
      <c r="G1544" s="946">
        <v>400</v>
      </c>
      <c r="H1544" s="946">
        <v>394.44</v>
      </c>
    </row>
    <row r="1545" spans="1:9" s="26" customFormat="1">
      <c r="A1545" s="947" t="s">
        <v>81</v>
      </c>
      <c r="B1545" s="948">
        <v>381.2</v>
      </c>
      <c r="C1545" s="948" t="s">
        <v>297</v>
      </c>
      <c r="D1545" s="947" t="s">
        <v>2</v>
      </c>
      <c r="E1545" s="950">
        <v>216</v>
      </c>
      <c r="F1545" s="950">
        <v>6</v>
      </c>
      <c r="G1545" s="951">
        <v>125</v>
      </c>
      <c r="H1545" s="951">
        <v>129.38</v>
      </c>
      <c r="I1545" s="18"/>
    </row>
    <row r="1546" spans="1:9">
      <c r="A1546" s="943" t="s">
        <v>81</v>
      </c>
      <c r="B1546" s="944">
        <v>381.3</v>
      </c>
      <c r="C1546" s="944" t="s">
        <v>298</v>
      </c>
      <c r="D1546" s="943" t="s">
        <v>2</v>
      </c>
      <c r="E1546" s="952">
        <v>3909</v>
      </c>
      <c r="F1546" s="945">
        <v>33</v>
      </c>
      <c r="G1546" s="946">
        <v>265</v>
      </c>
      <c r="H1546" s="946">
        <v>271.39</v>
      </c>
    </row>
    <row r="1547" spans="1:9" s="26" customFormat="1">
      <c r="A1547" s="947" t="s">
        <v>81</v>
      </c>
      <c r="B1547" s="948">
        <v>384</v>
      </c>
      <c r="C1547" s="948" t="s">
        <v>299</v>
      </c>
      <c r="D1547" s="947" t="s">
        <v>2</v>
      </c>
      <c r="E1547" s="950">
        <v>936</v>
      </c>
      <c r="F1547" s="950">
        <v>19</v>
      </c>
      <c r="G1547" s="951">
        <v>767.5</v>
      </c>
      <c r="H1547" s="951">
        <v>774.98</v>
      </c>
      <c r="I1547" s="18"/>
    </row>
    <row r="1548" spans="1:9">
      <c r="A1548" s="943" t="s">
        <v>81</v>
      </c>
      <c r="B1548" s="944">
        <v>384.1</v>
      </c>
      <c r="C1548" s="944" t="s">
        <v>1356</v>
      </c>
      <c r="D1548" s="943" t="s">
        <v>2</v>
      </c>
      <c r="E1548" s="945">
        <v>9</v>
      </c>
      <c r="F1548" s="945">
        <v>2</v>
      </c>
      <c r="G1548" s="946">
        <v>500</v>
      </c>
      <c r="H1548" s="946">
        <v>529.16999999999996</v>
      </c>
    </row>
    <row r="1549" spans="1:9" s="26" customFormat="1">
      <c r="A1549" s="947" t="s">
        <v>81</v>
      </c>
      <c r="B1549" s="948">
        <v>388</v>
      </c>
      <c r="C1549" s="948" t="s">
        <v>1358</v>
      </c>
      <c r="D1549" s="947" t="s">
        <v>2</v>
      </c>
      <c r="E1549" s="950">
        <v>3</v>
      </c>
      <c r="F1549" s="950">
        <v>1</v>
      </c>
      <c r="G1549" s="951">
        <v>11900</v>
      </c>
      <c r="H1549" s="951">
        <v>11046.67</v>
      </c>
      <c r="I1549" s="18"/>
    </row>
    <row r="1550" spans="1:9">
      <c r="A1550" s="943" t="s">
        <v>81</v>
      </c>
      <c r="B1550" s="944">
        <v>402</v>
      </c>
      <c r="C1550" s="944" t="s">
        <v>301</v>
      </c>
      <c r="D1550" s="943" t="s">
        <v>4</v>
      </c>
      <c r="E1550" s="952">
        <v>232664</v>
      </c>
      <c r="F1550" s="945">
        <v>51</v>
      </c>
      <c r="G1550" s="946">
        <v>95</v>
      </c>
      <c r="H1550" s="946">
        <v>95.69</v>
      </c>
    </row>
    <row r="1551" spans="1:9" s="26" customFormat="1">
      <c r="A1551" s="947" t="s">
        <v>81</v>
      </c>
      <c r="B1551" s="948">
        <v>402.1</v>
      </c>
      <c r="C1551" s="948" t="s">
        <v>301</v>
      </c>
      <c r="D1551" s="947" t="s">
        <v>7</v>
      </c>
      <c r="E1551" s="949">
        <v>2883</v>
      </c>
      <c r="F1551" s="950">
        <v>3</v>
      </c>
      <c r="G1551" s="951">
        <v>70</v>
      </c>
      <c r="H1551" s="951">
        <v>75</v>
      </c>
      <c r="I1551" s="18"/>
    </row>
    <row r="1552" spans="1:9">
      <c r="A1552" s="943" t="s">
        <v>81</v>
      </c>
      <c r="B1552" s="944">
        <v>402.11</v>
      </c>
      <c r="C1552" s="944" t="s">
        <v>302</v>
      </c>
      <c r="D1552" s="943" t="s">
        <v>7</v>
      </c>
      <c r="E1552" s="952">
        <v>3615</v>
      </c>
      <c r="F1552" s="945">
        <v>6</v>
      </c>
      <c r="G1552" s="946">
        <v>110</v>
      </c>
      <c r="H1552" s="946">
        <v>109.21</v>
      </c>
    </row>
    <row r="1553" spans="1:9" s="26" customFormat="1">
      <c r="A1553" s="947" t="s">
        <v>81</v>
      </c>
      <c r="B1553" s="948">
        <v>402.12</v>
      </c>
      <c r="C1553" s="948" t="s">
        <v>302</v>
      </c>
      <c r="D1553" s="947" t="s">
        <v>4</v>
      </c>
      <c r="E1553" s="950">
        <v>866</v>
      </c>
      <c r="F1553" s="950">
        <v>3</v>
      </c>
      <c r="G1553" s="951">
        <v>125</v>
      </c>
      <c r="H1553" s="951">
        <v>134.88</v>
      </c>
      <c r="I1553" s="18"/>
    </row>
    <row r="1554" spans="1:9">
      <c r="A1554" s="943" t="s">
        <v>81</v>
      </c>
      <c r="B1554" s="944">
        <v>402.13</v>
      </c>
      <c r="C1554" s="944" t="s">
        <v>1359</v>
      </c>
      <c r="D1554" s="943" t="s">
        <v>17</v>
      </c>
      <c r="E1554" s="952">
        <v>299588</v>
      </c>
      <c r="F1554" s="945">
        <v>12</v>
      </c>
      <c r="G1554" s="946">
        <v>10</v>
      </c>
      <c r="H1554" s="946">
        <v>8.9700000000000006</v>
      </c>
    </row>
    <row r="1555" spans="1:9" s="26" customFormat="1">
      <c r="A1555" s="947" t="s">
        <v>81</v>
      </c>
      <c r="B1555" s="948">
        <v>403</v>
      </c>
      <c r="C1555" s="948" t="s">
        <v>303</v>
      </c>
      <c r="D1555" s="947" t="s">
        <v>1</v>
      </c>
      <c r="E1555" s="949">
        <v>180670</v>
      </c>
      <c r="F1555" s="950">
        <v>2</v>
      </c>
      <c r="G1555" s="951">
        <v>5.5</v>
      </c>
      <c r="H1555" s="951">
        <v>5.08</v>
      </c>
      <c r="I1555" s="18"/>
    </row>
    <row r="1556" spans="1:9">
      <c r="A1556" s="943" t="s">
        <v>81</v>
      </c>
      <c r="B1556" s="944">
        <v>403.1</v>
      </c>
      <c r="C1556" s="944" t="s">
        <v>304</v>
      </c>
      <c r="D1556" s="943" t="s">
        <v>7</v>
      </c>
      <c r="E1556" s="952">
        <v>8980</v>
      </c>
      <c r="F1556" s="945">
        <v>4</v>
      </c>
      <c r="G1556" s="946">
        <v>40</v>
      </c>
      <c r="H1556" s="946">
        <v>39.76</v>
      </c>
    </row>
    <row r="1557" spans="1:9" s="26" customFormat="1">
      <c r="A1557" s="947" t="s">
        <v>81</v>
      </c>
      <c r="B1557" s="948">
        <v>415.1</v>
      </c>
      <c r="C1557" s="948" t="s">
        <v>1360</v>
      </c>
      <c r="D1557" s="947" t="s">
        <v>1</v>
      </c>
      <c r="E1557" s="949">
        <v>1660813</v>
      </c>
      <c r="F1557" s="950">
        <v>17</v>
      </c>
      <c r="G1557" s="951">
        <v>10</v>
      </c>
      <c r="H1557" s="951">
        <v>9.52</v>
      </c>
      <c r="I1557" s="18"/>
    </row>
    <row r="1558" spans="1:9">
      <c r="A1558" s="943" t="s">
        <v>81</v>
      </c>
      <c r="B1558" s="944">
        <v>415.2</v>
      </c>
      <c r="C1558" s="944" t="s">
        <v>1361</v>
      </c>
      <c r="D1558" s="943" t="s">
        <v>1</v>
      </c>
      <c r="E1558" s="952">
        <v>10903243</v>
      </c>
      <c r="F1558" s="945">
        <v>41</v>
      </c>
      <c r="G1558" s="946">
        <v>12.5</v>
      </c>
      <c r="H1558" s="946">
        <v>10.1</v>
      </c>
    </row>
    <row r="1559" spans="1:9" s="26" customFormat="1">
      <c r="A1559" s="947" t="s">
        <v>81</v>
      </c>
      <c r="B1559" s="948">
        <v>415.3</v>
      </c>
      <c r="C1559" s="948" t="s">
        <v>1230</v>
      </c>
      <c r="D1559" s="947" t="s">
        <v>1</v>
      </c>
      <c r="E1559" s="949">
        <v>238257</v>
      </c>
      <c r="F1559" s="950">
        <v>9</v>
      </c>
      <c r="G1559" s="951">
        <v>16.5</v>
      </c>
      <c r="H1559" s="951">
        <v>16.600000000000001</v>
      </c>
      <c r="I1559" s="18"/>
    </row>
    <row r="1560" spans="1:9">
      <c r="A1560" s="943" t="s">
        <v>81</v>
      </c>
      <c r="B1560" s="944">
        <v>415.4</v>
      </c>
      <c r="C1560" s="944" t="s">
        <v>1362</v>
      </c>
      <c r="D1560" s="943" t="s">
        <v>1</v>
      </c>
      <c r="E1560" s="952">
        <v>327002</v>
      </c>
      <c r="F1560" s="945">
        <v>13</v>
      </c>
      <c r="G1560" s="946">
        <v>24</v>
      </c>
      <c r="H1560" s="946">
        <v>23.24</v>
      </c>
    </row>
    <row r="1561" spans="1:9" s="26" customFormat="1">
      <c r="A1561" s="947" t="s">
        <v>81</v>
      </c>
      <c r="B1561" s="948">
        <v>430</v>
      </c>
      <c r="C1561" s="948" t="s">
        <v>1363</v>
      </c>
      <c r="D1561" s="947" t="s">
        <v>1</v>
      </c>
      <c r="E1561" s="949">
        <v>4600</v>
      </c>
      <c r="F1561" s="950">
        <v>3</v>
      </c>
      <c r="G1561" s="951">
        <v>78.5</v>
      </c>
      <c r="H1561" s="951">
        <v>80.2</v>
      </c>
      <c r="I1561" s="18"/>
    </row>
    <row r="1562" spans="1:9">
      <c r="A1562" s="943" t="s">
        <v>81</v>
      </c>
      <c r="B1562" s="944">
        <v>431</v>
      </c>
      <c r="C1562" s="944" t="s">
        <v>27</v>
      </c>
      <c r="D1562" s="943" t="s">
        <v>1</v>
      </c>
      <c r="E1562" s="952">
        <v>39641</v>
      </c>
      <c r="F1562" s="945">
        <v>31</v>
      </c>
      <c r="G1562" s="946">
        <v>90</v>
      </c>
      <c r="H1562" s="946">
        <v>90.57</v>
      </c>
    </row>
    <row r="1563" spans="1:9" s="26" customFormat="1">
      <c r="A1563" s="947" t="s">
        <v>81</v>
      </c>
      <c r="B1563" s="948">
        <v>431.1</v>
      </c>
      <c r="C1563" s="948" t="s">
        <v>27</v>
      </c>
      <c r="D1563" s="947" t="s">
        <v>4</v>
      </c>
      <c r="E1563" s="950">
        <v>50</v>
      </c>
      <c r="F1563" s="950">
        <v>2</v>
      </c>
      <c r="G1563" s="951">
        <v>242.5</v>
      </c>
      <c r="H1563" s="951">
        <v>217.5</v>
      </c>
      <c r="I1563" s="18"/>
    </row>
    <row r="1564" spans="1:9">
      <c r="A1564" s="943" t="s">
        <v>81</v>
      </c>
      <c r="B1564" s="944">
        <v>440</v>
      </c>
      <c r="C1564" s="944" t="s">
        <v>305</v>
      </c>
      <c r="D1564" s="943" t="s">
        <v>100</v>
      </c>
      <c r="E1564" s="952">
        <v>3406490</v>
      </c>
      <c r="F1564" s="945">
        <v>48</v>
      </c>
      <c r="G1564" s="946">
        <v>0.45</v>
      </c>
      <c r="H1564" s="946">
        <v>0.46</v>
      </c>
    </row>
    <row r="1565" spans="1:9" s="26" customFormat="1">
      <c r="A1565" s="947" t="s">
        <v>81</v>
      </c>
      <c r="B1565" s="948">
        <v>443</v>
      </c>
      <c r="C1565" s="948" t="s">
        <v>306</v>
      </c>
      <c r="D1565" s="947" t="s">
        <v>307</v>
      </c>
      <c r="E1565" s="954">
        <v>6435.4</v>
      </c>
      <c r="F1565" s="950">
        <v>50</v>
      </c>
      <c r="G1565" s="951">
        <v>82.5</v>
      </c>
      <c r="H1565" s="951">
        <v>82.84</v>
      </c>
      <c r="I1565" s="18"/>
    </row>
    <row r="1566" spans="1:9">
      <c r="A1566" s="943" t="s">
        <v>81</v>
      </c>
      <c r="B1566" s="944">
        <v>450.1</v>
      </c>
      <c r="C1566" s="944" t="s">
        <v>4069</v>
      </c>
      <c r="D1566" s="943" t="s">
        <v>7</v>
      </c>
      <c r="E1566" s="952">
        <v>1200</v>
      </c>
      <c r="F1566" s="945">
        <v>1</v>
      </c>
      <c r="G1566" s="946">
        <v>185</v>
      </c>
      <c r="H1566" s="946">
        <v>185</v>
      </c>
    </row>
    <row r="1567" spans="1:9" s="26" customFormat="1">
      <c r="A1567" s="947" t="s">
        <v>81</v>
      </c>
      <c r="B1567" s="948">
        <v>450.22</v>
      </c>
      <c r="C1567" s="948" t="s">
        <v>4033</v>
      </c>
      <c r="D1567" s="947" t="s">
        <v>7</v>
      </c>
      <c r="E1567" s="949">
        <v>28416</v>
      </c>
      <c r="F1567" s="950">
        <v>16</v>
      </c>
      <c r="G1567" s="951">
        <v>245</v>
      </c>
      <c r="H1567" s="951">
        <v>240.82</v>
      </c>
      <c r="I1567" s="18"/>
    </row>
    <row r="1568" spans="1:9">
      <c r="A1568" s="943" t="s">
        <v>81</v>
      </c>
      <c r="B1568" s="944">
        <v>450.221</v>
      </c>
      <c r="C1568" s="944" t="s">
        <v>4034</v>
      </c>
      <c r="D1568" s="943" t="s">
        <v>7</v>
      </c>
      <c r="E1568" s="952">
        <v>34135</v>
      </c>
      <c r="F1568" s="945">
        <v>8</v>
      </c>
      <c r="G1568" s="946">
        <v>200</v>
      </c>
      <c r="H1568" s="946">
        <v>201.39</v>
      </c>
    </row>
    <row r="1569" spans="1:9" s="26" customFormat="1">
      <c r="A1569" s="947" t="s">
        <v>81</v>
      </c>
      <c r="B1569" s="948">
        <v>450.23</v>
      </c>
      <c r="C1569" s="948" t="s">
        <v>308</v>
      </c>
      <c r="D1569" s="947" t="s">
        <v>7</v>
      </c>
      <c r="E1569" s="949">
        <v>195864</v>
      </c>
      <c r="F1569" s="950">
        <v>18</v>
      </c>
      <c r="G1569" s="951">
        <v>155</v>
      </c>
      <c r="H1569" s="951">
        <v>176.8</v>
      </c>
      <c r="I1569" s="18"/>
    </row>
    <row r="1570" spans="1:9">
      <c r="A1570" s="943" t="s">
        <v>81</v>
      </c>
      <c r="B1570" s="944">
        <v>450.23099999999999</v>
      </c>
      <c r="C1570" s="944" t="s">
        <v>1367</v>
      </c>
      <c r="D1570" s="943" t="s">
        <v>7</v>
      </c>
      <c r="E1570" s="952">
        <v>1038027</v>
      </c>
      <c r="F1570" s="945">
        <v>39</v>
      </c>
      <c r="G1570" s="946">
        <v>170</v>
      </c>
      <c r="H1570" s="946">
        <v>167.94</v>
      </c>
    </row>
    <row r="1571" spans="1:9" s="26" customFormat="1">
      <c r="A1571" s="947" t="s">
        <v>81</v>
      </c>
      <c r="B1571" s="948">
        <v>450.31</v>
      </c>
      <c r="C1571" s="948" t="s">
        <v>53</v>
      </c>
      <c r="D1571" s="947" t="s">
        <v>7</v>
      </c>
      <c r="E1571" s="949">
        <v>157572</v>
      </c>
      <c r="F1571" s="950">
        <v>20</v>
      </c>
      <c r="G1571" s="951">
        <v>161</v>
      </c>
      <c r="H1571" s="951">
        <v>161.88</v>
      </c>
      <c r="I1571" s="18"/>
    </row>
    <row r="1572" spans="1:9">
      <c r="A1572" s="943" t="s">
        <v>81</v>
      </c>
      <c r="B1572" s="944">
        <v>450.31099999999998</v>
      </c>
      <c r="C1572" s="944" t="s">
        <v>1369</v>
      </c>
      <c r="D1572" s="943" t="s">
        <v>7</v>
      </c>
      <c r="E1572" s="952">
        <v>5580</v>
      </c>
      <c r="F1572" s="945">
        <v>3</v>
      </c>
      <c r="G1572" s="946">
        <v>170</v>
      </c>
      <c r="H1572" s="946">
        <v>169.85</v>
      </c>
    </row>
    <row r="1573" spans="1:9" s="26" customFormat="1">
      <c r="A1573" s="947" t="s">
        <v>81</v>
      </c>
      <c r="B1573" s="948">
        <v>450.32</v>
      </c>
      <c r="C1573" s="948" t="s">
        <v>309</v>
      </c>
      <c r="D1573" s="947" t="s">
        <v>7</v>
      </c>
      <c r="E1573" s="949">
        <v>434376</v>
      </c>
      <c r="F1573" s="950">
        <v>41</v>
      </c>
      <c r="G1573" s="951">
        <v>155</v>
      </c>
      <c r="H1573" s="951">
        <v>155.11000000000001</v>
      </c>
      <c r="I1573" s="18"/>
    </row>
    <row r="1574" spans="1:9">
      <c r="A1574" s="943" t="s">
        <v>81</v>
      </c>
      <c r="B1574" s="944">
        <v>450.32100000000003</v>
      </c>
      <c r="C1574" s="944" t="s">
        <v>1370</v>
      </c>
      <c r="D1574" s="943" t="s">
        <v>7</v>
      </c>
      <c r="E1574" s="945">
        <v>30</v>
      </c>
      <c r="F1574" s="945">
        <v>1</v>
      </c>
      <c r="G1574" s="946">
        <v>794</v>
      </c>
      <c r="H1574" s="946">
        <v>749.33</v>
      </c>
    </row>
    <row r="1575" spans="1:9" s="26" customFormat="1">
      <c r="A1575" s="947" t="s">
        <v>81</v>
      </c>
      <c r="B1575" s="948">
        <v>450.41</v>
      </c>
      <c r="C1575" s="948" t="s">
        <v>1371</v>
      </c>
      <c r="D1575" s="947" t="s">
        <v>7</v>
      </c>
      <c r="E1575" s="949">
        <v>18580</v>
      </c>
      <c r="F1575" s="950">
        <v>2</v>
      </c>
      <c r="G1575" s="951">
        <v>130</v>
      </c>
      <c r="H1575" s="951">
        <v>135.72999999999999</v>
      </c>
      <c r="I1575" s="18"/>
    </row>
    <row r="1576" spans="1:9">
      <c r="A1576" s="943" t="s">
        <v>81</v>
      </c>
      <c r="B1576" s="944">
        <v>450.42</v>
      </c>
      <c r="C1576" s="944" t="s">
        <v>37</v>
      </c>
      <c r="D1576" s="943" t="s">
        <v>7</v>
      </c>
      <c r="E1576" s="952">
        <v>514560</v>
      </c>
      <c r="F1576" s="945">
        <v>41</v>
      </c>
      <c r="G1576" s="946">
        <v>150</v>
      </c>
      <c r="H1576" s="946">
        <v>153.38</v>
      </c>
    </row>
    <row r="1577" spans="1:9" s="26" customFormat="1">
      <c r="A1577" s="947" t="s">
        <v>81</v>
      </c>
      <c r="B1577" s="948">
        <v>450.52</v>
      </c>
      <c r="C1577" s="948" t="s">
        <v>310</v>
      </c>
      <c r="D1577" s="947" t="s">
        <v>7</v>
      </c>
      <c r="E1577" s="949">
        <v>20215</v>
      </c>
      <c r="F1577" s="950">
        <v>8</v>
      </c>
      <c r="G1577" s="951">
        <v>175</v>
      </c>
      <c r="H1577" s="951">
        <v>168.33</v>
      </c>
      <c r="I1577" s="18"/>
    </row>
    <row r="1578" spans="1:9">
      <c r="A1578" s="943" t="s">
        <v>81</v>
      </c>
      <c r="B1578" s="944">
        <v>450.53</v>
      </c>
      <c r="C1578" s="944" t="s">
        <v>1372</v>
      </c>
      <c r="D1578" s="943" t="s">
        <v>7</v>
      </c>
      <c r="E1578" s="945">
        <v>345</v>
      </c>
      <c r="F1578" s="945">
        <v>2</v>
      </c>
      <c r="G1578" s="946">
        <v>300</v>
      </c>
      <c r="H1578" s="946">
        <v>349.45</v>
      </c>
    </row>
    <row r="1579" spans="1:9" s="26" customFormat="1">
      <c r="A1579" s="947" t="s">
        <v>81</v>
      </c>
      <c r="B1579" s="948">
        <v>450.6</v>
      </c>
      <c r="C1579" s="948" t="s">
        <v>311</v>
      </c>
      <c r="D1579" s="947" t="s">
        <v>7</v>
      </c>
      <c r="E1579" s="949">
        <v>2876</v>
      </c>
      <c r="F1579" s="950">
        <v>8</v>
      </c>
      <c r="G1579" s="951">
        <v>345</v>
      </c>
      <c r="H1579" s="951">
        <v>325.64999999999998</v>
      </c>
      <c r="I1579" s="18"/>
    </row>
    <row r="1580" spans="1:9">
      <c r="A1580" s="943" t="s">
        <v>81</v>
      </c>
      <c r="B1580" s="944">
        <v>450.601</v>
      </c>
      <c r="C1580" s="944" t="s">
        <v>1373</v>
      </c>
      <c r="D1580" s="943" t="s">
        <v>7</v>
      </c>
      <c r="E1580" s="952">
        <v>27520</v>
      </c>
      <c r="F1580" s="945">
        <v>15</v>
      </c>
      <c r="G1580" s="946">
        <v>390</v>
      </c>
      <c r="H1580" s="946">
        <v>393.17</v>
      </c>
    </row>
    <row r="1581" spans="1:9" s="26" customFormat="1">
      <c r="A1581" s="947" t="s">
        <v>81</v>
      </c>
      <c r="B1581" s="948">
        <v>450.61099999999999</v>
      </c>
      <c r="C1581" s="948" t="s">
        <v>1374</v>
      </c>
      <c r="D1581" s="947" t="s">
        <v>7</v>
      </c>
      <c r="E1581" s="950">
        <v>618</v>
      </c>
      <c r="F1581" s="950">
        <v>2</v>
      </c>
      <c r="G1581" s="951">
        <v>340</v>
      </c>
      <c r="H1581" s="951">
        <v>318.33</v>
      </c>
      <c r="I1581" s="18"/>
    </row>
    <row r="1582" spans="1:9">
      <c r="A1582" s="943" t="s">
        <v>81</v>
      </c>
      <c r="B1582" s="944">
        <v>450.7</v>
      </c>
      <c r="C1582" s="944" t="s">
        <v>313</v>
      </c>
      <c r="D1582" s="943" t="s">
        <v>7</v>
      </c>
      <c r="E1582" s="952">
        <v>2608</v>
      </c>
      <c r="F1582" s="945">
        <v>9</v>
      </c>
      <c r="G1582" s="946">
        <v>301</v>
      </c>
      <c r="H1582" s="946">
        <v>302.24</v>
      </c>
    </row>
    <row r="1583" spans="1:9" s="26" customFormat="1">
      <c r="A1583" s="947" t="s">
        <v>81</v>
      </c>
      <c r="B1583" s="948">
        <v>450.70100000000002</v>
      </c>
      <c r="C1583" s="948" t="s">
        <v>1375</v>
      </c>
      <c r="D1583" s="947" t="s">
        <v>7</v>
      </c>
      <c r="E1583" s="949">
        <v>2763</v>
      </c>
      <c r="F1583" s="950">
        <v>5</v>
      </c>
      <c r="G1583" s="951">
        <v>300</v>
      </c>
      <c r="H1583" s="951">
        <v>308.88</v>
      </c>
      <c r="I1583" s="18"/>
    </row>
    <row r="1584" spans="1:9">
      <c r="A1584" s="943" t="s">
        <v>81</v>
      </c>
      <c r="B1584" s="944">
        <v>450.71</v>
      </c>
      <c r="C1584" s="944" t="s">
        <v>4035</v>
      </c>
      <c r="D1584" s="943" t="s">
        <v>7</v>
      </c>
      <c r="E1584" s="945">
        <v>670</v>
      </c>
      <c r="F1584" s="945">
        <v>3</v>
      </c>
      <c r="G1584" s="946">
        <v>325</v>
      </c>
      <c r="H1584" s="946">
        <v>371.73</v>
      </c>
    </row>
    <row r="1585" spans="1:9" s="26" customFormat="1">
      <c r="A1585" s="947" t="s">
        <v>81</v>
      </c>
      <c r="B1585" s="948">
        <v>450.71100000000001</v>
      </c>
      <c r="C1585" s="948" t="s">
        <v>4036</v>
      </c>
      <c r="D1585" s="947" t="s">
        <v>7</v>
      </c>
      <c r="E1585" s="949">
        <v>2080</v>
      </c>
      <c r="F1585" s="950">
        <v>4</v>
      </c>
      <c r="G1585" s="951">
        <v>367.5</v>
      </c>
      <c r="H1585" s="951">
        <v>431</v>
      </c>
      <c r="I1585" s="18"/>
    </row>
    <row r="1586" spans="1:9">
      <c r="A1586" s="943" t="s">
        <v>81</v>
      </c>
      <c r="B1586" s="944">
        <v>450.8</v>
      </c>
      <c r="C1586" s="944" t="s">
        <v>1377</v>
      </c>
      <c r="D1586" s="943" t="s">
        <v>7</v>
      </c>
      <c r="E1586" s="952">
        <v>168215</v>
      </c>
      <c r="F1586" s="945">
        <v>2</v>
      </c>
      <c r="G1586" s="946">
        <v>297</v>
      </c>
      <c r="H1586" s="946">
        <v>2115.14</v>
      </c>
    </row>
    <row r="1587" spans="1:9" s="26" customFormat="1">
      <c r="A1587" s="947" t="s">
        <v>81</v>
      </c>
      <c r="B1587" s="948">
        <v>451</v>
      </c>
      <c r="C1587" s="948" t="s">
        <v>36</v>
      </c>
      <c r="D1587" s="947" t="s">
        <v>7</v>
      </c>
      <c r="E1587" s="954">
        <v>91913.5</v>
      </c>
      <c r="F1587" s="950">
        <v>99</v>
      </c>
      <c r="G1587" s="951">
        <v>300</v>
      </c>
      <c r="H1587" s="951">
        <v>304.47000000000003</v>
      </c>
      <c r="I1587" s="18"/>
    </row>
    <row r="1588" spans="1:9">
      <c r="A1588" s="943" t="s">
        <v>81</v>
      </c>
      <c r="B1588" s="944">
        <v>452</v>
      </c>
      <c r="C1588" s="944" t="s">
        <v>31</v>
      </c>
      <c r="D1588" s="943" t="s">
        <v>20</v>
      </c>
      <c r="E1588" s="952">
        <v>964767</v>
      </c>
      <c r="F1588" s="945">
        <v>82</v>
      </c>
      <c r="G1588" s="946">
        <v>10</v>
      </c>
      <c r="H1588" s="946">
        <v>10.050000000000001</v>
      </c>
    </row>
    <row r="1589" spans="1:9" s="26" customFormat="1">
      <c r="A1589" s="947" t="s">
        <v>81</v>
      </c>
      <c r="B1589" s="948">
        <v>453</v>
      </c>
      <c r="C1589" s="948" t="s">
        <v>3962</v>
      </c>
      <c r="D1589" s="947" t="s">
        <v>17</v>
      </c>
      <c r="E1589" s="949">
        <v>4449807</v>
      </c>
      <c r="F1589" s="950">
        <v>72</v>
      </c>
      <c r="G1589" s="951">
        <v>1.53</v>
      </c>
      <c r="H1589" s="951">
        <v>1.49</v>
      </c>
      <c r="I1589" s="18"/>
    </row>
    <row r="1590" spans="1:9">
      <c r="A1590" s="943" t="s">
        <v>81</v>
      </c>
      <c r="B1590" s="944">
        <v>457.1</v>
      </c>
      <c r="C1590" s="944" t="s">
        <v>1378</v>
      </c>
      <c r="D1590" s="943" t="s">
        <v>7</v>
      </c>
      <c r="E1590" s="952">
        <v>15565</v>
      </c>
      <c r="F1590" s="945">
        <v>8</v>
      </c>
      <c r="G1590" s="946">
        <v>542.5</v>
      </c>
      <c r="H1590" s="946">
        <v>537.6</v>
      </c>
    </row>
    <row r="1591" spans="1:9" s="26" customFormat="1">
      <c r="A1591" s="947" t="s">
        <v>81</v>
      </c>
      <c r="B1591" s="948">
        <v>457.2</v>
      </c>
      <c r="C1591" s="948" t="s">
        <v>1379</v>
      </c>
      <c r="D1591" s="947" t="s">
        <v>7</v>
      </c>
      <c r="E1591" s="949">
        <v>39872</v>
      </c>
      <c r="F1591" s="950">
        <v>9</v>
      </c>
      <c r="G1591" s="951">
        <v>675</v>
      </c>
      <c r="H1591" s="951">
        <v>663.45</v>
      </c>
      <c r="I1591" s="18"/>
    </row>
    <row r="1592" spans="1:9">
      <c r="A1592" s="943" t="s">
        <v>81</v>
      </c>
      <c r="B1592" s="944">
        <v>458.2</v>
      </c>
      <c r="C1592" s="944" t="s">
        <v>4037</v>
      </c>
      <c r="D1592" s="943" t="s">
        <v>7</v>
      </c>
      <c r="E1592" s="952">
        <v>467448</v>
      </c>
      <c r="F1592" s="945">
        <v>2</v>
      </c>
      <c r="G1592" s="946">
        <v>163</v>
      </c>
      <c r="H1592" s="946">
        <v>181.33</v>
      </c>
    </row>
    <row r="1593" spans="1:9" s="26" customFormat="1">
      <c r="A1593" s="947" t="s">
        <v>81</v>
      </c>
      <c r="B1593" s="948">
        <v>470</v>
      </c>
      <c r="C1593" s="948" t="s">
        <v>1382</v>
      </c>
      <c r="D1593" s="947" t="s">
        <v>7</v>
      </c>
      <c r="E1593" s="954">
        <v>9315.2000000000007</v>
      </c>
      <c r="F1593" s="950">
        <v>33</v>
      </c>
      <c r="G1593" s="951">
        <v>367.5</v>
      </c>
      <c r="H1593" s="951">
        <v>340.17</v>
      </c>
      <c r="I1593" s="18"/>
    </row>
    <row r="1594" spans="1:9">
      <c r="A1594" s="943" t="s">
        <v>81</v>
      </c>
      <c r="B1594" s="944">
        <v>472</v>
      </c>
      <c r="C1594" s="944" t="s">
        <v>1383</v>
      </c>
      <c r="D1594" s="943" t="s">
        <v>7</v>
      </c>
      <c r="E1594" s="952">
        <v>104410</v>
      </c>
      <c r="F1594" s="945">
        <v>89</v>
      </c>
      <c r="G1594" s="946">
        <v>300</v>
      </c>
      <c r="H1594" s="946">
        <v>291.7</v>
      </c>
    </row>
    <row r="1595" spans="1:9" s="26" customFormat="1">
      <c r="A1595" s="947" t="s">
        <v>81</v>
      </c>
      <c r="B1595" s="948">
        <v>476</v>
      </c>
      <c r="C1595" s="948" t="s">
        <v>316</v>
      </c>
      <c r="D1595" s="947" t="s">
        <v>1</v>
      </c>
      <c r="E1595" s="949">
        <v>6300</v>
      </c>
      <c r="F1595" s="950">
        <v>3</v>
      </c>
      <c r="G1595" s="951">
        <v>200</v>
      </c>
      <c r="H1595" s="951">
        <v>205.78</v>
      </c>
      <c r="I1595" s="18"/>
    </row>
    <row r="1596" spans="1:9">
      <c r="A1596" s="943" t="s">
        <v>81</v>
      </c>
      <c r="B1596" s="944">
        <v>476.1</v>
      </c>
      <c r="C1596" s="944" t="s">
        <v>316</v>
      </c>
      <c r="D1596" s="943" t="s">
        <v>4</v>
      </c>
      <c r="E1596" s="952">
        <v>14300</v>
      </c>
      <c r="F1596" s="945">
        <v>1</v>
      </c>
      <c r="G1596" s="946">
        <v>1062.5</v>
      </c>
      <c r="H1596" s="946">
        <v>1062.5</v>
      </c>
    </row>
    <row r="1597" spans="1:9" s="26" customFormat="1">
      <c r="A1597" s="947" t="s">
        <v>81</v>
      </c>
      <c r="B1597" s="948">
        <v>477</v>
      </c>
      <c r="C1597" s="948" t="s">
        <v>1384</v>
      </c>
      <c r="D1597" s="947" t="s">
        <v>17</v>
      </c>
      <c r="E1597" s="949">
        <v>1848944</v>
      </c>
      <c r="F1597" s="950">
        <v>15</v>
      </c>
      <c r="G1597" s="951">
        <v>4.25</v>
      </c>
      <c r="H1597" s="951">
        <v>7.26</v>
      </c>
      <c r="I1597" s="18"/>
    </row>
    <row r="1598" spans="1:9">
      <c r="A1598" s="943" t="s">
        <v>81</v>
      </c>
      <c r="B1598" s="944">
        <v>477.1</v>
      </c>
      <c r="C1598" s="944" t="s">
        <v>1385</v>
      </c>
      <c r="D1598" s="943" t="s">
        <v>17</v>
      </c>
      <c r="E1598" s="952">
        <v>159300</v>
      </c>
      <c r="F1598" s="945">
        <v>6</v>
      </c>
      <c r="G1598" s="946">
        <v>3.5</v>
      </c>
      <c r="H1598" s="946">
        <v>3.13</v>
      </c>
    </row>
    <row r="1599" spans="1:9" s="26" customFormat="1">
      <c r="A1599" s="947" t="s">
        <v>81</v>
      </c>
      <c r="B1599" s="948">
        <v>477.2</v>
      </c>
      <c r="C1599" s="948" t="s">
        <v>1386</v>
      </c>
      <c r="D1599" s="947" t="s">
        <v>17</v>
      </c>
      <c r="E1599" s="949">
        <v>125875</v>
      </c>
      <c r="F1599" s="950">
        <v>8</v>
      </c>
      <c r="G1599" s="951">
        <v>3.9</v>
      </c>
      <c r="H1599" s="951">
        <v>5.07</v>
      </c>
      <c r="I1599" s="18"/>
    </row>
    <row r="1600" spans="1:9">
      <c r="A1600" s="943" t="s">
        <v>81</v>
      </c>
      <c r="B1600" s="944">
        <v>480.1</v>
      </c>
      <c r="C1600" s="944" t="s">
        <v>4001</v>
      </c>
      <c r="D1600" s="943" t="s">
        <v>20</v>
      </c>
      <c r="E1600" s="945">
        <v>50</v>
      </c>
      <c r="F1600" s="945">
        <v>1</v>
      </c>
      <c r="G1600" s="946">
        <v>43</v>
      </c>
      <c r="H1600" s="946">
        <v>43</v>
      </c>
    </row>
    <row r="1601" spans="1:9" s="26" customFormat="1">
      <c r="A1601" s="947" t="s">
        <v>81</v>
      </c>
      <c r="B1601" s="948">
        <v>480.2</v>
      </c>
      <c r="C1601" s="948" t="s">
        <v>4002</v>
      </c>
      <c r="D1601" s="947" t="s">
        <v>20</v>
      </c>
      <c r="E1601" s="949">
        <v>50712</v>
      </c>
      <c r="F1601" s="950">
        <v>8</v>
      </c>
      <c r="G1601" s="951">
        <v>45</v>
      </c>
      <c r="H1601" s="951">
        <v>51</v>
      </c>
      <c r="I1601" s="18"/>
    </row>
    <row r="1602" spans="1:9">
      <c r="A1602" s="943" t="s">
        <v>81</v>
      </c>
      <c r="B1602" s="944">
        <v>482.3</v>
      </c>
      <c r="C1602" s="944" t="s">
        <v>319</v>
      </c>
      <c r="D1602" s="943" t="s">
        <v>17</v>
      </c>
      <c r="E1602" s="952">
        <v>22205</v>
      </c>
      <c r="F1602" s="945">
        <v>12</v>
      </c>
      <c r="G1602" s="946">
        <v>6.25</v>
      </c>
      <c r="H1602" s="946">
        <v>5.71</v>
      </c>
    </row>
    <row r="1603" spans="1:9" s="26" customFormat="1">
      <c r="A1603" s="947" t="s">
        <v>81</v>
      </c>
      <c r="B1603" s="948">
        <v>482.31</v>
      </c>
      <c r="C1603" s="948" t="s">
        <v>4038</v>
      </c>
      <c r="D1603" s="947" t="s">
        <v>17</v>
      </c>
      <c r="E1603" s="949">
        <v>42068</v>
      </c>
      <c r="F1603" s="950">
        <v>33</v>
      </c>
      <c r="G1603" s="951">
        <v>45</v>
      </c>
      <c r="H1603" s="951">
        <v>44.43</v>
      </c>
      <c r="I1603" s="18"/>
    </row>
    <row r="1604" spans="1:9">
      <c r="A1604" s="943" t="s">
        <v>81</v>
      </c>
      <c r="B1604" s="944">
        <v>482.32</v>
      </c>
      <c r="C1604" s="944" t="s">
        <v>2381</v>
      </c>
      <c r="D1604" s="943" t="s">
        <v>17</v>
      </c>
      <c r="E1604" s="952">
        <v>14000</v>
      </c>
      <c r="F1604" s="945">
        <v>2</v>
      </c>
      <c r="G1604" s="946">
        <v>19.62</v>
      </c>
      <c r="H1604" s="946">
        <v>18.46</v>
      </c>
    </row>
    <row r="1605" spans="1:9" s="26" customFormat="1">
      <c r="A1605" s="947" t="s">
        <v>81</v>
      </c>
      <c r="B1605" s="948">
        <v>482.4</v>
      </c>
      <c r="C1605" s="948" t="s">
        <v>321</v>
      </c>
      <c r="D1605" s="947" t="s">
        <v>17</v>
      </c>
      <c r="E1605" s="949">
        <v>50276</v>
      </c>
      <c r="F1605" s="950">
        <v>18</v>
      </c>
      <c r="G1605" s="951">
        <v>8.5</v>
      </c>
      <c r="H1605" s="951">
        <v>7.94</v>
      </c>
      <c r="I1605" s="18"/>
    </row>
    <row r="1606" spans="1:9">
      <c r="A1606" s="943" t="s">
        <v>81</v>
      </c>
      <c r="B1606" s="944">
        <v>482.5</v>
      </c>
      <c r="C1606" s="944" t="s">
        <v>43</v>
      </c>
      <c r="D1606" s="943" t="s">
        <v>17</v>
      </c>
      <c r="E1606" s="952">
        <v>225280</v>
      </c>
      <c r="F1606" s="945">
        <v>26</v>
      </c>
      <c r="G1606" s="946">
        <v>4.33</v>
      </c>
      <c r="H1606" s="946">
        <v>4.8</v>
      </c>
    </row>
    <row r="1607" spans="1:9" s="26" customFormat="1">
      <c r="A1607" s="947" t="s">
        <v>81</v>
      </c>
      <c r="B1607" s="948">
        <v>501</v>
      </c>
      <c r="C1607" s="948" t="s">
        <v>1391</v>
      </c>
      <c r="D1607" s="947" t="s">
        <v>17</v>
      </c>
      <c r="E1607" s="950">
        <v>100</v>
      </c>
      <c r="F1607" s="950">
        <v>1</v>
      </c>
      <c r="G1607" s="951">
        <v>190</v>
      </c>
      <c r="H1607" s="951">
        <v>190</v>
      </c>
      <c r="I1607" s="18"/>
    </row>
    <row r="1608" spans="1:9">
      <c r="A1608" s="943" t="s">
        <v>81</v>
      </c>
      <c r="B1608" s="944">
        <v>501.1</v>
      </c>
      <c r="C1608" s="944" t="s">
        <v>2387</v>
      </c>
      <c r="D1608" s="943" t="s">
        <v>17</v>
      </c>
      <c r="E1608" s="945">
        <v>50</v>
      </c>
      <c r="F1608" s="945">
        <v>1</v>
      </c>
      <c r="G1608" s="946">
        <v>210</v>
      </c>
      <c r="H1608" s="946">
        <v>210</v>
      </c>
    </row>
    <row r="1609" spans="1:9" s="26" customFormat="1">
      <c r="A1609" s="947" t="s">
        <v>81</v>
      </c>
      <c r="B1609" s="948">
        <v>503</v>
      </c>
      <c r="C1609" s="948" t="s">
        <v>323</v>
      </c>
      <c r="D1609" s="947" t="s">
        <v>17</v>
      </c>
      <c r="E1609" s="949">
        <v>21200</v>
      </c>
      <c r="F1609" s="950">
        <v>3</v>
      </c>
      <c r="G1609" s="951">
        <v>72.5</v>
      </c>
      <c r="H1609" s="951">
        <v>77.08</v>
      </c>
      <c r="I1609" s="18"/>
    </row>
    <row r="1610" spans="1:9">
      <c r="A1610" s="943" t="s">
        <v>81</v>
      </c>
      <c r="B1610" s="944">
        <v>503.1</v>
      </c>
      <c r="C1610" s="944" t="s">
        <v>324</v>
      </c>
      <c r="D1610" s="943" t="s">
        <v>17</v>
      </c>
      <c r="E1610" s="952">
        <v>1560</v>
      </c>
      <c r="F1610" s="945">
        <v>2</v>
      </c>
      <c r="G1610" s="946">
        <v>93</v>
      </c>
      <c r="H1610" s="946">
        <v>94.09</v>
      </c>
    </row>
    <row r="1611" spans="1:9" s="26" customFormat="1">
      <c r="A1611" s="947" t="s">
        <v>81</v>
      </c>
      <c r="B1611" s="948">
        <v>504</v>
      </c>
      <c r="C1611" s="948" t="s">
        <v>325</v>
      </c>
      <c r="D1611" s="947" t="s">
        <v>17</v>
      </c>
      <c r="E1611" s="949">
        <v>357180</v>
      </c>
      <c r="F1611" s="950">
        <v>38</v>
      </c>
      <c r="G1611" s="951">
        <v>75</v>
      </c>
      <c r="H1611" s="951">
        <v>77.33</v>
      </c>
      <c r="I1611" s="18"/>
    </row>
    <row r="1612" spans="1:9">
      <c r="A1612" s="943" t="s">
        <v>81</v>
      </c>
      <c r="B1612" s="944">
        <v>504.1</v>
      </c>
      <c r="C1612" s="944" t="s">
        <v>326</v>
      </c>
      <c r="D1612" s="943" t="s">
        <v>17</v>
      </c>
      <c r="E1612" s="952">
        <v>84110</v>
      </c>
      <c r="F1612" s="945">
        <v>34</v>
      </c>
      <c r="G1612" s="946">
        <v>95</v>
      </c>
      <c r="H1612" s="946">
        <v>96.47</v>
      </c>
    </row>
    <row r="1613" spans="1:9" s="26" customFormat="1">
      <c r="A1613" s="947" t="s">
        <v>81</v>
      </c>
      <c r="B1613" s="948">
        <v>504.2</v>
      </c>
      <c r="C1613" s="948" t="s">
        <v>327</v>
      </c>
      <c r="D1613" s="947" t="s">
        <v>2</v>
      </c>
      <c r="E1613" s="950">
        <v>241</v>
      </c>
      <c r="F1613" s="950">
        <v>14</v>
      </c>
      <c r="G1613" s="951">
        <v>744</v>
      </c>
      <c r="H1613" s="951">
        <v>717.87</v>
      </c>
      <c r="I1613" s="18"/>
    </row>
    <row r="1614" spans="1:9">
      <c r="A1614" s="943" t="s">
        <v>81</v>
      </c>
      <c r="B1614" s="944">
        <v>505</v>
      </c>
      <c r="C1614" s="944" t="s">
        <v>328</v>
      </c>
      <c r="D1614" s="943" t="s">
        <v>17</v>
      </c>
      <c r="E1614" s="952">
        <v>4080</v>
      </c>
      <c r="F1614" s="945">
        <v>5</v>
      </c>
      <c r="G1614" s="946">
        <v>82.5</v>
      </c>
      <c r="H1614" s="946">
        <v>83.96</v>
      </c>
    </row>
    <row r="1615" spans="1:9" s="26" customFormat="1">
      <c r="A1615" s="947" t="s">
        <v>81</v>
      </c>
      <c r="B1615" s="948">
        <v>505.1</v>
      </c>
      <c r="C1615" s="948" t="s">
        <v>329</v>
      </c>
      <c r="D1615" s="947" t="s">
        <v>17</v>
      </c>
      <c r="E1615" s="950">
        <v>200</v>
      </c>
      <c r="F1615" s="950">
        <v>1</v>
      </c>
      <c r="G1615" s="951">
        <v>85</v>
      </c>
      <c r="H1615" s="951">
        <v>88</v>
      </c>
      <c r="I1615" s="18"/>
    </row>
    <row r="1616" spans="1:9">
      <c r="A1616" s="943" t="s">
        <v>81</v>
      </c>
      <c r="B1616" s="944">
        <v>506</v>
      </c>
      <c r="C1616" s="944" t="s">
        <v>40</v>
      </c>
      <c r="D1616" s="943" t="s">
        <v>17</v>
      </c>
      <c r="E1616" s="952">
        <v>325797</v>
      </c>
      <c r="F1616" s="945">
        <v>30</v>
      </c>
      <c r="G1616" s="946">
        <v>68</v>
      </c>
      <c r="H1616" s="946">
        <v>71.040000000000006</v>
      </c>
    </row>
    <row r="1617" spans="1:9" s="26" customFormat="1">
      <c r="A1617" s="947" t="s">
        <v>81</v>
      </c>
      <c r="B1617" s="948">
        <v>506.1</v>
      </c>
      <c r="C1617" s="948" t="s">
        <v>41</v>
      </c>
      <c r="D1617" s="947" t="s">
        <v>17</v>
      </c>
      <c r="E1617" s="949">
        <v>79283</v>
      </c>
      <c r="F1617" s="950">
        <v>25</v>
      </c>
      <c r="G1617" s="951">
        <v>82</v>
      </c>
      <c r="H1617" s="951">
        <v>83.99</v>
      </c>
      <c r="I1617" s="18"/>
    </row>
    <row r="1618" spans="1:9">
      <c r="A1618" s="943" t="s">
        <v>81</v>
      </c>
      <c r="B1618" s="944">
        <v>509</v>
      </c>
      <c r="C1618" s="944" t="s">
        <v>1394</v>
      </c>
      <c r="D1618" s="943" t="s">
        <v>17</v>
      </c>
      <c r="E1618" s="952">
        <v>111367</v>
      </c>
      <c r="F1618" s="945">
        <v>58</v>
      </c>
      <c r="G1618" s="946">
        <v>85</v>
      </c>
      <c r="H1618" s="946">
        <v>82.42</v>
      </c>
    </row>
    <row r="1619" spans="1:9" s="26" customFormat="1">
      <c r="A1619" s="947" t="s">
        <v>81</v>
      </c>
      <c r="B1619" s="948">
        <v>509.1</v>
      </c>
      <c r="C1619" s="948" t="s">
        <v>1395</v>
      </c>
      <c r="D1619" s="947" t="s">
        <v>17</v>
      </c>
      <c r="E1619" s="954">
        <v>79012.5</v>
      </c>
      <c r="F1619" s="950">
        <v>55</v>
      </c>
      <c r="G1619" s="951">
        <v>96</v>
      </c>
      <c r="H1619" s="951">
        <v>97.16</v>
      </c>
      <c r="I1619" s="18"/>
    </row>
    <row r="1620" spans="1:9">
      <c r="A1620" s="943" t="s">
        <v>81</v>
      </c>
      <c r="B1620" s="944">
        <v>510</v>
      </c>
      <c r="C1620" s="944" t="s">
        <v>330</v>
      </c>
      <c r="D1620" s="943" t="s">
        <v>17</v>
      </c>
      <c r="E1620" s="952">
        <v>9940</v>
      </c>
      <c r="F1620" s="945">
        <v>12</v>
      </c>
      <c r="G1620" s="946">
        <v>62</v>
      </c>
      <c r="H1620" s="946">
        <v>65.83</v>
      </c>
    </row>
    <row r="1621" spans="1:9" s="26" customFormat="1">
      <c r="A1621" s="947" t="s">
        <v>81</v>
      </c>
      <c r="B1621" s="948">
        <v>510.1</v>
      </c>
      <c r="C1621" s="948" t="s">
        <v>331</v>
      </c>
      <c r="D1621" s="947" t="s">
        <v>17</v>
      </c>
      <c r="E1621" s="949">
        <v>1328</v>
      </c>
      <c r="F1621" s="950">
        <v>10</v>
      </c>
      <c r="G1621" s="951">
        <v>83</v>
      </c>
      <c r="H1621" s="951">
        <v>84.51</v>
      </c>
      <c r="I1621" s="18"/>
    </row>
    <row r="1622" spans="1:9">
      <c r="A1622" s="943" t="s">
        <v>81</v>
      </c>
      <c r="B1622" s="944">
        <v>511.1</v>
      </c>
      <c r="C1622" s="944" t="s">
        <v>332</v>
      </c>
      <c r="D1622" s="943" t="s">
        <v>17</v>
      </c>
      <c r="E1622" s="952">
        <v>29766</v>
      </c>
      <c r="F1622" s="945">
        <v>14</v>
      </c>
      <c r="G1622" s="946">
        <v>55</v>
      </c>
      <c r="H1622" s="946">
        <v>56.22</v>
      </c>
    </row>
    <row r="1623" spans="1:9" s="26" customFormat="1">
      <c r="A1623" s="947" t="s">
        <v>81</v>
      </c>
      <c r="B1623" s="948">
        <v>512.1</v>
      </c>
      <c r="C1623" s="948" t="s">
        <v>333</v>
      </c>
      <c r="D1623" s="947" t="s">
        <v>17</v>
      </c>
      <c r="E1623" s="950">
        <v>465</v>
      </c>
      <c r="F1623" s="950">
        <v>6</v>
      </c>
      <c r="G1623" s="951">
        <v>68</v>
      </c>
      <c r="H1623" s="951">
        <v>67.7</v>
      </c>
      <c r="I1623" s="18"/>
    </row>
    <row r="1624" spans="1:9">
      <c r="A1624" s="943" t="s">
        <v>81</v>
      </c>
      <c r="B1624" s="944">
        <v>514</v>
      </c>
      <c r="C1624" s="944" t="s">
        <v>38</v>
      </c>
      <c r="D1624" s="943" t="s">
        <v>2</v>
      </c>
      <c r="E1624" s="952">
        <v>4284</v>
      </c>
      <c r="F1624" s="945">
        <v>53</v>
      </c>
      <c r="G1624" s="946">
        <v>700</v>
      </c>
      <c r="H1624" s="946">
        <v>716.88</v>
      </c>
    </row>
    <row r="1625" spans="1:9" s="26" customFormat="1">
      <c r="A1625" s="947" t="s">
        <v>81</v>
      </c>
      <c r="B1625" s="948">
        <v>515</v>
      </c>
      <c r="C1625" s="948" t="s">
        <v>45</v>
      </c>
      <c r="D1625" s="947" t="s">
        <v>2</v>
      </c>
      <c r="E1625" s="950">
        <v>532</v>
      </c>
      <c r="F1625" s="950">
        <v>22</v>
      </c>
      <c r="G1625" s="951">
        <v>850</v>
      </c>
      <c r="H1625" s="951">
        <v>840.65</v>
      </c>
      <c r="I1625" s="18"/>
    </row>
    <row r="1626" spans="1:9">
      <c r="A1626" s="943" t="s">
        <v>81</v>
      </c>
      <c r="B1626" s="944">
        <v>516</v>
      </c>
      <c r="C1626" s="944" t="s">
        <v>47</v>
      </c>
      <c r="D1626" s="943" t="s">
        <v>2</v>
      </c>
      <c r="E1626" s="952">
        <v>2635</v>
      </c>
      <c r="F1626" s="945">
        <v>23</v>
      </c>
      <c r="G1626" s="946">
        <v>525</v>
      </c>
      <c r="H1626" s="946">
        <v>532.65</v>
      </c>
    </row>
    <row r="1627" spans="1:9" s="26" customFormat="1">
      <c r="A1627" s="947" t="s">
        <v>81</v>
      </c>
      <c r="B1627" s="948">
        <v>517</v>
      </c>
      <c r="C1627" s="948" t="s">
        <v>334</v>
      </c>
      <c r="D1627" s="947" t="s">
        <v>2</v>
      </c>
      <c r="E1627" s="949">
        <v>1114</v>
      </c>
      <c r="F1627" s="950">
        <v>5</v>
      </c>
      <c r="G1627" s="951">
        <v>850</v>
      </c>
      <c r="H1627" s="951">
        <v>833.94</v>
      </c>
      <c r="I1627" s="18"/>
    </row>
    <row r="1628" spans="1:9">
      <c r="A1628" s="943" t="s">
        <v>81</v>
      </c>
      <c r="B1628" s="944">
        <v>517.01</v>
      </c>
      <c r="C1628" s="944" t="s">
        <v>335</v>
      </c>
      <c r="D1628" s="943" t="s">
        <v>2</v>
      </c>
      <c r="E1628" s="945">
        <v>220</v>
      </c>
      <c r="F1628" s="945">
        <v>2</v>
      </c>
      <c r="G1628" s="946">
        <v>737.5</v>
      </c>
      <c r="H1628" s="946">
        <v>878.56</v>
      </c>
    </row>
    <row r="1629" spans="1:9" s="26" customFormat="1">
      <c r="A1629" s="947" t="s">
        <v>81</v>
      </c>
      <c r="B1629" s="948">
        <v>518</v>
      </c>
      <c r="C1629" s="948" t="s">
        <v>2393</v>
      </c>
      <c r="D1629" s="947" t="s">
        <v>2</v>
      </c>
      <c r="E1629" s="950">
        <v>72</v>
      </c>
      <c r="F1629" s="950">
        <v>1</v>
      </c>
      <c r="G1629" s="951">
        <v>387.5</v>
      </c>
      <c r="H1629" s="951">
        <v>381.67</v>
      </c>
      <c r="I1629" s="18"/>
    </row>
    <row r="1630" spans="1:9">
      <c r="A1630" s="943" t="s">
        <v>81</v>
      </c>
      <c r="B1630" s="944">
        <v>520</v>
      </c>
      <c r="C1630" s="944" t="s">
        <v>336</v>
      </c>
      <c r="D1630" s="943" t="s">
        <v>17</v>
      </c>
      <c r="E1630" s="952">
        <v>18270</v>
      </c>
      <c r="F1630" s="945">
        <v>2</v>
      </c>
      <c r="G1630" s="946">
        <v>65</v>
      </c>
      <c r="H1630" s="946">
        <v>66.89</v>
      </c>
    </row>
    <row r="1631" spans="1:9" s="26" customFormat="1">
      <c r="A1631" s="947" t="s">
        <v>81</v>
      </c>
      <c r="B1631" s="948">
        <v>520.1</v>
      </c>
      <c r="C1631" s="948" t="s">
        <v>2395</v>
      </c>
      <c r="D1631" s="947" t="s">
        <v>17</v>
      </c>
      <c r="E1631" s="949">
        <v>44100</v>
      </c>
      <c r="F1631" s="950">
        <v>1</v>
      </c>
      <c r="G1631" s="951">
        <v>63</v>
      </c>
      <c r="H1631" s="951">
        <v>61.86</v>
      </c>
      <c r="I1631" s="18"/>
    </row>
    <row r="1632" spans="1:9">
      <c r="A1632" s="943" t="s">
        <v>81</v>
      </c>
      <c r="B1632" s="944">
        <v>520.11</v>
      </c>
      <c r="C1632" s="944" t="s">
        <v>2396</v>
      </c>
      <c r="D1632" s="943" t="s">
        <v>17</v>
      </c>
      <c r="E1632" s="945">
        <v>300</v>
      </c>
      <c r="F1632" s="945">
        <v>1</v>
      </c>
      <c r="G1632" s="946">
        <v>125</v>
      </c>
      <c r="H1632" s="946">
        <v>125</v>
      </c>
    </row>
    <row r="1633" spans="1:9" s="26" customFormat="1">
      <c r="A1633" s="947" t="s">
        <v>81</v>
      </c>
      <c r="B1633" s="948">
        <v>522</v>
      </c>
      <c r="C1633" s="948" t="s">
        <v>2401</v>
      </c>
      <c r="D1633" s="947" t="s">
        <v>17</v>
      </c>
      <c r="E1633" s="949">
        <v>32330</v>
      </c>
      <c r="F1633" s="950">
        <v>1</v>
      </c>
      <c r="G1633" s="951">
        <v>50</v>
      </c>
      <c r="H1633" s="951">
        <v>50</v>
      </c>
      <c r="I1633" s="18"/>
    </row>
    <row r="1634" spans="1:9">
      <c r="A1634" s="943" t="s">
        <v>81</v>
      </c>
      <c r="B1634" s="944">
        <v>570</v>
      </c>
      <c r="C1634" s="944" t="s">
        <v>337</v>
      </c>
      <c r="D1634" s="943" t="s">
        <v>17</v>
      </c>
      <c r="E1634" s="952">
        <v>10820</v>
      </c>
      <c r="F1634" s="945">
        <v>3</v>
      </c>
      <c r="G1634" s="946">
        <v>30</v>
      </c>
      <c r="H1634" s="946">
        <v>22.92</v>
      </c>
    </row>
    <row r="1635" spans="1:9" s="26" customFormat="1">
      <c r="A1635" s="947" t="s">
        <v>81</v>
      </c>
      <c r="B1635" s="948">
        <v>570.1</v>
      </c>
      <c r="C1635" s="948" t="s">
        <v>1396</v>
      </c>
      <c r="D1635" s="947" t="s">
        <v>17</v>
      </c>
      <c r="E1635" s="950">
        <v>270</v>
      </c>
      <c r="F1635" s="950">
        <v>1</v>
      </c>
      <c r="G1635" s="951">
        <v>45</v>
      </c>
      <c r="H1635" s="951">
        <v>47</v>
      </c>
      <c r="I1635" s="18"/>
    </row>
    <row r="1636" spans="1:9">
      <c r="A1636" s="943" t="s">
        <v>81</v>
      </c>
      <c r="B1636" s="944">
        <v>570.20000000000005</v>
      </c>
      <c r="C1636" s="944" t="s">
        <v>338</v>
      </c>
      <c r="D1636" s="943" t="s">
        <v>17</v>
      </c>
      <c r="E1636" s="952">
        <v>18388</v>
      </c>
      <c r="F1636" s="945">
        <v>12</v>
      </c>
      <c r="G1636" s="946">
        <v>26.5</v>
      </c>
      <c r="H1636" s="946">
        <v>28.96</v>
      </c>
    </row>
    <row r="1637" spans="1:9" s="26" customFormat="1">
      <c r="A1637" s="947" t="s">
        <v>81</v>
      </c>
      <c r="B1637" s="948">
        <v>570.29999999999995</v>
      </c>
      <c r="C1637" s="948" t="s">
        <v>339</v>
      </c>
      <c r="D1637" s="947" t="s">
        <v>17</v>
      </c>
      <c r="E1637" s="949">
        <v>33765</v>
      </c>
      <c r="F1637" s="950">
        <v>10</v>
      </c>
      <c r="G1637" s="951">
        <v>21</v>
      </c>
      <c r="H1637" s="951">
        <v>22.32</v>
      </c>
      <c r="I1637" s="18"/>
    </row>
    <row r="1638" spans="1:9">
      <c r="A1638" s="943" t="s">
        <v>81</v>
      </c>
      <c r="B1638" s="944">
        <v>580</v>
      </c>
      <c r="C1638" s="944" t="s">
        <v>56</v>
      </c>
      <c r="D1638" s="943" t="s">
        <v>17</v>
      </c>
      <c r="E1638" s="952">
        <v>392636</v>
      </c>
      <c r="F1638" s="945">
        <v>58</v>
      </c>
      <c r="G1638" s="946">
        <v>46</v>
      </c>
      <c r="H1638" s="946">
        <v>44.99</v>
      </c>
    </row>
    <row r="1639" spans="1:9" s="26" customFormat="1">
      <c r="A1639" s="947" t="s">
        <v>81</v>
      </c>
      <c r="B1639" s="948">
        <v>580.1</v>
      </c>
      <c r="C1639" s="948" t="s">
        <v>1397</v>
      </c>
      <c r="D1639" s="947" t="s">
        <v>17</v>
      </c>
      <c r="E1639" s="949">
        <v>5760</v>
      </c>
      <c r="F1639" s="950">
        <v>1</v>
      </c>
      <c r="G1639" s="951">
        <v>34</v>
      </c>
      <c r="H1639" s="951">
        <v>32.630000000000003</v>
      </c>
      <c r="I1639" s="18"/>
    </row>
    <row r="1640" spans="1:9">
      <c r="A1640" s="943" t="s">
        <v>81</v>
      </c>
      <c r="B1640" s="944">
        <v>581</v>
      </c>
      <c r="C1640" s="944" t="s">
        <v>340</v>
      </c>
      <c r="D1640" s="943" t="s">
        <v>2</v>
      </c>
      <c r="E1640" s="945">
        <v>415</v>
      </c>
      <c r="F1640" s="945">
        <v>26</v>
      </c>
      <c r="G1640" s="946">
        <v>320.5</v>
      </c>
      <c r="H1640" s="946">
        <v>303.64</v>
      </c>
    </row>
    <row r="1641" spans="1:9" s="26" customFormat="1">
      <c r="A1641" s="947" t="s">
        <v>81</v>
      </c>
      <c r="B1641" s="948">
        <v>582</v>
      </c>
      <c r="C1641" s="948" t="s">
        <v>341</v>
      </c>
      <c r="D1641" s="947" t="s">
        <v>2</v>
      </c>
      <c r="E1641" s="950">
        <v>827</v>
      </c>
      <c r="F1641" s="950">
        <v>10</v>
      </c>
      <c r="G1641" s="951">
        <v>182</v>
      </c>
      <c r="H1641" s="951">
        <v>164.54</v>
      </c>
      <c r="I1641" s="18"/>
    </row>
    <row r="1642" spans="1:9">
      <c r="A1642" s="943" t="s">
        <v>81</v>
      </c>
      <c r="B1642" s="944">
        <v>583</v>
      </c>
      <c r="C1642" s="944" t="s">
        <v>342</v>
      </c>
      <c r="D1642" s="943" t="s">
        <v>17</v>
      </c>
      <c r="E1642" s="952">
        <v>125017</v>
      </c>
      <c r="F1642" s="945">
        <v>32</v>
      </c>
      <c r="G1642" s="946">
        <v>40</v>
      </c>
      <c r="H1642" s="946">
        <v>38.86</v>
      </c>
    </row>
    <row r="1643" spans="1:9" s="26" customFormat="1">
      <c r="A1643" s="947" t="s">
        <v>81</v>
      </c>
      <c r="B1643" s="948">
        <v>590</v>
      </c>
      <c r="C1643" s="948" t="s">
        <v>343</v>
      </c>
      <c r="D1643" s="947" t="s">
        <v>17</v>
      </c>
      <c r="E1643" s="949">
        <v>42175</v>
      </c>
      <c r="F1643" s="950">
        <v>7</v>
      </c>
      <c r="G1643" s="951">
        <v>12</v>
      </c>
      <c r="H1643" s="951">
        <v>12.43</v>
      </c>
      <c r="I1643" s="18"/>
    </row>
    <row r="1644" spans="1:9">
      <c r="A1644" s="943" t="s">
        <v>81</v>
      </c>
      <c r="B1644" s="944">
        <v>591</v>
      </c>
      <c r="C1644" s="944" t="s">
        <v>344</v>
      </c>
      <c r="D1644" s="943" t="s">
        <v>2</v>
      </c>
      <c r="E1644" s="945">
        <v>156</v>
      </c>
      <c r="F1644" s="945">
        <v>3</v>
      </c>
      <c r="G1644" s="946">
        <v>82.5</v>
      </c>
      <c r="H1644" s="946">
        <v>70.88</v>
      </c>
    </row>
    <row r="1645" spans="1:9" s="26" customFormat="1">
      <c r="A1645" s="947" t="s">
        <v>81</v>
      </c>
      <c r="B1645" s="948">
        <v>592</v>
      </c>
      <c r="C1645" s="948" t="s">
        <v>345</v>
      </c>
      <c r="D1645" s="947" t="s">
        <v>2</v>
      </c>
      <c r="E1645" s="950">
        <v>153</v>
      </c>
      <c r="F1645" s="950">
        <v>4</v>
      </c>
      <c r="G1645" s="951">
        <v>100</v>
      </c>
      <c r="H1645" s="951">
        <v>199.1</v>
      </c>
      <c r="I1645" s="18"/>
    </row>
    <row r="1646" spans="1:9">
      <c r="A1646" s="943" t="s">
        <v>81</v>
      </c>
      <c r="B1646" s="944">
        <v>593</v>
      </c>
      <c r="C1646" s="944" t="s">
        <v>2407</v>
      </c>
      <c r="D1646" s="943" t="s">
        <v>17</v>
      </c>
      <c r="E1646" s="952">
        <v>1317</v>
      </c>
      <c r="F1646" s="945">
        <v>3</v>
      </c>
      <c r="G1646" s="946">
        <v>11.3</v>
      </c>
      <c r="H1646" s="946">
        <v>10.99</v>
      </c>
    </row>
    <row r="1647" spans="1:9" s="26" customFormat="1">
      <c r="A1647" s="947" t="s">
        <v>81</v>
      </c>
      <c r="B1647" s="948">
        <v>594</v>
      </c>
      <c r="C1647" s="948" t="s">
        <v>346</v>
      </c>
      <c r="D1647" s="947" t="s">
        <v>17</v>
      </c>
      <c r="E1647" s="949">
        <v>199005</v>
      </c>
      <c r="F1647" s="950">
        <v>46</v>
      </c>
      <c r="G1647" s="951">
        <v>9.5</v>
      </c>
      <c r="H1647" s="951">
        <v>8.7799999999999994</v>
      </c>
      <c r="I1647" s="18"/>
    </row>
    <row r="1648" spans="1:9">
      <c r="A1648" s="943" t="s">
        <v>81</v>
      </c>
      <c r="B1648" s="944">
        <v>595</v>
      </c>
      <c r="C1648" s="944" t="s">
        <v>347</v>
      </c>
      <c r="D1648" s="943" t="s">
        <v>2</v>
      </c>
      <c r="E1648" s="945">
        <v>569</v>
      </c>
      <c r="F1648" s="945">
        <v>20</v>
      </c>
      <c r="G1648" s="946">
        <v>80</v>
      </c>
      <c r="H1648" s="946">
        <v>84.16</v>
      </c>
    </row>
    <row r="1649" spans="1:9" s="26" customFormat="1">
      <c r="A1649" s="947" t="s">
        <v>81</v>
      </c>
      <c r="B1649" s="948">
        <v>596</v>
      </c>
      <c r="C1649" s="948" t="s">
        <v>348</v>
      </c>
      <c r="D1649" s="947" t="s">
        <v>2</v>
      </c>
      <c r="E1649" s="950">
        <v>486</v>
      </c>
      <c r="F1649" s="950">
        <v>13</v>
      </c>
      <c r="G1649" s="951">
        <v>50</v>
      </c>
      <c r="H1649" s="951">
        <v>61.5</v>
      </c>
      <c r="I1649" s="18"/>
    </row>
    <row r="1650" spans="1:9">
      <c r="A1650" s="943" t="s">
        <v>81</v>
      </c>
      <c r="B1650" s="944">
        <v>597</v>
      </c>
      <c r="C1650" s="944" t="s">
        <v>349</v>
      </c>
      <c r="D1650" s="943" t="s">
        <v>17</v>
      </c>
      <c r="E1650" s="952">
        <v>91566</v>
      </c>
      <c r="F1650" s="945">
        <v>28</v>
      </c>
      <c r="G1650" s="946">
        <v>8</v>
      </c>
      <c r="H1650" s="946">
        <v>7.52</v>
      </c>
    </row>
    <row r="1651" spans="1:9" s="26" customFormat="1">
      <c r="A1651" s="947" t="s">
        <v>81</v>
      </c>
      <c r="B1651" s="948">
        <v>620.12</v>
      </c>
      <c r="C1651" s="948" t="s">
        <v>1252</v>
      </c>
      <c r="D1651" s="947" t="s">
        <v>17</v>
      </c>
      <c r="E1651" s="949">
        <v>51731</v>
      </c>
      <c r="F1651" s="950">
        <v>24</v>
      </c>
      <c r="G1651" s="951">
        <v>36</v>
      </c>
      <c r="H1651" s="951">
        <v>37.72</v>
      </c>
      <c r="I1651" s="18"/>
    </row>
    <row r="1652" spans="1:9">
      <c r="A1652" s="943" t="s">
        <v>81</v>
      </c>
      <c r="B1652" s="944">
        <v>620.13</v>
      </c>
      <c r="C1652" s="944" t="s">
        <v>1398</v>
      </c>
      <c r="D1652" s="943" t="s">
        <v>17</v>
      </c>
      <c r="E1652" s="952">
        <v>417745</v>
      </c>
      <c r="F1652" s="945">
        <v>36</v>
      </c>
      <c r="G1652" s="946">
        <v>42.9</v>
      </c>
      <c r="H1652" s="946">
        <v>42.01</v>
      </c>
    </row>
    <row r="1653" spans="1:9" s="26" customFormat="1">
      <c r="A1653" s="947" t="s">
        <v>81</v>
      </c>
      <c r="B1653" s="948">
        <v>620.13099999999997</v>
      </c>
      <c r="C1653" s="948" t="s">
        <v>1399</v>
      </c>
      <c r="D1653" s="947" t="s">
        <v>17</v>
      </c>
      <c r="E1653" s="949">
        <v>40229</v>
      </c>
      <c r="F1653" s="950">
        <v>14</v>
      </c>
      <c r="G1653" s="951">
        <v>55</v>
      </c>
      <c r="H1653" s="951">
        <v>55.38</v>
      </c>
      <c r="I1653" s="18"/>
    </row>
    <row r="1654" spans="1:9">
      <c r="A1654" s="943" t="s">
        <v>81</v>
      </c>
      <c r="B1654" s="944">
        <v>620.32000000000005</v>
      </c>
      <c r="C1654" s="944" t="s">
        <v>1253</v>
      </c>
      <c r="D1654" s="943" t="s">
        <v>17</v>
      </c>
      <c r="E1654" s="952">
        <v>5806</v>
      </c>
      <c r="F1654" s="945">
        <v>12</v>
      </c>
      <c r="G1654" s="946">
        <v>48</v>
      </c>
      <c r="H1654" s="946">
        <v>45.04</v>
      </c>
    </row>
    <row r="1655" spans="1:9" s="26" customFormat="1">
      <c r="A1655" s="947" t="s">
        <v>81</v>
      </c>
      <c r="B1655" s="948">
        <v>620.33000000000004</v>
      </c>
      <c r="C1655" s="948" t="s">
        <v>1400</v>
      </c>
      <c r="D1655" s="947" t="s">
        <v>17</v>
      </c>
      <c r="E1655" s="954">
        <v>4875.5</v>
      </c>
      <c r="F1655" s="950">
        <v>12</v>
      </c>
      <c r="G1655" s="951">
        <v>48.5</v>
      </c>
      <c r="H1655" s="951">
        <v>48.57</v>
      </c>
      <c r="I1655" s="18"/>
    </row>
    <row r="1656" spans="1:9">
      <c r="A1656" s="943" t="s">
        <v>81</v>
      </c>
      <c r="B1656" s="944">
        <v>621.12</v>
      </c>
      <c r="C1656" s="944" t="s">
        <v>1401</v>
      </c>
      <c r="D1656" s="943" t="s">
        <v>17</v>
      </c>
      <c r="E1656" s="952">
        <v>14710</v>
      </c>
      <c r="F1656" s="945">
        <v>4</v>
      </c>
      <c r="G1656" s="946">
        <v>48</v>
      </c>
      <c r="H1656" s="946">
        <v>50.38</v>
      </c>
    </row>
    <row r="1657" spans="1:9" s="26" customFormat="1">
      <c r="A1657" s="947" t="s">
        <v>81</v>
      </c>
      <c r="B1657" s="948">
        <v>621.13</v>
      </c>
      <c r="C1657" s="948" t="s">
        <v>1402</v>
      </c>
      <c r="D1657" s="947" t="s">
        <v>17</v>
      </c>
      <c r="E1657" s="949">
        <v>66636</v>
      </c>
      <c r="F1657" s="950">
        <v>5</v>
      </c>
      <c r="G1657" s="951">
        <v>60</v>
      </c>
      <c r="H1657" s="951">
        <v>61.51</v>
      </c>
      <c r="I1657" s="18"/>
    </row>
    <row r="1658" spans="1:9">
      <c r="A1658" s="943" t="s">
        <v>81</v>
      </c>
      <c r="B1658" s="944">
        <v>627.1</v>
      </c>
      <c r="C1658" s="944" t="s">
        <v>1403</v>
      </c>
      <c r="D1658" s="943" t="s">
        <v>2</v>
      </c>
      <c r="E1658" s="945">
        <v>972</v>
      </c>
      <c r="F1658" s="945">
        <v>38</v>
      </c>
      <c r="G1658" s="946">
        <v>2550</v>
      </c>
      <c r="H1658" s="946">
        <v>2623.5</v>
      </c>
    </row>
    <row r="1659" spans="1:9" s="26" customFormat="1">
      <c r="A1659" s="947" t="s">
        <v>81</v>
      </c>
      <c r="B1659" s="948">
        <v>627.72</v>
      </c>
      <c r="C1659" s="948" t="s">
        <v>1404</v>
      </c>
      <c r="D1659" s="947" t="s">
        <v>2</v>
      </c>
      <c r="E1659" s="950">
        <v>33</v>
      </c>
      <c r="F1659" s="950">
        <v>2</v>
      </c>
      <c r="G1659" s="951">
        <v>37000</v>
      </c>
      <c r="H1659" s="951">
        <v>31753.33</v>
      </c>
      <c r="I1659" s="18"/>
    </row>
    <row r="1660" spans="1:9">
      <c r="A1660" s="943" t="s">
        <v>81</v>
      </c>
      <c r="B1660" s="944">
        <v>627.73</v>
      </c>
      <c r="C1660" s="944" t="s">
        <v>1405</v>
      </c>
      <c r="D1660" s="943" t="s">
        <v>2</v>
      </c>
      <c r="E1660" s="945">
        <v>45</v>
      </c>
      <c r="F1660" s="945">
        <v>6</v>
      </c>
      <c r="G1660" s="946">
        <v>15000</v>
      </c>
      <c r="H1660" s="946">
        <v>13423.19</v>
      </c>
    </row>
    <row r="1661" spans="1:9" s="26" customFormat="1">
      <c r="A1661" s="947" t="s">
        <v>81</v>
      </c>
      <c r="B1661" s="948">
        <v>627.82000000000005</v>
      </c>
      <c r="C1661" s="948" t="s">
        <v>1406</v>
      </c>
      <c r="D1661" s="947" t="s">
        <v>2</v>
      </c>
      <c r="E1661" s="950">
        <v>402</v>
      </c>
      <c r="F1661" s="950">
        <v>24</v>
      </c>
      <c r="G1661" s="951">
        <v>5730.72</v>
      </c>
      <c r="H1661" s="951">
        <v>5771.99</v>
      </c>
      <c r="I1661" s="18"/>
    </row>
    <row r="1662" spans="1:9">
      <c r="A1662" s="943" t="s">
        <v>81</v>
      </c>
      <c r="B1662" s="944">
        <v>627.83000000000004</v>
      </c>
      <c r="C1662" s="944" t="s">
        <v>1407</v>
      </c>
      <c r="D1662" s="943" t="s">
        <v>2</v>
      </c>
      <c r="E1662" s="952">
        <v>1509</v>
      </c>
      <c r="F1662" s="945">
        <v>31</v>
      </c>
      <c r="G1662" s="946">
        <v>5850</v>
      </c>
      <c r="H1662" s="946">
        <v>5976.61</v>
      </c>
    </row>
    <row r="1663" spans="1:9" s="26" customFormat="1">
      <c r="A1663" s="947" t="s">
        <v>81</v>
      </c>
      <c r="B1663" s="948">
        <v>627.91999999999996</v>
      </c>
      <c r="C1663" s="948" t="s">
        <v>1408</v>
      </c>
      <c r="D1663" s="947" t="s">
        <v>2</v>
      </c>
      <c r="E1663" s="950">
        <v>37</v>
      </c>
      <c r="F1663" s="950">
        <v>6</v>
      </c>
      <c r="G1663" s="951">
        <v>6000</v>
      </c>
      <c r="H1663" s="951">
        <v>6153.57</v>
      </c>
      <c r="I1663" s="18"/>
    </row>
    <row r="1664" spans="1:9">
      <c r="A1664" s="943" t="s">
        <v>81</v>
      </c>
      <c r="B1664" s="944">
        <v>627.92999999999995</v>
      </c>
      <c r="C1664" s="944" t="s">
        <v>1409</v>
      </c>
      <c r="D1664" s="943" t="s">
        <v>2</v>
      </c>
      <c r="E1664" s="945">
        <v>296</v>
      </c>
      <c r="F1664" s="945">
        <v>7</v>
      </c>
      <c r="G1664" s="946">
        <v>5800</v>
      </c>
      <c r="H1664" s="946">
        <v>5786.39</v>
      </c>
    </row>
    <row r="1665" spans="1:9" s="26" customFormat="1">
      <c r="A1665" s="947" t="s">
        <v>81</v>
      </c>
      <c r="B1665" s="948">
        <v>628.21</v>
      </c>
      <c r="C1665" s="948" t="s">
        <v>1410</v>
      </c>
      <c r="D1665" s="947" t="s">
        <v>2</v>
      </c>
      <c r="E1665" s="949">
        <v>1011</v>
      </c>
      <c r="F1665" s="950">
        <v>28</v>
      </c>
      <c r="G1665" s="951">
        <v>2075</v>
      </c>
      <c r="H1665" s="951">
        <v>2106.5500000000002</v>
      </c>
      <c r="I1665" s="18"/>
    </row>
    <row r="1666" spans="1:9">
      <c r="A1666" s="943" t="s">
        <v>81</v>
      </c>
      <c r="B1666" s="944">
        <v>628.22</v>
      </c>
      <c r="C1666" s="944" t="s">
        <v>1411</v>
      </c>
      <c r="D1666" s="943" t="s">
        <v>2</v>
      </c>
      <c r="E1666" s="945">
        <v>142</v>
      </c>
      <c r="F1666" s="945">
        <v>12</v>
      </c>
      <c r="G1666" s="946">
        <v>6850</v>
      </c>
      <c r="H1666" s="946">
        <v>7273.21</v>
      </c>
    </row>
    <row r="1667" spans="1:9" s="26" customFormat="1">
      <c r="A1667" s="947" t="s">
        <v>81</v>
      </c>
      <c r="B1667" s="948">
        <v>628.23</v>
      </c>
      <c r="C1667" s="948" t="s">
        <v>1412</v>
      </c>
      <c r="D1667" s="947" t="s">
        <v>2</v>
      </c>
      <c r="E1667" s="950">
        <v>9</v>
      </c>
      <c r="F1667" s="950">
        <v>4</v>
      </c>
      <c r="G1667" s="951">
        <v>9514.25</v>
      </c>
      <c r="H1667" s="951">
        <v>9624.27</v>
      </c>
      <c r="I1667" s="18"/>
    </row>
    <row r="1668" spans="1:9">
      <c r="A1668" s="943" t="s">
        <v>81</v>
      </c>
      <c r="B1668" s="944">
        <v>628.24</v>
      </c>
      <c r="C1668" s="944" t="s">
        <v>1413</v>
      </c>
      <c r="D1668" s="943" t="s">
        <v>2</v>
      </c>
      <c r="E1668" s="945">
        <v>569</v>
      </c>
      <c r="F1668" s="945">
        <v>20</v>
      </c>
      <c r="G1668" s="946">
        <v>6533.5</v>
      </c>
      <c r="H1668" s="946">
        <v>6578.62</v>
      </c>
    </row>
    <row r="1669" spans="1:9" s="26" customFormat="1">
      <c r="A1669" s="947" t="s">
        <v>81</v>
      </c>
      <c r="B1669" s="948">
        <v>628.25</v>
      </c>
      <c r="C1669" s="948" t="s">
        <v>1414</v>
      </c>
      <c r="D1669" s="947" t="s">
        <v>2</v>
      </c>
      <c r="E1669" s="950">
        <v>350</v>
      </c>
      <c r="F1669" s="950">
        <v>7</v>
      </c>
      <c r="G1669" s="951">
        <v>962.5</v>
      </c>
      <c r="H1669" s="951">
        <v>985.17</v>
      </c>
      <c r="I1669" s="18"/>
    </row>
    <row r="1670" spans="1:9">
      <c r="A1670" s="943" t="s">
        <v>81</v>
      </c>
      <c r="B1670" s="944">
        <v>628.30399999999997</v>
      </c>
      <c r="C1670" s="944" t="s">
        <v>2412</v>
      </c>
      <c r="D1670" s="943" t="s">
        <v>2</v>
      </c>
      <c r="E1670" s="945">
        <v>176</v>
      </c>
      <c r="F1670" s="945">
        <v>10</v>
      </c>
      <c r="G1670" s="946">
        <v>8000</v>
      </c>
      <c r="H1670" s="946">
        <v>8290.67</v>
      </c>
    </row>
    <row r="1671" spans="1:9" s="26" customFormat="1">
      <c r="A1671" s="947" t="s">
        <v>81</v>
      </c>
      <c r="B1671" s="948">
        <v>628.30499999999995</v>
      </c>
      <c r="C1671" s="948" t="s">
        <v>2413</v>
      </c>
      <c r="D1671" s="947" t="s">
        <v>2</v>
      </c>
      <c r="E1671" s="950">
        <v>204</v>
      </c>
      <c r="F1671" s="950">
        <v>18</v>
      </c>
      <c r="G1671" s="951">
        <v>8500</v>
      </c>
      <c r="H1671" s="951">
        <v>8539.25</v>
      </c>
      <c r="I1671" s="18"/>
    </row>
    <row r="1672" spans="1:9">
      <c r="A1672" s="943" t="s">
        <v>81</v>
      </c>
      <c r="B1672" s="944">
        <v>628.30999999999995</v>
      </c>
      <c r="C1672" s="944" t="s">
        <v>350</v>
      </c>
      <c r="D1672" s="943" t="s">
        <v>2</v>
      </c>
      <c r="E1672" s="945">
        <v>4</v>
      </c>
      <c r="F1672" s="945">
        <v>1</v>
      </c>
      <c r="G1672" s="946">
        <v>33500</v>
      </c>
      <c r="H1672" s="946">
        <v>36000</v>
      </c>
    </row>
    <row r="1673" spans="1:9" s="26" customFormat="1">
      <c r="A1673" s="947" t="s">
        <v>81</v>
      </c>
      <c r="B1673" s="948">
        <v>628.31200000000001</v>
      </c>
      <c r="C1673" s="948" t="s">
        <v>2414</v>
      </c>
      <c r="D1673" s="947" t="s">
        <v>2</v>
      </c>
      <c r="E1673" s="950">
        <v>7</v>
      </c>
      <c r="F1673" s="950">
        <v>2</v>
      </c>
      <c r="G1673" s="951">
        <v>34000</v>
      </c>
      <c r="H1673" s="951">
        <v>34357.14</v>
      </c>
      <c r="I1673" s="18"/>
    </row>
    <row r="1674" spans="1:9">
      <c r="A1674" s="943" t="s">
        <v>81</v>
      </c>
      <c r="B1674" s="944">
        <v>628.31299999999999</v>
      </c>
      <c r="C1674" s="944" t="s">
        <v>2415</v>
      </c>
      <c r="D1674" s="943" t="s">
        <v>2</v>
      </c>
      <c r="E1674" s="945">
        <v>3</v>
      </c>
      <c r="F1674" s="945">
        <v>2</v>
      </c>
      <c r="G1674" s="946">
        <v>48500</v>
      </c>
      <c r="H1674" s="946">
        <v>50666.67</v>
      </c>
    </row>
    <row r="1675" spans="1:9" s="26" customFormat="1">
      <c r="A1675" s="947" t="s">
        <v>81</v>
      </c>
      <c r="B1675" s="948">
        <v>628.31399999999996</v>
      </c>
      <c r="C1675" s="948" t="s">
        <v>2416</v>
      </c>
      <c r="D1675" s="947" t="s">
        <v>2</v>
      </c>
      <c r="E1675" s="950">
        <v>20</v>
      </c>
      <c r="F1675" s="950">
        <v>1</v>
      </c>
      <c r="G1675" s="951">
        <v>6000</v>
      </c>
      <c r="H1675" s="951">
        <v>6180</v>
      </c>
      <c r="I1675" s="18"/>
    </row>
    <row r="1676" spans="1:9">
      <c r="A1676" s="943" t="s">
        <v>81</v>
      </c>
      <c r="B1676" s="944">
        <v>628.31500000000005</v>
      </c>
      <c r="C1676" s="944" t="s">
        <v>2417</v>
      </c>
      <c r="D1676" s="943" t="s">
        <v>2</v>
      </c>
      <c r="E1676" s="945">
        <v>199</v>
      </c>
      <c r="F1676" s="945">
        <v>17</v>
      </c>
      <c r="G1676" s="946">
        <v>7725</v>
      </c>
      <c r="H1676" s="946">
        <v>7957.65</v>
      </c>
    </row>
    <row r="1677" spans="1:9" s="26" customFormat="1">
      <c r="A1677" s="947" t="s">
        <v>81</v>
      </c>
      <c r="B1677" s="948">
        <v>628.32000000000005</v>
      </c>
      <c r="C1677" s="948" t="s">
        <v>4003</v>
      </c>
      <c r="D1677" s="947" t="s">
        <v>2</v>
      </c>
      <c r="E1677" s="950">
        <v>41</v>
      </c>
      <c r="F1677" s="950">
        <v>3</v>
      </c>
      <c r="G1677" s="951">
        <v>27085</v>
      </c>
      <c r="H1677" s="951">
        <v>36192.81</v>
      </c>
      <c r="I1677" s="18"/>
    </row>
    <row r="1678" spans="1:9">
      <c r="A1678" s="943" t="s">
        <v>81</v>
      </c>
      <c r="B1678" s="944">
        <v>628.4</v>
      </c>
      <c r="C1678" s="944" t="s">
        <v>3901</v>
      </c>
      <c r="D1678" s="943" t="s">
        <v>2</v>
      </c>
      <c r="E1678" s="952">
        <v>1055</v>
      </c>
      <c r="F1678" s="945">
        <v>41</v>
      </c>
      <c r="G1678" s="946">
        <v>2065</v>
      </c>
      <c r="H1678" s="946">
        <v>2135.27</v>
      </c>
    </row>
    <row r="1679" spans="1:9" s="26" customFormat="1">
      <c r="A1679" s="947" t="s">
        <v>81</v>
      </c>
      <c r="B1679" s="948">
        <v>629.1</v>
      </c>
      <c r="C1679" s="948" t="s">
        <v>353</v>
      </c>
      <c r="D1679" s="947" t="s">
        <v>17</v>
      </c>
      <c r="E1679" s="949">
        <v>7204</v>
      </c>
      <c r="F1679" s="950">
        <v>10</v>
      </c>
      <c r="G1679" s="951">
        <v>237.5</v>
      </c>
      <c r="H1679" s="951">
        <v>236.59</v>
      </c>
      <c r="I1679" s="18"/>
    </row>
    <row r="1680" spans="1:9">
      <c r="A1680" s="943" t="s">
        <v>81</v>
      </c>
      <c r="B1680" s="944">
        <v>629.20000000000005</v>
      </c>
      <c r="C1680" s="944" t="s">
        <v>354</v>
      </c>
      <c r="D1680" s="943" t="s">
        <v>17</v>
      </c>
      <c r="E1680" s="945">
        <v>800</v>
      </c>
      <c r="F1680" s="945">
        <v>2</v>
      </c>
      <c r="G1680" s="946">
        <v>321</v>
      </c>
      <c r="H1680" s="946">
        <v>323.8</v>
      </c>
    </row>
    <row r="1681" spans="1:9" s="26" customFormat="1">
      <c r="A1681" s="947" t="s">
        <v>81</v>
      </c>
      <c r="B1681" s="948">
        <v>629.29999999999995</v>
      </c>
      <c r="C1681" s="948" t="s">
        <v>1415</v>
      </c>
      <c r="D1681" s="947" t="s">
        <v>17</v>
      </c>
      <c r="E1681" s="950">
        <v>200</v>
      </c>
      <c r="F1681" s="950">
        <v>1</v>
      </c>
      <c r="G1681" s="951">
        <v>800</v>
      </c>
      <c r="H1681" s="951">
        <v>625</v>
      </c>
      <c r="I1681" s="18"/>
    </row>
    <row r="1682" spans="1:9">
      <c r="A1682" s="943" t="s">
        <v>81</v>
      </c>
      <c r="B1682" s="944">
        <v>629.4</v>
      </c>
      <c r="C1682" s="944" t="s">
        <v>355</v>
      </c>
      <c r="D1682" s="943" t="s">
        <v>17</v>
      </c>
      <c r="E1682" s="952">
        <v>7940</v>
      </c>
      <c r="F1682" s="945">
        <v>2</v>
      </c>
      <c r="G1682" s="946">
        <v>695</v>
      </c>
      <c r="H1682" s="946">
        <v>656.25</v>
      </c>
    </row>
    <row r="1683" spans="1:9" s="26" customFormat="1">
      <c r="A1683" s="947" t="s">
        <v>81</v>
      </c>
      <c r="B1683" s="948">
        <v>629.5</v>
      </c>
      <c r="C1683" s="948" t="s">
        <v>1416</v>
      </c>
      <c r="D1683" s="947" t="s">
        <v>4</v>
      </c>
      <c r="E1683" s="950">
        <v>174</v>
      </c>
      <c r="F1683" s="950">
        <v>3</v>
      </c>
      <c r="G1683" s="951">
        <v>1110</v>
      </c>
      <c r="H1683" s="951">
        <v>1055</v>
      </c>
      <c r="I1683" s="18"/>
    </row>
    <row r="1684" spans="1:9">
      <c r="A1684" s="943" t="s">
        <v>81</v>
      </c>
      <c r="B1684" s="944">
        <v>630</v>
      </c>
      <c r="C1684" s="944" t="s">
        <v>356</v>
      </c>
      <c r="D1684" s="943" t="s">
        <v>17</v>
      </c>
      <c r="E1684" s="953">
        <v>21667.5</v>
      </c>
      <c r="F1684" s="945">
        <v>20</v>
      </c>
      <c r="G1684" s="946">
        <v>50</v>
      </c>
      <c r="H1684" s="946">
        <v>43.6</v>
      </c>
    </row>
    <row r="1685" spans="1:9" s="26" customFormat="1">
      <c r="A1685" s="947" t="s">
        <v>81</v>
      </c>
      <c r="B1685" s="948">
        <v>630.1</v>
      </c>
      <c r="C1685" s="948" t="s">
        <v>357</v>
      </c>
      <c r="D1685" s="947" t="s">
        <v>17</v>
      </c>
      <c r="E1685" s="949">
        <v>1100</v>
      </c>
      <c r="F1685" s="950">
        <v>1</v>
      </c>
      <c r="G1685" s="951">
        <v>3</v>
      </c>
      <c r="H1685" s="951">
        <v>2.71</v>
      </c>
      <c r="I1685" s="18"/>
    </row>
    <row r="1686" spans="1:9">
      <c r="A1686" s="943" t="s">
        <v>81</v>
      </c>
      <c r="B1686" s="944">
        <v>630.20000000000005</v>
      </c>
      <c r="C1686" s="944" t="s">
        <v>358</v>
      </c>
      <c r="D1686" s="943" t="s">
        <v>17</v>
      </c>
      <c r="E1686" s="952">
        <v>624523</v>
      </c>
      <c r="F1686" s="945">
        <v>45</v>
      </c>
      <c r="G1686" s="946">
        <v>6.8</v>
      </c>
      <c r="H1686" s="946">
        <v>6.15</v>
      </c>
    </row>
    <row r="1687" spans="1:9" s="26" customFormat="1">
      <c r="A1687" s="947" t="s">
        <v>81</v>
      </c>
      <c r="B1687" s="948">
        <v>631</v>
      </c>
      <c r="C1687" s="948" t="s">
        <v>1417</v>
      </c>
      <c r="D1687" s="947" t="s">
        <v>2</v>
      </c>
      <c r="E1687" s="950">
        <v>14</v>
      </c>
      <c r="F1687" s="950">
        <v>1</v>
      </c>
      <c r="G1687" s="951">
        <v>900</v>
      </c>
      <c r="H1687" s="951">
        <v>885.71</v>
      </c>
      <c r="I1687" s="18"/>
    </row>
    <row r="1688" spans="1:9">
      <c r="A1688" s="943" t="s">
        <v>81</v>
      </c>
      <c r="B1688" s="944">
        <v>632</v>
      </c>
      <c r="C1688" s="944" t="s">
        <v>359</v>
      </c>
      <c r="D1688" s="943" t="s">
        <v>2</v>
      </c>
      <c r="E1688" s="952">
        <v>3464</v>
      </c>
      <c r="F1688" s="945">
        <v>15</v>
      </c>
      <c r="G1688" s="946">
        <v>166.88</v>
      </c>
      <c r="H1688" s="946">
        <v>161.80000000000001</v>
      </c>
    </row>
    <row r="1689" spans="1:9" s="26" customFormat="1">
      <c r="A1689" s="947" t="s">
        <v>81</v>
      </c>
      <c r="B1689" s="948">
        <v>632.1</v>
      </c>
      <c r="C1689" s="948" t="s">
        <v>360</v>
      </c>
      <c r="D1689" s="947" t="s">
        <v>2</v>
      </c>
      <c r="E1689" s="950">
        <v>21</v>
      </c>
      <c r="F1689" s="950">
        <v>3</v>
      </c>
      <c r="G1689" s="951">
        <v>176</v>
      </c>
      <c r="H1689" s="951">
        <v>149.07</v>
      </c>
      <c r="I1689" s="18"/>
    </row>
    <row r="1690" spans="1:9">
      <c r="A1690" s="943" t="s">
        <v>81</v>
      </c>
      <c r="B1690" s="944">
        <v>632.11</v>
      </c>
      <c r="C1690" s="944" t="s">
        <v>2423</v>
      </c>
      <c r="D1690" s="943" t="s">
        <v>2</v>
      </c>
      <c r="E1690" s="945">
        <v>60</v>
      </c>
      <c r="F1690" s="945">
        <v>1</v>
      </c>
      <c r="G1690" s="946">
        <v>145</v>
      </c>
      <c r="H1690" s="946">
        <v>147.16</v>
      </c>
    </row>
    <row r="1691" spans="1:9" s="26" customFormat="1">
      <c r="A1691" s="947" t="s">
        <v>81</v>
      </c>
      <c r="B1691" s="948">
        <v>632.20000000000005</v>
      </c>
      <c r="C1691" s="948" t="s">
        <v>1418</v>
      </c>
      <c r="D1691" s="947" t="s">
        <v>2</v>
      </c>
      <c r="E1691" s="950">
        <v>255</v>
      </c>
      <c r="F1691" s="950">
        <v>4</v>
      </c>
      <c r="G1691" s="951">
        <v>70</v>
      </c>
      <c r="H1691" s="951">
        <v>84.44</v>
      </c>
      <c r="I1691" s="18"/>
    </row>
    <row r="1692" spans="1:9">
      <c r="A1692" s="943" t="s">
        <v>81</v>
      </c>
      <c r="B1692" s="944">
        <v>632.29999999999995</v>
      </c>
      <c r="C1692" s="944" t="s">
        <v>2424</v>
      </c>
      <c r="D1692" s="943" t="s">
        <v>2</v>
      </c>
      <c r="E1692" s="945">
        <v>12</v>
      </c>
      <c r="F1692" s="945">
        <v>1</v>
      </c>
      <c r="G1692" s="946">
        <v>525</v>
      </c>
      <c r="H1692" s="946">
        <v>510</v>
      </c>
    </row>
    <row r="1693" spans="1:9" s="26" customFormat="1">
      <c r="A1693" s="947" t="s">
        <v>81</v>
      </c>
      <c r="B1693" s="948">
        <v>632.4</v>
      </c>
      <c r="C1693" s="948" t="s">
        <v>361</v>
      </c>
      <c r="D1693" s="947" t="s">
        <v>2</v>
      </c>
      <c r="E1693" s="950">
        <v>752</v>
      </c>
      <c r="F1693" s="950">
        <v>9</v>
      </c>
      <c r="G1693" s="951">
        <v>28.8</v>
      </c>
      <c r="H1693" s="951">
        <v>28.4</v>
      </c>
      <c r="I1693" s="18"/>
    </row>
    <row r="1694" spans="1:9">
      <c r="A1694" s="943" t="s">
        <v>81</v>
      </c>
      <c r="B1694" s="944">
        <v>633</v>
      </c>
      <c r="C1694" s="944" t="s">
        <v>362</v>
      </c>
      <c r="D1694" s="943" t="s">
        <v>2</v>
      </c>
      <c r="E1694" s="952">
        <v>6467</v>
      </c>
      <c r="F1694" s="945">
        <v>10</v>
      </c>
      <c r="G1694" s="946">
        <v>25</v>
      </c>
      <c r="H1694" s="946">
        <v>23.45</v>
      </c>
    </row>
    <row r="1695" spans="1:9" s="26" customFormat="1">
      <c r="A1695" s="947" t="s">
        <v>81</v>
      </c>
      <c r="B1695" s="948">
        <v>633.1</v>
      </c>
      <c r="C1695" s="948" t="s">
        <v>363</v>
      </c>
      <c r="D1695" s="947" t="s">
        <v>2</v>
      </c>
      <c r="E1695" s="950">
        <v>977</v>
      </c>
      <c r="F1695" s="950">
        <v>10</v>
      </c>
      <c r="G1695" s="951">
        <v>34.5</v>
      </c>
      <c r="H1695" s="951">
        <v>31.17</v>
      </c>
      <c r="I1695" s="18"/>
    </row>
    <row r="1696" spans="1:9">
      <c r="A1696" s="943" t="s">
        <v>81</v>
      </c>
      <c r="B1696" s="944">
        <v>634</v>
      </c>
      <c r="C1696" s="944" t="s">
        <v>364</v>
      </c>
      <c r="D1696" s="943" t="s">
        <v>2</v>
      </c>
      <c r="E1696" s="952">
        <v>6185</v>
      </c>
      <c r="F1696" s="945">
        <v>11</v>
      </c>
      <c r="G1696" s="946">
        <v>313</v>
      </c>
      <c r="H1696" s="946">
        <v>305.2</v>
      </c>
    </row>
    <row r="1697" spans="1:9" s="26" customFormat="1">
      <c r="A1697" s="947" t="s">
        <v>81</v>
      </c>
      <c r="B1697" s="948">
        <v>634.1</v>
      </c>
      <c r="C1697" s="948" t="s">
        <v>365</v>
      </c>
      <c r="D1697" s="947" t="s">
        <v>2</v>
      </c>
      <c r="E1697" s="949">
        <v>1300</v>
      </c>
      <c r="F1697" s="950">
        <v>10</v>
      </c>
      <c r="G1697" s="951">
        <v>462.86</v>
      </c>
      <c r="H1697" s="951">
        <v>454.73</v>
      </c>
      <c r="I1697" s="18"/>
    </row>
    <row r="1698" spans="1:9">
      <c r="A1698" s="943" t="s">
        <v>81</v>
      </c>
      <c r="B1698" s="944">
        <v>638.1</v>
      </c>
      <c r="C1698" s="944" t="s">
        <v>366</v>
      </c>
      <c r="D1698" s="943" t="s">
        <v>17</v>
      </c>
      <c r="E1698" s="945">
        <v>82.5</v>
      </c>
      <c r="F1698" s="945">
        <v>1</v>
      </c>
      <c r="G1698" s="946">
        <v>450</v>
      </c>
      <c r="H1698" s="946">
        <v>441</v>
      </c>
    </row>
    <row r="1699" spans="1:9" s="26" customFormat="1">
      <c r="A1699" s="947" t="s">
        <v>81</v>
      </c>
      <c r="B1699" s="948">
        <v>644.048</v>
      </c>
      <c r="C1699" s="948" t="s">
        <v>2428</v>
      </c>
      <c r="D1699" s="947" t="s">
        <v>17</v>
      </c>
      <c r="E1699" s="949">
        <v>4680</v>
      </c>
      <c r="F1699" s="950">
        <v>3</v>
      </c>
      <c r="G1699" s="951">
        <v>55.5</v>
      </c>
      <c r="H1699" s="951">
        <v>52.49</v>
      </c>
      <c r="I1699" s="18"/>
    </row>
    <row r="1700" spans="1:9">
      <c r="A1700" s="943" t="s">
        <v>81</v>
      </c>
      <c r="B1700" s="944">
        <v>644.05999999999995</v>
      </c>
      <c r="C1700" s="944" t="s">
        <v>367</v>
      </c>
      <c r="D1700" s="943" t="s">
        <v>17</v>
      </c>
      <c r="E1700" s="952">
        <v>3920</v>
      </c>
      <c r="F1700" s="945">
        <v>3</v>
      </c>
      <c r="G1700" s="946">
        <v>90</v>
      </c>
      <c r="H1700" s="946">
        <v>87.09</v>
      </c>
    </row>
    <row r="1701" spans="1:9" s="26" customFormat="1">
      <c r="A1701" s="947" t="s">
        <v>81</v>
      </c>
      <c r="B1701" s="948">
        <v>644.072</v>
      </c>
      <c r="C1701" s="948" t="s">
        <v>368</v>
      </c>
      <c r="D1701" s="947" t="s">
        <v>17</v>
      </c>
      <c r="E1701" s="949">
        <v>14108</v>
      </c>
      <c r="F1701" s="950">
        <v>3</v>
      </c>
      <c r="G1701" s="951">
        <v>60.27</v>
      </c>
      <c r="H1701" s="951">
        <v>63.69</v>
      </c>
      <c r="I1701" s="18"/>
    </row>
    <row r="1702" spans="1:9">
      <c r="A1702" s="943" t="s">
        <v>81</v>
      </c>
      <c r="B1702" s="944">
        <v>644.08399999999995</v>
      </c>
      <c r="C1702" s="944" t="s">
        <v>2429</v>
      </c>
      <c r="D1702" s="943" t="s">
        <v>17</v>
      </c>
      <c r="E1702" s="945">
        <v>100</v>
      </c>
      <c r="F1702" s="945">
        <v>1</v>
      </c>
      <c r="G1702" s="946">
        <v>162.5</v>
      </c>
      <c r="H1702" s="946">
        <v>151.25</v>
      </c>
    </row>
    <row r="1703" spans="1:9" s="26" customFormat="1">
      <c r="A1703" s="947" t="s">
        <v>81</v>
      </c>
      <c r="B1703" s="948">
        <v>644.096</v>
      </c>
      <c r="C1703" s="948" t="s">
        <v>2430</v>
      </c>
      <c r="D1703" s="947" t="s">
        <v>17</v>
      </c>
      <c r="E1703" s="950">
        <v>570</v>
      </c>
      <c r="F1703" s="950">
        <v>2</v>
      </c>
      <c r="G1703" s="951">
        <v>130</v>
      </c>
      <c r="H1703" s="951">
        <v>121.95</v>
      </c>
      <c r="I1703" s="18"/>
    </row>
    <row r="1704" spans="1:9">
      <c r="A1704" s="943" t="s">
        <v>81</v>
      </c>
      <c r="B1704" s="944">
        <v>644.14800000000002</v>
      </c>
      <c r="C1704" s="944" t="s">
        <v>369</v>
      </c>
      <c r="D1704" s="943" t="s">
        <v>17</v>
      </c>
      <c r="E1704" s="952">
        <v>1050</v>
      </c>
      <c r="F1704" s="945">
        <v>1</v>
      </c>
      <c r="G1704" s="946">
        <v>42</v>
      </c>
      <c r="H1704" s="946">
        <v>42</v>
      </c>
    </row>
    <row r="1705" spans="1:9" s="26" customFormat="1">
      <c r="A1705" s="947" t="s">
        <v>81</v>
      </c>
      <c r="B1705" s="948">
        <v>644.17200000000003</v>
      </c>
      <c r="C1705" s="948" t="s">
        <v>371</v>
      </c>
      <c r="D1705" s="947" t="s">
        <v>17</v>
      </c>
      <c r="E1705" s="949">
        <v>3500</v>
      </c>
      <c r="F1705" s="950">
        <v>2</v>
      </c>
      <c r="G1705" s="951">
        <v>77</v>
      </c>
      <c r="H1705" s="951">
        <v>75.11</v>
      </c>
      <c r="I1705" s="18"/>
    </row>
    <row r="1706" spans="1:9">
      <c r="A1706" s="943" t="s">
        <v>81</v>
      </c>
      <c r="B1706" s="944">
        <v>644.19600000000003</v>
      </c>
      <c r="C1706" s="944" t="s">
        <v>372</v>
      </c>
      <c r="D1706" s="943" t="s">
        <v>17</v>
      </c>
      <c r="E1706" s="945">
        <v>600</v>
      </c>
      <c r="F1706" s="945">
        <v>1</v>
      </c>
      <c r="G1706" s="946">
        <v>92.5</v>
      </c>
      <c r="H1706" s="946">
        <v>92.5</v>
      </c>
    </row>
    <row r="1707" spans="1:9" s="26" customFormat="1">
      <c r="A1707" s="947" t="s">
        <v>81</v>
      </c>
      <c r="B1707" s="948">
        <v>645.048</v>
      </c>
      <c r="C1707" s="948" t="s">
        <v>373</v>
      </c>
      <c r="D1707" s="947" t="s">
        <v>17</v>
      </c>
      <c r="E1707" s="949">
        <v>4280</v>
      </c>
      <c r="F1707" s="950">
        <v>3</v>
      </c>
      <c r="G1707" s="951">
        <v>75.13</v>
      </c>
      <c r="H1707" s="951">
        <v>76.89</v>
      </c>
      <c r="I1707" s="18"/>
    </row>
    <row r="1708" spans="1:9">
      <c r="A1708" s="943" t="s">
        <v>81</v>
      </c>
      <c r="B1708" s="944">
        <v>645.072</v>
      </c>
      <c r="C1708" s="944" t="s">
        <v>374</v>
      </c>
      <c r="D1708" s="943" t="s">
        <v>17</v>
      </c>
      <c r="E1708" s="952">
        <v>1276</v>
      </c>
      <c r="F1708" s="945">
        <v>2</v>
      </c>
      <c r="G1708" s="946">
        <v>128.5</v>
      </c>
      <c r="H1708" s="946">
        <v>116.43</v>
      </c>
    </row>
    <row r="1709" spans="1:9" s="26" customFormat="1">
      <c r="A1709" s="947" t="s">
        <v>81</v>
      </c>
      <c r="B1709" s="948">
        <v>645.14800000000002</v>
      </c>
      <c r="C1709" s="948" t="s">
        <v>375</v>
      </c>
      <c r="D1709" s="947" t="s">
        <v>17</v>
      </c>
      <c r="E1709" s="949">
        <v>10390</v>
      </c>
      <c r="F1709" s="950">
        <v>7</v>
      </c>
      <c r="G1709" s="951">
        <v>74.5</v>
      </c>
      <c r="H1709" s="951">
        <v>73.06</v>
      </c>
      <c r="I1709" s="18"/>
    </row>
    <row r="1710" spans="1:9">
      <c r="A1710" s="943" t="s">
        <v>81</v>
      </c>
      <c r="B1710" s="944">
        <v>645.17200000000003</v>
      </c>
      <c r="C1710" s="944" t="s">
        <v>376</v>
      </c>
      <c r="D1710" s="943" t="s">
        <v>17</v>
      </c>
      <c r="E1710" s="952">
        <v>1500</v>
      </c>
      <c r="F1710" s="945">
        <v>1</v>
      </c>
      <c r="G1710" s="946">
        <v>90</v>
      </c>
      <c r="H1710" s="946">
        <v>90</v>
      </c>
    </row>
    <row r="1711" spans="1:9" s="26" customFormat="1">
      <c r="A1711" s="947" t="s">
        <v>81</v>
      </c>
      <c r="B1711" s="948">
        <v>647.072</v>
      </c>
      <c r="C1711" s="948" t="s">
        <v>2451</v>
      </c>
      <c r="D1711" s="947" t="s">
        <v>17</v>
      </c>
      <c r="E1711" s="949">
        <v>2295</v>
      </c>
      <c r="F1711" s="950">
        <v>1</v>
      </c>
      <c r="G1711" s="951">
        <v>57.76</v>
      </c>
      <c r="H1711" s="951">
        <v>56.59</v>
      </c>
      <c r="I1711" s="18"/>
    </row>
    <row r="1712" spans="1:9">
      <c r="A1712" s="943" t="s">
        <v>81</v>
      </c>
      <c r="B1712" s="944">
        <v>647.096</v>
      </c>
      <c r="C1712" s="944" t="s">
        <v>2453</v>
      </c>
      <c r="D1712" s="943" t="s">
        <v>17</v>
      </c>
      <c r="E1712" s="952">
        <v>1050</v>
      </c>
      <c r="F1712" s="945">
        <v>1</v>
      </c>
      <c r="G1712" s="946">
        <v>100</v>
      </c>
      <c r="H1712" s="946">
        <v>99.43</v>
      </c>
    </row>
    <row r="1713" spans="1:9" s="26" customFormat="1">
      <c r="A1713" s="947" t="s">
        <v>81</v>
      </c>
      <c r="B1713" s="948">
        <v>650.048</v>
      </c>
      <c r="C1713" s="948" t="s">
        <v>377</v>
      </c>
      <c r="D1713" s="947" t="s">
        <v>17</v>
      </c>
      <c r="E1713" s="950">
        <v>116</v>
      </c>
      <c r="F1713" s="950">
        <v>3</v>
      </c>
      <c r="G1713" s="951">
        <v>497.5</v>
      </c>
      <c r="H1713" s="951">
        <v>461.67</v>
      </c>
      <c r="I1713" s="18"/>
    </row>
    <row r="1714" spans="1:9">
      <c r="A1714" s="943" t="s">
        <v>81</v>
      </c>
      <c r="B1714" s="944">
        <v>650.072</v>
      </c>
      <c r="C1714" s="944" t="s">
        <v>378</v>
      </c>
      <c r="D1714" s="943" t="s">
        <v>17</v>
      </c>
      <c r="E1714" s="945">
        <v>950</v>
      </c>
      <c r="F1714" s="945">
        <v>2</v>
      </c>
      <c r="G1714" s="946">
        <v>221.76</v>
      </c>
      <c r="H1714" s="946">
        <v>233.7</v>
      </c>
    </row>
    <row r="1715" spans="1:9" s="26" customFormat="1">
      <c r="A1715" s="947" t="s">
        <v>81</v>
      </c>
      <c r="B1715" s="948">
        <v>650.08399999999995</v>
      </c>
      <c r="C1715" s="948" t="s">
        <v>2466</v>
      </c>
      <c r="D1715" s="947" t="s">
        <v>17</v>
      </c>
      <c r="E1715" s="950">
        <v>30</v>
      </c>
      <c r="F1715" s="950">
        <v>1</v>
      </c>
      <c r="G1715" s="951">
        <v>760</v>
      </c>
      <c r="H1715" s="951">
        <v>790</v>
      </c>
      <c r="I1715" s="18"/>
    </row>
    <row r="1716" spans="1:9">
      <c r="A1716" s="943" t="s">
        <v>81</v>
      </c>
      <c r="B1716" s="944">
        <v>650.096</v>
      </c>
      <c r="C1716" s="944" t="s">
        <v>1420</v>
      </c>
      <c r="D1716" s="943" t="s">
        <v>17</v>
      </c>
      <c r="E1716" s="945">
        <v>30</v>
      </c>
      <c r="F1716" s="945">
        <v>1</v>
      </c>
      <c r="G1716" s="946">
        <v>815</v>
      </c>
      <c r="H1716" s="946">
        <v>843.33</v>
      </c>
    </row>
    <row r="1717" spans="1:9" s="26" customFormat="1">
      <c r="A1717" s="947" t="s">
        <v>81</v>
      </c>
      <c r="B1717" s="948">
        <v>651.072</v>
      </c>
      <c r="C1717" s="948" t="s">
        <v>379</v>
      </c>
      <c r="D1717" s="947" t="s">
        <v>17</v>
      </c>
      <c r="E1717" s="950">
        <v>660</v>
      </c>
      <c r="F1717" s="950">
        <v>1</v>
      </c>
      <c r="G1717" s="951">
        <v>185</v>
      </c>
      <c r="H1717" s="951">
        <v>189.51</v>
      </c>
      <c r="I1717" s="18"/>
    </row>
    <row r="1718" spans="1:9">
      <c r="A1718" s="943" t="s">
        <v>81</v>
      </c>
      <c r="B1718" s="944">
        <v>652.048</v>
      </c>
      <c r="C1718" s="944" t="s">
        <v>380</v>
      </c>
      <c r="D1718" s="943" t="s">
        <v>2</v>
      </c>
      <c r="E1718" s="945">
        <v>150</v>
      </c>
      <c r="F1718" s="945">
        <v>6</v>
      </c>
      <c r="G1718" s="946">
        <v>415</v>
      </c>
      <c r="H1718" s="946">
        <v>361.6</v>
      </c>
    </row>
    <row r="1719" spans="1:9" s="26" customFormat="1">
      <c r="A1719" s="947" t="s">
        <v>81</v>
      </c>
      <c r="B1719" s="948">
        <v>652.05999999999995</v>
      </c>
      <c r="C1719" s="948" t="s">
        <v>2475</v>
      </c>
      <c r="D1719" s="947" t="s">
        <v>2</v>
      </c>
      <c r="E1719" s="950">
        <v>46</v>
      </c>
      <c r="F1719" s="950">
        <v>1</v>
      </c>
      <c r="G1719" s="951">
        <v>125</v>
      </c>
      <c r="H1719" s="951">
        <v>125</v>
      </c>
      <c r="I1719" s="18"/>
    </row>
    <row r="1720" spans="1:9">
      <c r="A1720" s="943" t="s">
        <v>81</v>
      </c>
      <c r="B1720" s="944">
        <v>652.072</v>
      </c>
      <c r="C1720" s="944" t="s">
        <v>381</v>
      </c>
      <c r="D1720" s="943" t="s">
        <v>2</v>
      </c>
      <c r="E1720" s="945">
        <v>96</v>
      </c>
      <c r="F1720" s="945">
        <v>3</v>
      </c>
      <c r="G1720" s="946">
        <v>565</v>
      </c>
      <c r="H1720" s="946">
        <v>484.7</v>
      </c>
    </row>
    <row r="1721" spans="1:9" s="26" customFormat="1">
      <c r="A1721" s="947" t="s">
        <v>81</v>
      </c>
      <c r="B1721" s="948">
        <v>652.096</v>
      </c>
      <c r="C1721" s="948" t="s">
        <v>2477</v>
      </c>
      <c r="D1721" s="947" t="s">
        <v>2</v>
      </c>
      <c r="E1721" s="950">
        <v>30</v>
      </c>
      <c r="F1721" s="950">
        <v>1</v>
      </c>
      <c r="G1721" s="951">
        <v>125</v>
      </c>
      <c r="H1721" s="951">
        <v>125</v>
      </c>
      <c r="I1721" s="18"/>
    </row>
    <row r="1722" spans="1:9">
      <c r="A1722" s="943" t="s">
        <v>81</v>
      </c>
      <c r="B1722" s="944">
        <v>653.048</v>
      </c>
      <c r="C1722" s="944" t="s">
        <v>382</v>
      </c>
      <c r="D1722" s="943" t="s">
        <v>2</v>
      </c>
      <c r="E1722" s="945">
        <v>44</v>
      </c>
      <c r="F1722" s="945">
        <v>3</v>
      </c>
      <c r="G1722" s="946">
        <v>570</v>
      </c>
      <c r="H1722" s="946">
        <v>483.32</v>
      </c>
    </row>
    <row r="1723" spans="1:9" s="26" customFormat="1">
      <c r="A1723" s="947" t="s">
        <v>81</v>
      </c>
      <c r="B1723" s="948">
        <v>653.05999999999995</v>
      </c>
      <c r="C1723" s="948" t="s">
        <v>2481</v>
      </c>
      <c r="D1723" s="947" t="s">
        <v>2</v>
      </c>
      <c r="E1723" s="950">
        <v>32</v>
      </c>
      <c r="F1723" s="950">
        <v>1</v>
      </c>
      <c r="G1723" s="951">
        <v>125</v>
      </c>
      <c r="H1723" s="951">
        <v>125</v>
      </c>
      <c r="I1723" s="18"/>
    </row>
    <row r="1724" spans="1:9">
      <c r="A1724" s="943" t="s">
        <v>81</v>
      </c>
      <c r="B1724" s="944">
        <v>653.072</v>
      </c>
      <c r="C1724" s="944" t="s">
        <v>383</v>
      </c>
      <c r="D1724" s="943" t="s">
        <v>2</v>
      </c>
      <c r="E1724" s="945">
        <v>235</v>
      </c>
      <c r="F1724" s="945">
        <v>3</v>
      </c>
      <c r="G1724" s="946">
        <v>585</v>
      </c>
      <c r="H1724" s="946">
        <v>436.11</v>
      </c>
    </row>
    <row r="1725" spans="1:9" s="26" customFormat="1">
      <c r="A1725" s="947" t="s">
        <v>81</v>
      </c>
      <c r="B1725" s="948">
        <v>653.08399999999995</v>
      </c>
      <c r="C1725" s="948" t="s">
        <v>2482</v>
      </c>
      <c r="D1725" s="947" t="s">
        <v>2</v>
      </c>
      <c r="E1725" s="950">
        <v>32</v>
      </c>
      <c r="F1725" s="950">
        <v>1</v>
      </c>
      <c r="G1725" s="951">
        <v>125</v>
      </c>
      <c r="H1725" s="951">
        <v>125</v>
      </c>
      <c r="I1725" s="18"/>
    </row>
    <row r="1726" spans="1:9">
      <c r="A1726" s="943" t="s">
        <v>81</v>
      </c>
      <c r="B1726" s="944">
        <v>653.096</v>
      </c>
      <c r="C1726" s="944" t="s">
        <v>384</v>
      </c>
      <c r="D1726" s="943" t="s">
        <v>2</v>
      </c>
      <c r="E1726" s="945">
        <v>12</v>
      </c>
      <c r="F1726" s="945">
        <v>1</v>
      </c>
      <c r="G1726" s="946">
        <v>125</v>
      </c>
      <c r="H1726" s="946">
        <v>125</v>
      </c>
    </row>
    <row r="1727" spans="1:9" s="26" customFormat="1">
      <c r="A1727" s="947" t="s">
        <v>81</v>
      </c>
      <c r="B1727" s="948">
        <v>654.048</v>
      </c>
      <c r="C1727" s="948" t="s">
        <v>2486</v>
      </c>
      <c r="D1727" s="947" t="s">
        <v>17</v>
      </c>
      <c r="E1727" s="949">
        <v>2400</v>
      </c>
      <c r="F1727" s="950">
        <v>1</v>
      </c>
      <c r="G1727" s="951">
        <v>13.35</v>
      </c>
      <c r="H1727" s="951">
        <v>13.77</v>
      </c>
      <c r="I1727" s="18"/>
    </row>
    <row r="1728" spans="1:9">
      <c r="A1728" s="943" t="s">
        <v>81</v>
      </c>
      <c r="B1728" s="944">
        <v>654.05999999999995</v>
      </c>
      <c r="C1728" s="944" t="s">
        <v>2487</v>
      </c>
      <c r="D1728" s="943" t="s">
        <v>17</v>
      </c>
      <c r="E1728" s="952">
        <v>1050</v>
      </c>
      <c r="F1728" s="945">
        <v>1</v>
      </c>
      <c r="G1728" s="946">
        <v>15</v>
      </c>
      <c r="H1728" s="946">
        <v>15.5</v>
      </c>
    </row>
    <row r="1729" spans="1:9" s="26" customFormat="1">
      <c r="A1729" s="947" t="s">
        <v>81</v>
      </c>
      <c r="B1729" s="948">
        <v>654.072</v>
      </c>
      <c r="C1729" s="948" t="s">
        <v>385</v>
      </c>
      <c r="D1729" s="947" t="s">
        <v>17</v>
      </c>
      <c r="E1729" s="949">
        <v>3400</v>
      </c>
      <c r="F1729" s="950">
        <v>2</v>
      </c>
      <c r="G1729" s="951">
        <v>22.58</v>
      </c>
      <c r="H1729" s="951">
        <v>25.52</v>
      </c>
      <c r="I1729" s="18"/>
    </row>
    <row r="1730" spans="1:9">
      <c r="A1730" s="943" t="s">
        <v>81</v>
      </c>
      <c r="B1730" s="944">
        <v>654.08399999999995</v>
      </c>
      <c r="C1730" s="944" t="s">
        <v>2488</v>
      </c>
      <c r="D1730" s="943" t="s">
        <v>17</v>
      </c>
      <c r="E1730" s="945">
        <v>75</v>
      </c>
      <c r="F1730" s="945">
        <v>1</v>
      </c>
      <c r="G1730" s="946">
        <v>98</v>
      </c>
      <c r="H1730" s="946">
        <v>98.67</v>
      </c>
    </row>
    <row r="1731" spans="1:9" s="26" customFormat="1">
      <c r="A1731" s="947" t="s">
        <v>81</v>
      </c>
      <c r="B1731" s="948">
        <v>654.096</v>
      </c>
      <c r="C1731" s="948" t="s">
        <v>2489</v>
      </c>
      <c r="D1731" s="947" t="s">
        <v>17</v>
      </c>
      <c r="E1731" s="950">
        <v>540</v>
      </c>
      <c r="F1731" s="950">
        <v>2</v>
      </c>
      <c r="G1731" s="951">
        <v>43.5</v>
      </c>
      <c r="H1731" s="951">
        <v>65.19</v>
      </c>
      <c r="I1731" s="18"/>
    </row>
    <row r="1732" spans="1:9">
      <c r="A1732" s="943" t="s">
        <v>81</v>
      </c>
      <c r="B1732" s="944">
        <v>655</v>
      </c>
      <c r="C1732" s="944" t="s">
        <v>386</v>
      </c>
      <c r="D1732" s="943" t="s">
        <v>17</v>
      </c>
      <c r="E1732" s="952">
        <v>12350</v>
      </c>
      <c r="F1732" s="945">
        <v>3</v>
      </c>
      <c r="G1732" s="946">
        <v>85</v>
      </c>
      <c r="H1732" s="946">
        <v>86.96</v>
      </c>
    </row>
    <row r="1733" spans="1:9" s="26" customFormat="1">
      <c r="A1733" s="947" t="s">
        <v>81</v>
      </c>
      <c r="B1733" s="948">
        <v>655.20000000000005</v>
      </c>
      <c r="C1733" s="948" t="s">
        <v>2492</v>
      </c>
      <c r="D1733" s="947" t="s">
        <v>17</v>
      </c>
      <c r="E1733" s="950">
        <v>120</v>
      </c>
      <c r="F1733" s="950">
        <v>1</v>
      </c>
      <c r="G1733" s="951">
        <v>500</v>
      </c>
      <c r="H1733" s="951">
        <v>535</v>
      </c>
      <c r="I1733" s="18"/>
    </row>
    <row r="1734" spans="1:9">
      <c r="A1734" s="943" t="s">
        <v>81</v>
      </c>
      <c r="B1734" s="944">
        <v>657</v>
      </c>
      <c r="C1734" s="944" t="s">
        <v>387</v>
      </c>
      <c r="D1734" s="943" t="s">
        <v>17</v>
      </c>
      <c r="E1734" s="952">
        <v>63118</v>
      </c>
      <c r="F1734" s="945">
        <v>20</v>
      </c>
      <c r="G1734" s="946">
        <v>32.5</v>
      </c>
      <c r="H1734" s="946">
        <v>35.89</v>
      </c>
    </row>
    <row r="1735" spans="1:9" s="26" customFormat="1">
      <c r="A1735" s="947" t="s">
        <v>81</v>
      </c>
      <c r="B1735" s="948">
        <v>657.5</v>
      </c>
      <c r="C1735" s="948" t="s">
        <v>388</v>
      </c>
      <c r="D1735" s="947" t="s">
        <v>17</v>
      </c>
      <c r="E1735" s="949">
        <v>16610</v>
      </c>
      <c r="F1735" s="950">
        <v>5</v>
      </c>
      <c r="G1735" s="951">
        <v>23.5</v>
      </c>
      <c r="H1735" s="951">
        <v>21.72</v>
      </c>
      <c r="I1735" s="18"/>
    </row>
    <row r="1736" spans="1:9">
      <c r="A1736" s="943" t="s">
        <v>81</v>
      </c>
      <c r="B1736" s="944">
        <v>658</v>
      </c>
      <c r="C1736" s="944" t="s">
        <v>2493</v>
      </c>
      <c r="D1736" s="943" t="s">
        <v>2</v>
      </c>
      <c r="E1736" s="945">
        <v>4</v>
      </c>
      <c r="F1736" s="945">
        <v>1</v>
      </c>
      <c r="G1736" s="946">
        <v>185</v>
      </c>
      <c r="H1736" s="946">
        <v>172.5</v>
      </c>
    </row>
    <row r="1737" spans="1:9" s="26" customFormat="1">
      <c r="A1737" s="947" t="s">
        <v>81</v>
      </c>
      <c r="B1737" s="948">
        <v>660</v>
      </c>
      <c r="C1737" s="948" t="s">
        <v>389</v>
      </c>
      <c r="D1737" s="947" t="s">
        <v>17</v>
      </c>
      <c r="E1737" s="950">
        <v>40</v>
      </c>
      <c r="F1737" s="950">
        <v>1</v>
      </c>
      <c r="G1737" s="951">
        <v>410</v>
      </c>
      <c r="H1737" s="951">
        <v>455</v>
      </c>
      <c r="I1737" s="18"/>
    </row>
    <row r="1738" spans="1:9">
      <c r="A1738" s="943" t="s">
        <v>81</v>
      </c>
      <c r="B1738" s="944">
        <v>665</v>
      </c>
      <c r="C1738" s="944" t="s">
        <v>390</v>
      </c>
      <c r="D1738" s="943" t="s">
        <v>17</v>
      </c>
      <c r="E1738" s="952">
        <v>4770</v>
      </c>
      <c r="F1738" s="945">
        <v>7</v>
      </c>
      <c r="G1738" s="946">
        <v>22</v>
      </c>
      <c r="H1738" s="946">
        <v>23.03</v>
      </c>
    </row>
    <row r="1739" spans="1:9" s="26" customFormat="1">
      <c r="A1739" s="947" t="s">
        <v>81</v>
      </c>
      <c r="B1739" s="948">
        <v>666</v>
      </c>
      <c r="C1739" s="948" t="s">
        <v>391</v>
      </c>
      <c r="D1739" s="947" t="s">
        <v>17</v>
      </c>
      <c r="E1739" s="949">
        <v>7273</v>
      </c>
      <c r="F1739" s="950">
        <v>13</v>
      </c>
      <c r="G1739" s="951">
        <v>73</v>
      </c>
      <c r="H1739" s="951">
        <v>87.51</v>
      </c>
      <c r="I1739" s="18"/>
    </row>
    <row r="1740" spans="1:9">
      <c r="A1740" s="943" t="s">
        <v>81</v>
      </c>
      <c r="B1740" s="944">
        <v>667</v>
      </c>
      <c r="C1740" s="944" t="s">
        <v>4039</v>
      </c>
      <c r="D1740" s="943" t="s">
        <v>2</v>
      </c>
      <c r="E1740" s="945">
        <v>30</v>
      </c>
      <c r="F1740" s="945">
        <v>2</v>
      </c>
      <c r="G1740" s="946">
        <v>1225</v>
      </c>
      <c r="H1740" s="946">
        <v>1337.5</v>
      </c>
    </row>
    <row r="1741" spans="1:9" s="26" customFormat="1">
      <c r="A1741" s="947" t="s">
        <v>81</v>
      </c>
      <c r="B1741" s="948">
        <v>668</v>
      </c>
      <c r="C1741" s="948" t="s">
        <v>4040</v>
      </c>
      <c r="D1741" s="947" t="s">
        <v>2</v>
      </c>
      <c r="E1741" s="950">
        <v>20</v>
      </c>
      <c r="F1741" s="950">
        <v>2</v>
      </c>
      <c r="G1741" s="951">
        <v>4000</v>
      </c>
      <c r="H1741" s="951">
        <v>3365.63</v>
      </c>
      <c r="I1741" s="18"/>
    </row>
    <row r="1742" spans="1:9">
      <c r="A1742" s="943" t="s">
        <v>81</v>
      </c>
      <c r="B1742" s="944">
        <v>669</v>
      </c>
      <c r="C1742" s="944" t="s">
        <v>393</v>
      </c>
      <c r="D1742" s="943" t="s">
        <v>17</v>
      </c>
      <c r="E1742" s="952">
        <v>15570</v>
      </c>
      <c r="F1742" s="945">
        <v>16</v>
      </c>
      <c r="G1742" s="946">
        <v>20</v>
      </c>
      <c r="H1742" s="946">
        <v>18.940000000000001</v>
      </c>
    </row>
    <row r="1743" spans="1:9" s="26" customFormat="1">
      <c r="A1743" s="947" t="s">
        <v>81</v>
      </c>
      <c r="B1743" s="948">
        <v>670</v>
      </c>
      <c r="C1743" s="948" t="s">
        <v>394</v>
      </c>
      <c r="D1743" s="947" t="s">
        <v>17</v>
      </c>
      <c r="E1743" s="949">
        <v>6253</v>
      </c>
      <c r="F1743" s="950">
        <v>11</v>
      </c>
      <c r="G1743" s="951">
        <v>85</v>
      </c>
      <c r="H1743" s="951">
        <v>83.3</v>
      </c>
      <c r="I1743" s="18"/>
    </row>
    <row r="1744" spans="1:9">
      <c r="A1744" s="943" t="s">
        <v>81</v>
      </c>
      <c r="B1744" s="944">
        <v>671</v>
      </c>
      <c r="C1744" s="944" t="s">
        <v>2496</v>
      </c>
      <c r="D1744" s="943" t="s">
        <v>2</v>
      </c>
      <c r="E1744" s="945">
        <v>10</v>
      </c>
      <c r="F1744" s="945">
        <v>2</v>
      </c>
      <c r="G1744" s="946">
        <v>694</v>
      </c>
      <c r="H1744" s="946">
        <v>699.5</v>
      </c>
    </row>
    <row r="1745" spans="1:9" s="26" customFormat="1">
      <c r="A1745" s="947" t="s">
        <v>81</v>
      </c>
      <c r="B1745" s="948">
        <v>672</v>
      </c>
      <c r="C1745" s="948" t="s">
        <v>395</v>
      </c>
      <c r="D1745" s="947" t="s">
        <v>2</v>
      </c>
      <c r="E1745" s="950">
        <v>24</v>
      </c>
      <c r="F1745" s="950">
        <v>5</v>
      </c>
      <c r="G1745" s="951">
        <v>3000</v>
      </c>
      <c r="H1745" s="951">
        <v>3079.62</v>
      </c>
      <c r="I1745" s="18"/>
    </row>
    <row r="1746" spans="1:9">
      <c r="A1746" s="943" t="s">
        <v>81</v>
      </c>
      <c r="B1746" s="944">
        <v>675</v>
      </c>
      <c r="C1746" s="944" t="s">
        <v>2497</v>
      </c>
      <c r="D1746" s="943" t="s">
        <v>17</v>
      </c>
      <c r="E1746" s="952">
        <v>5100</v>
      </c>
      <c r="F1746" s="945">
        <v>1</v>
      </c>
      <c r="G1746" s="946">
        <v>114</v>
      </c>
      <c r="H1746" s="946">
        <v>104.5</v>
      </c>
    </row>
    <row r="1747" spans="1:9" s="26" customFormat="1">
      <c r="A1747" s="947" t="s">
        <v>81</v>
      </c>
      <c r="B1747" s="948">
        <v>685</v>
      </c>
      <c r="C1747" s="948" t="s">
        <v>396</v>
      </c>
      <c r="D1747" s="947" t="s">
        <v>4</v>
      </c>
      <c r="E1747" s="949">
        <v>6191</v>
      </c>
      <c r="F1747" s="950">
        <v>11</v>
      </c>
      <c r="G1747" s="951">
        <v>1375</v>
      </c>
      <c r="H1747" s="951">
        <v>1375.23</v>
      </c>
      <c r="I1747" s="18"/>
    </row>
    <row r="1748" spans="1:9">
      <c r="A1748" s="943" t="s">
        <v>81</v>
      </c>
      <c r="B1748" s="944">
        <v>685.1</v>
      </c>
      <c r="C1748" s="944" t="s">
        <v>2506</v>
      </c>
      <c r="D1748" s="943" t="s">
        <v>4</v>
      </c>
      <c r="E1748" s="945">
        <v>30</v>
      </c>
      <c r="F1748" s="945">
        <v>1</v>
      </c>
      <c r="G1748" s="946">
        <v>1350</v>
      </c>
      <c r="H1748" s="946">
        <v>1354.5</v>
      </c>
    </row>
    <row r="1749" spans="1:9" s="26" customFormat="1">
      <c r="A1749" s="947" t="s">
        <v>81</v>
      </c>
      <c r="B1749" s="948">
        <v>685.2</v>
      </c>
      <c r="C1749" s="948" t="s">
        <v>2507</v>
      </c>
      <c r="D1749" s="947" t="s">
        <v>2</v>
      </c>
      <c r="E1749" s="950">
        <v>12</v>
      </c>
      <c r="F1749" s="950">
        <v>1</v>
      </c>
      <c r="G1749" s="951">
        <v>2000</v>
      </c>
      <c r="H1749" s="951">
        <v>2033.33</v>
      </c>
      <c r="I1749" s="18"/>
    </row>
    <row r="1750" spans="1:9">
      <c r="A1750" s="943" t="s">
        <v>81</v>
      </c>
      <c r="B1750" s="944">
        <v>690</v>
      </c>
      <c r="C1750" s="944" t="s">
        <v>397</v>
      </c>
      <c r="D1750" s="943" t="s">
        <v>4</v>
      </c>
      <c r="E1750" s="952">
        <v>2615</v>
      </c>
      <c r="F1750" s="945">
        <v>5</v>
      </c>
      <c r="G1750" s="946">
        <v>1355</v>
      </c>
      <c r="H1750" s="946">
        <v>1333.1</v>
      </c>
    </row>
    <row r="1751" spans="1:9" s="26" customFormat="1">
      <c r="A1751" s="947" t="s">
        <v>81</v>
      </c>
      <c r="B1751" s="948">
        <v>690.1</v>
      </c>
      <c r="C1751" s="948" t="s">
        <v>398</v>
      </c>
      <c r="D1751" s="947" t="s">
        <v>4</v>
      </c>
      <c r="E1751" s="950">
        <v>450</v>
      </c>
      <c r="F1751" s="950">
        <v>2</v>
      </c>
      <c r="G1751" s="951">
        <v>1200</v>
      </c>
      <c r="H1751" s="951">
        <v>1192.75</v>
      </c>
      <c r="I1751" s="18"/>
    </row>
    <row r="1752" spans="1:9">
      <c r="A1752" s="943" t="s">
        <v>81</v>
      </c>
      <c r="B1752" s="944">
        <v>691</v>
      </c>
      <c r="C1752" s="944" t="s">
        <v>399</v>
      </c>
      <c r="D1752" s="943" t="s">
        <v>17</v>
      </c>
      <c r="E1752" s="952">
        <v>6925</v>
      </c>
      <c r="F1752" s="945">
        <v>5</v>
      </c>
      <c r="G1752" s="946">
        <v>200</v>
      </c>
      <c r="H1752" s="946">
        <v>323.39999999999998</v>
      </c>
    </row>
    <row r="1753" spans="1:9" s="26" customFormat="1">
      <c r="A1753" s="947" t="s">
        <v>81</v>
      </c>
      <c r="B1753" s="948">
        <v>697</v>
      </c>
      <c r="C1753" s="948" t="s">
        <v>400</v>
      </c>
      <c r="D1753" s="947" t="s">
        <v>17</v>
      </c>
      <c r="E1753" s="949">
        <v>84002</v>
      </c>
      <c r="F1753" s="950">
        <v>11</v>
      </c>
      <c r="G1753" s="951">
        <v>8</v>
      </c>
      <c r="H1753" s="951">
        <v>7.61</v>
      </c>
      <c r="I1753" s="18"/>
    </row>
    <row r="1754" spans="1:9">
      <c r="A1754" s="943" t="s">
        <v>81</v>
      </c>
      <c r="B1754" s="944">
        <v>697.1</v>
      </c>
      <c r="C1754" s="944" t="s">
        <v>401</v>
      </c>
      <c r="D1754" s="943" t="s">
        <v>2</v>
      </c>
      <c r="E1754" s="952">
        <v>15062</v>
      </c>
      <c r="F1754" s="945">
        <v>66</v>
      </c>
      <c r="G1754" s="946">
        <v>225</v>
      </c>
      <c r="H1754" s="946">
        <v>223.6</v>
      </c>
    </row>
    <row r="1755" spans="1:9" s="26" customFormat="1">
      <c r="A1755" s="947" t="s">
        <v>81</v>
      </c>
      <c r="B1755" s="948">
        <v>697.2</v>
      </c>
      <c r="C1755" s="948" t="s">
        <v>402</v>
      </c>
      <c r="D1755" s="947" t="s">
        <v>17</v>
      </c>
      <c r="E1755" s="949">
        <v>16410</v>
      </c>
      <c r="F1755" s="950">
        <v>6</v>
      </c>
      <c r="G1755" s="951">
        <v>50</v>
      </c>
      <c r="H1755" s="951">
        <v>46.09</v>
      </c>
      <c r="I1755" s="18"/>
    </row>
    <row r="1756" spans="1:9">
      <c r="A1756" s="943" t="s">
        <v>81</v>
      </c>
      <c r="B1756" s="944">
        <v>698.1</v>
      </c>
      <c r="C1756" s="944" t="s">
        <v>403</v>
      </c>
      <c r="D1756" s="943" t="s">
        <v>1</v>
      </c>
      <c r="E1756" s="952">
        <v>63690</v>
      </c>
      <c r="F1756" s="945">
        <v>10</v>
      </c>
      <c r="G1756" s="946">
        <v>9</v>
      </c>
      <c r="H1756" s="946">
        <v>8.9600000000000009</v>
      </c>
    </row>
    <row r="1757" spans="1:9" s="26" customFormat="1">
      <c r="A1757" s="947" t="s">
        <v>81</v>
      </c>
      <c r="B1757" s="948">
        <v>698.2</v>
      </c>
      <c r="C1757" s="948" t="s">
        <v>63</v>
      </c>
      <c r="D1757" s="947" t="s">
        <v>1</v>
      </c>
      <c r="E1757" s="949">
        <v>5250</v>
      </c>
      <c r="F1757" s="950">
        <v>1</v>
      </c>
      <c r="G1757" s="951">
        <v>9.5</v>
      </c>
      <c r="H1757" s="951">
        <v>8.67</v>
      </c>
      <c r="I1757" s="18"/>
    </row>
    <row r="1758" spans="1:9">
      <c r="A1758" s="943" t="s">
        <v>81</v>
      </c>
      <c r="B1758" s="944">
        <v>698.3</v>
      </c>
      <c r="C1758" s="944" t="s">
        <v>404</v>
      </c>
      <c r="D1758" s="943" t="s">
        <v>1</v>
      </c>
      <c r="E1758" s="952">
        <v>20463</v>
      </c>
      <c r="F1758" s="945">
        <v>24</v>
      </c>
      <c r="G1758" s="946">
        <v>10</v>
      </c>
      <c r="H1758" s="946">
        <v>9.49</v>
      </c>
    </row>
    <row r="1759" spans="1:9" s="26" customFormat="1">
      <c r="A1759" s="947" t="s">
        <v>81</v>
      </c>
      <c r="B1759" s="948">
        <v>698.4</v>
      </c>
      <c r="C1759" s="948" t="s">
        <v>405</v>
      </c>
      <c r="D1759" s="947" t="s">
        <v>1</v>
      </c>
      <c r="E1759" s="949">
        <v>18555</v>
      </c>
      <c r="F1759" s="950">
        <v>12</v>
      </c>
      <c r="G1759" s="951">
        <v>10</v>
      </c>
      <c r="H1759" s="951">
        <v>8.6999999999999993</v>
      </c>
      <c r="I1759" s="18"/>
    </row>
    <row r="1760" spans="1:9">
      <c r="A1760" s="943" t="s">
        <v>81</v>
      </c>
      <c r="B1760" s="944">
        <v>701</v>
      </c>
      <c r="C1760" s="944" t="s">
        <v>406</v>
      </c>
      <c r="D1760" s="943" t="s">
        <v>1</v>
      </c>
      <c r="E1760" s="952">
        <v>470061</v>
      </c>
      <c r="F1760" s="945">
        <v>70</v>
      </c>
      <c r="G1760" s="946">
        <v>95</v>
      </c>
      <c r="H1760" s="946">
        <v>93.24</v>
      </c>
    </row>
    <row r="1761" spans="1:9" s="26" customFormat="1">
      <c r="A1761" s="947" t="s">
        <v>81</v>
      </c>
      <c r="B1761" s="948">
        <v>701.1</v>
      </c>
      <c r="C1761" s="948" t="s">
        <v>407</v>
      </c>
      <c r="D1761" s="947" t="s">
        <v>1</v>
      </c>
      <c r="E1761" s="949">
        <v>144077</v>
      </c>
      <c r="F1761" s="950">
        <v>43</v>
      </c>
      <c r="G1761" s="951">
        <v>105</v>
      </c>
      <c r="H1761" s="951">
        <v>103.5</v>
      </c>
      <c r="I1761" s="18"/>
    </row>
    <row r="1762" spans="1:9">
      <c r="A1762" s="943" t="s">
        <v>81</v>
      </c>
      <c r="B1762" s="944">
        <v>701.2</v>
      </c>
      <c r="C1762" s="944" t="s">
        <v>1422</v>
      </c>
      <c r="D1762" s="943" t="s">
        <v>1</v>
      </c>
      <c r="E1762" s="952">
        <v>121091</v>
      </c>
      <c r="F1762" s="945">
        <v>61</v>
      </c>
      <c r="G1762" s="946">
        <v>135</v>
      </c>
      <c r="H1762" s="946">
        <v>131.79</v>
      </c>
    </row>
    <row r="1763" spans="1:9" s="26" customFormat="1">
      <c r="A1763" s="947" t="s">
        <v>81</v>
      </c>
      <c r="B1763" s="948">
        <v>702</v>
      </c>
      <c r="C1763" s="948" t="s">
        <v>1423</v>
      </c>
      <c r="D1763" s="947" t="s">
        <v>7</v>
      </c>
      <c r="E1763" s="949">
        <v>107214</v>
      </c>
      <c r="F1763" s="950">
        <v>69</v>
      </c>
      <c r="G1763" s="951">
        <v>288</v>
      </c>
      <c r="H1763" s="951">
        <v>284.92</v>
      </c>
      <c r="I1763" s="18"/>
    </row>
    <row r="1764" spans="1:9">
      <c r="A1764" s="943" t="s">
        <v>81</v>
      </c>
      <c r="B1764" s="944">
        <v>703.1</v>
      </c>
      <c r="C1764" s="944" t="s">
        <v>408</v>
      </c>
      <c r="D1764" s="943" t="s">
        <v>2</v>
      </c>
      <c r="E1764" s="945">
        <v>42</v>
      </c>
      <c r="F1764" s="945">
        <v>2</v>
      </c>
      <c r="G1764" s="946">
        <v>500</v>
      </c>
      <c r="H1764" s="946">
        <v>450</v>
      </c>
    </row>
    <row r="1765" spans="1:9" s="26" customFormat="1">
      <c r="A1765" s="947" t="s">
        <v>81</v>
      </c>
      <c r="B1765" s="948">
        <v>704.1</v>
      </c>
      <c r="C1765" s="948" t="s">
        <v>2509</v>
      </c>
      <c r="D1765" s="947" t="s">
        <v>7</v>
      </c>
      <c r="E1765" s="950">
        <v>55</v>
      </c>
      <c r="F1765" s="950">
        <v>2</v>
      </c>
      <c r="G1765" s="951">
        <v>112.5</v>
      </c>
      <c r="H1765" s="951">
        <v>137.13999999999999</v>
      </c>
      <c r="I1765" s="18"/>
    </row>
    <row r="1766" spans="1:9">
      <c r="A1766" s="943" t="s">
        <v>81</v>
      </c>
      <c r="B1766" s="944">
        <v>705.1</v>
      </c>
      <c r="C1766" s="944" t="s">
        <v>409</v>
      </c>
      <c r="D1766" s="943" t="s">
        <v>1</v>
      </c>
      <c r="E1766" s="945">
        <v>238</v>
      </c>
      <c r="F1766" s="945">
        <v>5</v>
      </c>
      <c r="G1766" s="946">
        <v>500</v>
      </c>
      <c r="H1766" s="946">
        <v>486.1</v>
      </c>
    </row>
    <row r="1767" spans="1:9" s="26" customFormat="1">
      <c r="A1767" s="947" t="s">
        <v>81</v>
      </c>
      <c r="B1767" s="948">
        <v>706</v>
      </c>
      <c r="C1767" s="948" t="s">
        <v>410</v>
      </c>
      <c r="D1767" s="947" t="s">
        <v>1</v>
      </c>
      <c r="E1767" s="950">
        <v>100</v>
      </c>
      <c r="F1767" s="950">
        <v>1</v>
      </c>
      <c r="G1767" s="951">
        <v>575</v>
      </c>
      <c r="H1767" s="951">
        <v>521</v>
      </c>
      <c r="I1767" s="18"/>
    </row>
    <row r="1768" spans="1:9">
      <c r="A1768" s="943" t="s">
        <v>81</v>
      </c>
      <c r="B1768" s="944">
        <v>706.1</v>
      </c>
      <c r="C1768" s="944" t="s">
        <v>411</v>
      </c>
      <c r="D1768" s="943" t="s">
        <v>1</v>
      </c>
      <c r="E1768" s="945">
        <v>768</v>
      </c>
      <c r="F1768" s="945">
        <v>9</v>
      </c>
      <c r="G1768" s="946">
        <v>467.5</v>
      </c>
      <c r="H1768" s="946">
        <v>444.77</v>
      </c>
    </row>
    <row r="1769" spans="1:9" s="26" customFormat="1">
      <c r="A1769" s="947" t="s">
        <v>81</v>
      </c>
      <c r="B1769" s="948">
        <v>707.1</v>
      </c>
      <c r="C1769" s="948" t="s">
        <v>60</v>
      </c>
      <c r="D1769" s="947" t="s">
        <v>2</v>
      </c>
      <c r="E1769" s="950">
        <v>57</v>
      </c>
      <c r="F1769" s="950">
        <v>5</v>
      </c>
      <c r="G1769" s="951">
        <v>4650</v>
      </c>
      <c r="H1769" s="951">
        <v>4673.4799999999996</v>
      </c>
      <c r="I1769" s="18"/>
    </row>
    <row r="1770" spans="1:9">
      <c r="A1770" s="943" t="s">
        <v>81</v>
      </c>
      <c r="B1770" s="944">
        <v>707.15</v>
      </c>
      <c r="C1770" s="944" t="s">
        <v>414</v>
      </c>
      <c r="D1770" s="943" t="s">
        <v>2</v>
      </c>
      <c r="E1770" s="945">
        <v>14</v>
      </c>
      <c r="F1770" s="945">
        <v>3</v>
      </c>
      <c r="G1770" s="946">
        <v>1550</v>
      </c>
      <c r="H1770" s="946">
        <v>1231.25</v>
      </c>
    </row>
    <row r="1771" spans="1:9" s="26" customFormat="1">
      <c r="A1771" s="947" t="s">
        <v>81</v>
      </c>
      <c r="B1771" s="948">
        <v>707.2</v>
      </c>
      <c r="C1771" s="948" t="s">
        <v>415</v>
      </c>
      <c r="D1771" s="947" t="s">
        <v>2</v>
      </c>
      <c r="E1771" s="950">
        <v>42</v>
      </c>
      <c r="F1771" s="950">
        <v>3</v>
      </c>
      <c r="G1771" s="951">
        <v>4100</v>
      </c>
      <c r="H1771" s="951">
        <v>3979.17</v>
      </c>
      <c r="I1771" s="18"/>
    </row>
    <row r="1772" spans="1:9">
      <c r="A1772" s="943" t="s">
        <v>81</v>
      </c>
      <c r="B1772" s="944">
        <v>707.6</v>
      </c>
      <c r="C1772" s="944" t="s">
        <v>2513</v>
      </c>
      <c r="D1772" s="943" t="s">
        <v>2</v>
      </c>
      <c r="E1772" s="945">
        <v>4</v>
      </c>
      <c r="F1772" s="945">
        <v>1</v>
      </c>
      <c r="G1772" s="946">
        <v>3625</v>
      </c>
      <c r="H1772" s="946">
        <v>3770.72</v>
      </c>
    </row>
    <row r="1773" spans="1:9" s="26" customFormat="1">
      <c r="A1773" s="947" t="s">
        <v>81</v>
      </c>
      <c r="B1773" s="948">
        <v>707.8</v>
      </c>
      <c r="C1773" s="948" t="s">
        <v>416</v>
      </c>
      <c r="D1773" s="947" t="s">
        <v>2</v>
      </c>
      <c r="E1773" s="950">
        <v>89</v>
      </c>
      <c r="F1773" s="950">
        <v>4</v>
      </c>
      <c r="G1773" s="951">
        <v>2000</v>
      </c>
      <c r="H1773" s="951">
        <v>2209.23</v>
      </c>
      <c r="I1773" s="18"/>
    </row>
    <row r="1774" spans="1:9">
      <c r="A1774" s="943" t="s">
        <v>81</v>
      </c>
      <c r="B1774" s="944">
        <v>707.9</v>
      </c>
      <c r="C1774" s="944" t="s">
        <v>61</v>
      </c>
      <c r="D1774" s="943" t="s">
        <v>2</v>
      </c>
      <c r="E1774" s="945">
        <v>49</v>
      </c>
      <c r="F1774" s="945">
        <v>3</v>
      </c>
      <c r="G1774" s="946">
        <v>2000</v>
      </c>
      <c r="H1774" s="946">
        <v>2099.6999999999998</v>
      </c>
    </row>
    <row r="1775" spans="1:9" s="26" customFormat="1">
      <c r="A1775" s="947" t="s">
        <v>81</v>
      </c>
      <c r="B1775" s="948">
        <v>710.3</v>
      </c>
      <c r="C1775" s="948" t="s">
        <v>48</v>
      </c>
      <c r="D1775" s="947" t="s">
        <v>2</v>
      </c>
      <c r="E1775" s="949">
        <v>1278</v>
      </c>
      <c r="F1775" s="950">
        <v>10</v>
      </c>
      <c r="G1775" s="951">
        <v>800</v>
      </c>
      <c r="H1775" s="951">
        <v>765.28</v>
      </c>
      <c r="I1775" s="18"/>
    </row>
    <row r="1776" spans="1:9">
      <c r="A1776" s="943" t="s">
        <v>81</v>
      </c>
      <c r="B1776" s="944">
        <v>710.4</v>
      </c>
      <c r="C1776" s="944" t="s">
        <v>417</v>
      </c>
      <c r="D1776" s="943" t="s">
        <v>2</v>
      </c>
      <c r="E1776" s="945">
        <v>895</v>
      </c>
      <c r="F1776" s="945">
        <v>15</v>
      </c>
      <c r="G1776" s="946">
        <v>900</v>
      </c>
      <c r="H1776" s="946">
        <v>844.69</v>
      </c>
    </row>
    <row r="1777" spans="1:9" s="26" customFormat="1">
      <c r="A1777" s="947" t="s">
        <v>81</v>
      </c>
      <c r="B1777" s="948">
        <v>711</v>
      </c>
      <c r="C1777" s="948" t="s">
        <v>418</v>
      </c>
      <c r="D1777" s="947" t="s">
        <v>2</v>
      </c>
      <c r="E1777" s="950">
        <v>343</v>
      </c>
      <c r="F1777" s="950">
        <v>23</v>
      </c>
      <c r="G1777" s="951">
        <v>727.5</v>
      </c>
      <c r="H1777" s="951">
        <v>729.71</v>
      </c>
      <c r="I1777" s="18"/>
    </row>
    <row r="1778" spans="1:9">
      <c r="A1778" s="943" t="s">
        <v>81</v>
      </c>
      <c r="B1778" s="944">
        <v>711.1</v>
      </c>
      <c r="C1778" s="944" t="s">
        <v>419</v>
      </c>
      <c r="D1778" s="943" t="s">
        <v>2</v>
      </c>
      <c r="E1778" s="945">
        <v>25</v>
      </c>
      <c r="F1778" s="945">
        <v>1</v>
      </c>
      <c r="G1778" s="946">
        <v>800</v>
      </c>
      <c r="H1778" s="946">
        <v>720</v>
      </c>
    </row>
    <row r="1779" spans="1:9" s="26" customFormat="1">
      <c r="A1779" s="947" t="s">
        <v>81</v>
      </c>
      <c r="B1779" s="948">
        <v>712</v>
      </c>
      <c r="C1779" s="948" t="s">
        <v>44</v>
      </c>
      <c r="D1779" s="947" t="s">
        <v>2</v>
      </c>
      <c r="E1779" s="950">
        <v>21</v>
      </c>
      <c r="F1779" s="950">
        <v>3</v>
      </c>
      <c r="G1779" s="951">
        <v>307.5</v>
      </c>
      <c r="H1779" s="951">
        <v>319</v>
      </c>
      <c r="I1779" s="18"/>
    </row>
    <row r="1780" spans="1:9">
      <c r="A1780" s="943" t="s">
        <v>81</v>
      </c>
      <c r="B1780" s="944">
        <v>714</v>
      </c>
      <c r="C1780" s="944" t="s">
        <v>420</v>
      </c>
      <c r="D1780" s="943" t="s">
        <v>2</v>
      </c>
      <c r="E1780" s="945">
        <v>11</v>
      </c>
      <c r="F1780" s="945">
        <v>4</v>
      </c>
      <c r="G1780" s="946">
        <v>5000</v>
      </c>
      <c r="H1780" s="946">
        <v>4518.18</v>
      </c>
    </row>
    <row r="1781" spans="1:9" s="26" customFormat="1">
      <c r="A1781" s="947" t="s">
        <v>81</v>
      </c>
      <c r="B1781" s="948">
        <v>714.1</v>
      </c>
      <c r="C1781" s="948" t="s">
        <v>421</v>
      </c>
      <c r="D1781" s="947" t="s">
        <v>22</v>
      </c>
      <c r="E1781" s="950">
        <v>2</v>
      </c>
      <c r="F1781" s="950">
        <v>1</v>
      </c>
      <c r="G1781" s="951">
        <v>2350</v>
      </c>
      <c r="H1781" s="951">
        <v>2175</v>
      </c>
      <c r="I1781" s="18"/>
    </row>
    <row r="1782" spans="1:9">
      <c r="A1782" s="943" t="s">
        <v>81</v>
      </c>
      <c r="B1782" s="944">
        <v>715</v>
      </c>
      <c r="C1782" s="944" t="s">
        <v>422</v>
      </c>
      <c r="D1782" s="943" t="s">
        <v>2</v>
      </c>
      <c r="E1782" s="952">
        <v>1516</v>
      </c>
      <c r="F1782" s="945">
        <v>22</v>
      </c>
      <c r="G1782" s="946">
        <v>250</v>
      </c>
      <c r="H1782" s="946">
        <v>254.63</v>
      </c>
    </row>
    <row r="1783" spans="1:9" s="26" customFormat="1">
      <c r="A1783" s="947" t="s">
        <v>81</v>
      </c>
      <c r="B1783" s="948">
        <v>715.1</v>
      </c>
      <c r="C1783" s="948" t="s">
        <v>423</v>
      </c>
      <c r="D1783" s="947" t="s">
        <v>2</v>
      </c>
      <c r="E1783" s="950">
        <v>30</v>
      </c>
      <c r="F1783" s="950">
        <v>7</v>
      </c>
      <c r="G1783" s="951">
        <v>497.5</v>
      </c>
      <c r="H1783" s="951">
        <v>421.82</v>
      </c>
      <c r="I1783" s="18"/>
    </row>
    <row r="1784" spans="1:9">
      <c r="A1784" s="943" t="s">
        <v>81</v>
      </c>
      <c r="B1784" s="944">
        <v>718.1</v>
      </c>
      <c r="C1784" s="944" t="s">
        <v>425</v>
      </c>
      <c r="D1784" s="943" t="s">
        <v>22</v>
      </c>
      <c r="E1784" s="945">
        <v>9</v>
      </c>
      <c r="F1784" s="945">
        <v>2</v>
      </c>
      <c r="G1784" s="946">
        <v>7195</v>
      </c>
      <c r="H1784" s="946">
        <v>6767.22</v>
      </c>
    </row>
    <row r="1785" spans="1:9" s="26" customFormat="1">
      <c r="A1785" s="947" t="s">
        <v>81</v>
      </c>
      <c r="B1785" s="948">
        <v>734</v>
      </c>
      <c r="C1785" s="948" t="s">
        <v>426</v>
      </c>
      <c r="D1785" s="947" t="s">
        <v>2</v>
      </c>
      <c r="E1785" s="950">
        <v>20</v>
      </c>
      <c r="F1785" s="950">
        <v>1</v>
      </c>
      <c r="G1785" s="951">
        <v>650</v>
      </c>
      <c r="H1785" s="951">
        <v>612.5</v>
      </c>
      <c r="I1785" s="18"/>
    </row>
    <row r="1786" spans="1:9">
      <c r="A1786" s="943" t="s">
        <v>81</v>
      </c>
      <c r="B1786" s="944">
        <v>734.52</v>
      </c>
      <c r="C1786" s="944" t="s">
        <v>623</v>
      </c>
      <c r="D1786" s="943" t="s">
        <v>2</v>
      </c>
      <c r="E1786" s="945">
        <v>2</v>
      </c>
      <c r="F1786" s="945">
        <v>1</v>
      </c>
      <c r="G1786" s="946">
        <v>250</v>
      </c>
      <c r="H1786" s="946">
        <v>225</v>
      </c>
    </row>
    <row r="1787" spans="1:9" s="26" customFormat="1">
      <c r="A1787" s="947" t="s">
        <v>81</v>
      </c>
      <c r="B1787" s="948">
        <v>740</v>
      </c>
      <c r="C1787" s="948" t="s">
        <v>4023</v>
      </c>
      <c r="D1787" s="947" t="s">
        <v>428</v>
      </c>
      <c r="E1787" s="949">
        <v>11112</v>
      </c>
      <c r="F1787" s="950">
        <v>104</v>
      </c>
      <c r="G1787" s="951">
        <v>3400</v>
      </c>
      <c r="H1787" s="951">
        <v>3395.89</v>
      </c>
      <c r="I1787" s="18"/>
    </row>
    <row r="1788" spans="1:9">
      <c r="A1788" s="943" t="s">
        <v>81</v>
      </c>
      <c r="B1788" s="944">
        <v>741</v>
      </c>
      <c r="C1788" s="944" t="s">
        <v>2524</v>
      </c>
      <c r="D1788" s="943" t="s">
        <v>428</v>
      </c>
      <c r="E1788" s="945">
        <v>72</v>
      </c>
      <c r="F1788" s="945">
        <v>2</v>
      </c>
      <c r="G1788" s="946">
        <v>2100</v>
      </c>
      <c r="H1788" s="946">
        <v>2375</v>
      </c>
    </row>
    <row r="1789" spans="1:9" s="26" customFormat="1">
      <c r="A1789" s="947" t="s">
        <v>81</v>
      </c>
      <c r="B1789" s="948">
        <v>745</v>
      </c>
      <c r="C1789" s="948" t="s">
        <v>1426</v>
      </c>
      <c r="D1789" s="947" t="s">
        <v>2</v>
      </c>
      <c r="E1789" s="950">
        <v>11</v>
      </c>
      <c r="F1789" s="950">
        <v>2</v>
      </c>
      <c r="G1789" s="951">
        <v>35000</v>
      </c>
      <c r="H1789" s="951">
        <v>36454.550000000003</v>
      </c>
      <c r="I1789" s="18"/>
    </row>
    <row r="1790" spans="1:9">
      <c r="A1790" s="943" t="s">
        <v>81</v>
      </c>
      <c r="B1790" s="944">
        <v>745.1</v>
      </c>
      <c r="C1790" s="944" t="s">
        <v>2526</v>
      </c>
      <c r="D1790" s="943" t="s">
        <v>22</v>
      </c>
      <c r="E1790" s="945">
        <v>5</v>
      </c>
      <c r="F1790" s="945">
        <v>1</v>
      </c>
      <c r="G1790" s="946">
        <v>13000</v>
      </c>
      <c r="H1790" s="946">
        <v>12600</v>
      </c>
    </row>
    <row r="1791" spans="1:9" s="26" customFormat="1">
      <c r="A1791" s="947" t="s">
        <v>81</v>
      </c>
      <c r="B1791" s="948">
        <v>747</v>
      </c>
      <c r="C1791" s="948" t="s">
        <v>429</v>
      </c>
      <c r="D1791" s="947" t="s">
        <v>22</v>
      </c>
      <c r="E1791" s="950">
        <v>15</v>
      </c>
      <c r="F1791" s="950">
        <v>7</v>
      </c>
      <c r="G1791" s="951">
        <v>8500</v>
      </c>
      <c r="H1791" s="951">
        <v>8312.6</v>
      </c>
      <c r="I1791" s="18"/>
    </row>
    <row r="1792" spans="1:9">
      <c r="A1792" s="943" t="s">
        <v>81</v>
      </c>
      <c r="B1792" s="944">
        <v>748</v>
      </c>
      <c r="C1792" s="944" t="s">
        <v>430</v>
      </c>
      <c r="D1792" s="943" t="s">
        <v>22</v>
      </c>
      <c r="E1792" s="945">
        <v>210</v>
      </c>
      <c r="F1792" s="945">
        <v>65</v>
      </c>
      <c r="G1792" s="946">
        <v>125000</v>
      </c>
      <c r="H1792" s="946">
        <v>110372.41</v>
      </c>
    </row>
    <row r="1793" spans="1:9" s="26" customFormat="1">
      <c r="A1793" s="947" t="s">
        <v>81</v>
      </c>
      <c r="B1793" s="948">
        <v>748.1</v>
      </c>
      <c r="C1793" s="948" t="s">
        <v>431</v>
      </c>
      <c r="D1793" s="947" t="s">
        <v>2</v>
      </c>
      <c r="E1793" s="950">
        <v>687</v>
      </c>
      <c r="F1793" s="950">
        <v>50</v>
      </c>
      <c r="G1793" s="951">
        <v>500</v>
      </c>
      <c r="H1793" s="951">
        <v>544.11</v>
      </c>
      <c r="I1793" s="18"/>
    </row>
    <row r="1794" spans="1:9">
      <c r="A1794" s="943" t="s">
        <v>81</v>
      </c>
      <c r="B1794" s="944">
        <v>751</v>
      </c>
      <c r="C1794" s="944" t="s">
        <v>3902</v>
      </c>
      <c r="D1794" s="943" t="s">
        <v>4</v>
      </c>
      <c r="E1794" s="952">
        <v>182679</v>
      </c>
      <c r="F1794" s="945">
        <v>79</v>
      </c>
      <c r="G1794" s="946">
        <v>84.5</v>
      </c>
      <c r="H1794" s="946">
        <v>83.91</v>
      </c>
    </row>
    <row r="1795" spans="1:9" s="26" customFormat="1">
      <c r="A1795" s="947" t="s">
        <v>81</v>
      </c>
      <c r="B1795" s="948">
        <v>751.1</v>
      </c>
      <c r="C1795" s="948" t="s">
        <v>4004</v>
      </c>
      <c r="D1795" s="947" t="s">
        <v>4</v>
      </c>
      <c r="E1795" s="949">
        <v>50911</v>
      </c>
      <c r="F1795" s="950">
        <v>27</v>
      </c>
      <c r="G1795" s="951">
        <v>85</v>
      </c>
      <c r="H1795" s="951">
        <v>84.18</v>
      </c>
      <c r="I1795" s="18"/>
    </row>
    <row r="1796" spans="1:9">
      <c r="A1796" s="943" t="s">
        <v>81</v>
      </c>
      <c r="B1796" s="944">
        <v>751.7</v>
      </c>
      <c r="C1796" s="944" t="s">
        <v>4005</v>
      </c>
      <c r="D1796" s="943" t="s">
        <v>4</v>
      </c>
      <c r="E1796" s="952">
        <v>4010</v>
      </c>
      <c r="F1796" s="945">
        <v>12</v>
      </c>
      <c r="G1796" s="946">
        <v>100</v>
      </c>
      <c r="H1796" s="946">
        <v>94.07</v>
      </c>
    </row>
    <row r="1797" spans="1:9" s="26" customFormat="1">
      <c r="A1797" s="947" t="s">
        <v>81</v>
      </c>
      <c r="B1797" s="948">
        <v>755.35</v>
      </c>
      <c r="C1797" s="948" t="s">
        <v>1428</v>
      </c>
      <c r="D1797" s="947" t="s">
        <v>22</v>
      </c>
      <c r="E1797" s="950">
        <v>36</v>
      </c>
      <c r="F1797" s="950">
        <v>12</v>
      </c>
      <c r="G1797" s="951">
        <v>18500</v>
      </c>
      <c r="H1797" s="951">
        <v>16131.25</v>
      </c>
      <c r="I1797" s="18"/>
    </row>
    <row r="1798" spans="1:9">
      <c r="A1798" s="943" t="s">
        <v>81</v>
      </c>
      <c r="B1798" s="944">
        <v>755.45</v>
      </c>
      <c r="C1798" s="944" t="s">
        <v>1429</v>
      </c>
      <c r="D1798" s="943" t="s">
        <v>1</v>
      </c>
      <c r="E1798" s="952">
        <v>3075</v>
      </c>
      <c r="F1798" s="945">
        <v>5</v>
      </c>
      <c r="G1798" s="946">
        <v>88</v>
      </c>
      <c r="H1798" s="946">
        <v>91.12</v>
      </c>
    </row>
    <row r="1799" spans="1:9" s="26" customFormat="1">
      <c r="A1799" s="947" t="s">
        <v>81</v>
      </c>
      <c r="B1799" s="948">
        <v>755.75</v>
      </c>
      <c r="C1799" s="948" t="s">
        <v>1430</v>
      </c>
      <c r="D1799" s="947" t="s">
        <v>24</v>
      </c>
      <c r="E1799" s="949">
        <v>2767</v>
      </c>
      <c r="F1799" s="950">
        <v>13</v>
      </c>
      <c r="G1799" s="951">
        <v>190</v>
      </c>
      <c r="H1799" s="951">
        <v>178.29</v>
      </c>
      <c r="I1799" s="18"/>
    </row>
    <row r="1800" spans="1:9">
      <c r="A1800" s="943" t="s">
        <v>81</v>
      </c>
      <c r="B1800" s="944">
        <v>755.76</v>
      </c>
      <c r="C1800" s="944" t="s">
        <v>1431</v>
      </c>
      <c r="D1800" s="943" t="s">
        <v>22</v>
      </c>
      <c r="E1800" s="945">
        <v>33</v>
      </c>
      <c r="F1800" s="945">
        <v>10</v>
      </c>
      <c r="G1800" s="946">
        <v>7500</v>
      </c>
      <c r="H1800" s="946">
        <v>6990.91</v>
      </c>
    </row>
    <row r="1801" spans="1:9" s="26" customFormat="1">
      <c r="A1801" s="947" t="s">
        <v>81</v>
      </c>
      <c r="B1801" s="948">
        <v>756</v>
      </c>
      <c r="C1801" s="948" t="s">
        <v>432</v>
      </c>
      <c r="D1801" s="947" t="s">
        <v>22</v>
      </c>
      <c r="E1801" s="950">
        <v>157</v>
      </c>
      <c r="F1801" s="950">
        <v>45</v>
      </c>
      <c r="G1801" s="951">
        <v>10000</v>
      </c>
      <c r="H1801" s="951">
        <v>9219.57</v>
      </c>
      <c r="I1801" s="18"/>
    </row>
    <row r="1802" spans="1:9">
      <c r="A1802" s="943" t="s">
        <v>81</v>
      </c>
      <c r="B1802" s="944">
        <v>760</v>
      </c>
      <c r="C1802" s="944" t="s">
        <v>433</v>
      </c>
      <c r="D1802" s="943" t="s">
        <v>4</v>
      </c>
      <c r="E1802" s="952">
        <v>1510</v>
      </c>
      <c r="F1802" s="945">
        <v>2</v>
      </c>
      <c r="G1802" s="946">
        <v>109.5</v>
      </c>
      <c r="H1802" s="946">
        <v>118.35</v>
      </c>
    </row>
    <row r="1803" spans="1:9" s="26" customFormat="1">
      <c r="A1803" s="947" t="s">
        <v>81</v>
      </c>
      <c r="B1803" s="948">
        <v>765</v>
      </c>
      <c r="C1803" s="948" t="s">
        <v>34</v>
      </c>
      <c r="D1803" s="947" t="s">
        <v>1</v>
      </c>
      <c r="E1803" s="949">
        <v>1122635</v>
      </c>
      <c r="F1803" s="950">
        <v>64</v>
      </c>
      <c r="G1803" s="951">
        <v>3</v>
      </c>
      <c r="H1803" s="951">
        <v>2.86</v>
      </c>
      <c r="I1803" s="18"/>
    </row>
    <row r="1804" spans="1:9">
      <c r="A1804" s="943" t="s">
        <v>81</v>
      </c>
      <c r="B1804" s="944">
        <v>765.2</v>
      </c>
      <c r="C1804" s="944" t="s">
        <v>2531</v>
      </c>
      <c r="D1804" s="943" t="s">
        <v>1</v>
      </c>
      <c r="E1804" s="952">
        <v>21948</v>
      </c>
      <c r="F1804" s="945">
        <v>3</v>
      </c>
      <c r="G1804" s="946">
        <v>4.25</v>
      </c>
      <c r="H1804" s="946">
        <v>3.98</v>
      </c>
    </row>
    <row r="1805" spans="1:9" s="26" customFormat="1">
      <c r="A1805" s="947" t="s">
        <v>81</v>
      </c>
      <c r="B1805" s="948">
        <v>767.12099999999998</v>
      </c>
      <c r="C1805" s="948" t="s">
        <v>1436</v>
      </c>
      <c r="D1805" s="947" t="s">
        <v>17</v>
      </c>
      <c r="E1805" s="949">
        <v>797190</v>
      </c>
      <c r="F1805" s="950">
        <v>79</v>
      </c>
      <c r="G1805" s="951">
        <v>8</v>
      </c>
      <c r="H1805" s="951">
        <v>8.14</v>
      </c>
      <c r="I1805" s="18"/>
    </row>
    <row r="1806" spans="1:9">
      <c r="A1806" s="943" t="s">
        <v>81</v>
      </c>
      <c r="B1806" s="944">
        <v>767.2</v>
      </c>
      <c r="C1806" s="944" t="s">
        <v>438</v>
      </c>
      <c r="D1806" s="943" t="s">
        <v>1</v>
      </c>
      <c r="E1806" s="945">
        <v>675</v>
      </c>
      <c r="F1806" s="945">
        <v>1</v>
      </c>
      <c r="G1806" s="946">
        <v>3</v>
      </c>
      <c r="H1806" s="946">
        <v>2.67</v>
      </c>
    </row>
    <row r="1807" spans="1:9" s="26" customFormat="1">
      <c r="A1807" s="947" t="s">
        <v>81</v>
      </c>
      <c r="B1807" s="948">
        <v>767.31</v>
      </c>
      <c r="C1807" s="948" t="s">
        <v>439</v>
      </c>
      <c r="D1807" s="947" t="s">
        <v>1</v>
      </c>
      <c r="E1807" s="949">
        <v>28035</v>
      </c>
      <c r="F1807" s="950">
        <v>3</v>
      </c>
      <c r="G1807" s="951">
        <v>11</v>
      </c>
      <c r="H1807" s="951">
        <v>10.56</v>
      </c>
      <c r="I1807" s="18"/>
    </row>
    <row r="1808" spans="1:9">
      <c r="A1808" s="943" t="s">
        <v>81</v>
      </c>
      <c r="B1808" s="944">
        <v>767.4</v>
      </c>
      <c r="C1808" s="944" t="s">
        <v>440</v>
      </c>
      <c r="D1808" s="943" t="s">
        <v>4</v>
      </c>
      <c r="E1808" s="945">
        <v>445</v>
      </c>
      <c r="F1808" s="945">
        <v>3</v>
      </c>
      <c r="G1808" s="946">
        <v>90</v>
      </c>
      <c r="H1808" s="946">
        <v>101.72</v>
      </c>
    </row>
    <row r="1809" spans="1:9" s="26" customFormat="1">
      <c r="A1809" s="947" t="s">
        <v>81</v>
      </c>
      <c r="B1809" s="948">
        <v>767.6</v>
      </c>
      <c r="C1809" s="948" t="s">
        <v>441</v>
      </c>
      <c r="D1809" s="947" t="s">
        <v>4</v>
      </c>
      <c r="E1809" s="949">
        <v>5916</v>
      </c>
      <c r="F1809" s="950">
        <v>29</v>
      </c>
      <c r="G1809" s="951">
        <v>100</v>
      </c>
      <c r="H1809" s="951">
        <v>99.25</v>
      </c>
      <c r="I1809" s="18"/>
    </row>
    <row r="1810" spans="1:9">
      <c r="A1810" s="943" t="s">
        <v>81</v>
      </c>
      <c r="B1810" s="944">
        <v>767.8</v>
      </c>
      <c r="C1810" s="944" t="s">
        <v>442</v>
      </c>
      <c r="D1810" s="943" t="s">
        <v>2</v>
      </c>
      <c r="E1810" s="945">
        <v>24</v>
      </c>
      <c r="F1810" s="945">
        <v>1</v>
      </c>
      <c r="G1810" s="946">
        <v>27.5</v>
      </c>
      <c r="H1810" s="946">
        <v>27.5</v>
      </c>
    </row>
    <row r="1811" spans="1:9" s="26" customFormat="1">
      <c r="A1811" s="947" t="s">
        <v>81</v>
      </c>
      <c r="B1811" s="948">
        <v>767.9</v>
      </c>
      <c r="C1811" s="948" t="s">
        <v>1437</v>
      </c>
      <c r="D1811" s="947" t="s">
        <v>1</v>
      </c>
      <c r="E1811" s="949">
        <v>35790</v>
      </c>
      <c r="F1811" s="950">
        <v>12</v>
      </c>
      <c r="G1811" s="951">
        <v>8</v>
      </c>
      <c r="H1811" s="951">
        <v>7.37</v>
      </c>
      <c r="I1811" s="18"/>
    </row>
    <row r="1812" spans="1:9">
      <c r="A1812" s="943" t="s">
        <v>81</v>
      </c>
      <c r="B1812" s="944">
        <v>769</v>
      </c>
      <c r="C1812" s="944" t="s">
        <v>443</v>
      </c>
      <c r="D1812" s="943" t="s">
        <v>17</v>
      </c>
      <c r="E1812" s="952">
        <v>900303</v>
      </c>
      <c r="F1812" s="945">
        <v>44</v>
      </c>
      <c r="G1812" s="946">
        <v>12</v>
      </c>
      <c r="H1812" s="946">
        <v>10.99</v>
      </c>
    </row>
    <row r="1813" spans="1:9" s="26" customFormat="1">
      <c r="A1813" s="947" t="s">
        <v>81</v>
      </c>
      <c r="B1813" s="948">
        <v>772.03599999999994</v>
      </c>
      <c r="C1813" s="948" t="s">
        <v>4011</v>
      </c>
      <c r="D1813" s="947" t="s">
        <v>2</v>
      </c>
      <c r="E1813" s="950">
        <v>162</v>
      </c>
      <c r="F1813" s="950">
        <v>2</v>
      </c>
      <c r="G1813" s="951">
        <v>419</v>
      </c>
      <c r="H1813" s="951">
        <v>421.45</v>
      </c>
      <c r="I1813" s="18"/>
    </row>
    <row r="1814" spans="1:9">
      <c r="A1814" s="943" t="s">
        <v>81</v>
      </c>
      <c r="B1814" s="944">
        <v>772.33299999999997</v>
      </c>
      <c r="C1814" s="944" t="s">
        <v>1470</v>
      </c>
      <c r="D1814" s="943" t="s">
        <v>2</v>
      </c>
      <c r="E1814" s="945">
        <v>56</v>
      </c>
      <c r="F1814" s="945">
        <v>1</v>
      </c>
      <c r="G1814" s="946">
        <v>160.5</v>
      </c>
      <c r="H1814" s="946">
        <v>159.43</v>
      </c>
    </row>
    <row r="1815" spans="1:9" s="26" customFormat="1">
      <c r="A1815" s="947" t="s">
        <v>81</v>
      </c>
      <c r="B1815" s="948">
        <v>773.22400000000005</v>
      </c>
      <c r="C1815" s="948" t="s">
        <v>1471</v>
      </c>
      <c r="D1815" s="947" t="s">
        <v>2</v>
      </c>
      <c r="E1815" s="950">
        <v>12</v>
      </c>
      <c r="F1815" s="950">
        <v>2</v>
      </c>
      <c r="G1815" s="951">
        <v>800</v>
      </c>
      <c r="H1815" s="951">
        <v>844.29</v>
      </c>
      <c r="I1815" s="18"/>
    </row>
    <row r="1816" spans="1:9">
      <c r="A1816" s="943" t="s">
        <v>81</v>
      </c>
      <c r="B1816" s="944">
        <v>773.43600000000004</v>
      </c>
      <c r="C1816" s="944" t="s">
        <v>445</v>
      </c>
      <c r="D1816" s="943" t="s">
        <v>2</v>
      </c>
      <c r="E1816" s="945">
        <v>45</v>
      </c>
      <c r="F1816" s="945">
        <v>2</v>
      </c>
      <c r="G1816" s="946">
        <v>700</v>
      </c>
      <c r="H1816" s="946">
        <v>681.31</v>
      </c>
    </row>
    <row r="1817" spans="1:9" s="26" customFormat="1">
      <c r="A1817" s="947" t="s">
        <v>81</v>
      </c>
      <c r="B1817" s="948">
        <v>775.14</v>
      </c>
      <c r="C1817" s="948" t="s">
        <v>2592</v>
      </c>
      <c r="D1817" s="947" t="s">
        <v>2</v>
      </c>
      <c r="E1817" s="950">
        <v>50</v>
      </c>
      <c r="F1817" s="950">
        <v>1</v>
      </c>
      <c r="G1817" s="951">
        <v>900</v>
      </c>
      <c r="H1817" s="951">
        <v>1040</v>
      </c>
      <c r="I1817" s="18"/>
    </row>
    <row r="1818" spans="1:9">
      <c r="A1818" s="943" t="s">
        <v>81</v>
      </c>
      <c r="B1818" s="944">
        <v>775.14700000000005</v>
      </c>
      <c r="C1818" s="944" t="s">
        <v>1438</v>
      </c>
      <c r="D1818" s="943" t="s">
        <v>2</v>
      </c>
      <c r="E1818" s="945">
        <v>14</v>
      </c>
      <c r="F1818" s="945">
        <v>1</v>
      </c>
      <c r="G1818" s="946">
        <v>800</v>
      </c>
      <c r="H1818" s="946">
        <v>833.57</v>
      </c>
    </row>
    <row r="1819" spans="1:9" s="26" customFormat="1">
      <c r="A1819" s="947" t="s">
        <v>81</v>
      </c>
      <c r="B1819" s="948">
        <v>775.43100000000004</v>
      </c>
      <c r="C1819" s="948" t="s">
        <v>4041</v>
      </c>
      <c r="D1819" s="947" t="s">
        <v>2</v>
      </c>
      <c r="E1819" s="950">
        <v>24</v>
      </c>
      <c r="F1819" s="950">
        <v>2</v>
      </c>
      <c r="G1819" s="951">
        <v>820</v>
      </c>
      <c r="H1819" s="951">
        <v>802.13</v>
      </c>
      <c r="I1819" s="18"/>
    </row>
    <row r="1820" spans="1:9">
      <c r="A1820" s="943" t="s">
        <v>81</v>
      </c>
      <c r="B1820" s="944">
        <v>775.43700000000001</v>
      </c>
      <c r="C1820" s="944" t="s">
        <v>4070</v>
      </c>
      <c r="D1820" s="943" t="s">
        <v>2</v>
      </c>
      <c r="E1820" s="945">
        <v>18</v>
      </c>
      <c r="F1820" s="945">
        <v>1</v>
      </c>
      <c r="G1820" s="946">
        <v>850</v>
      </c>
      <c r="H1820" s="946">
        <v>862.5</v>
      </c>
    </row>
    <row r="1821" spans="1:9" s="26" customFormat="1">
      <c r="A1821" s="947" t="s">
        <v>81</v>
      </c>
      <c r="B1821" s="948">
        <v>776.52300000000002</v>
      </c>
      <c r="C1821" s="948" t="s">
        <v>4012</v>
      </c>
      <c r="D1821" s="947" t="s">
        <v>2</v>
      </c>
      <c r="E1821" s="950">
        <v>125</v>
      </c>
      <c r="F1821" s="950">
        <v>4</v>
      </c>
      <c r="G1821" s="951">
        <v>800</v>
      </c>
      <c r="H1821" s="951">
        <v>768.81</v>
      </c>
      <c r="I1821" s="18"/>
    </row>
    <row r="1822" spans="1:9">
      <c r="A1822" s="943" t="s">
        <v>81</v>
      </c>
      <c r="B1822" s="944">
        <v>776.524</v>
      </c>
      <c r="C1822" s="944" t="s">
        <v>4071</v>
      </c>
      <c r="D1822" s="943" t="s">
        <v>2</v>
      </c>
      <c r="E1822" s="945">
        <v>51</v>
      </c>
      <c r="F1822" s="945">
        <v>1</v>
      </c>
      <c r="G1822" s="946">
        <v>825</v>
      </c>
      <c r="H1822" s="946">
        <v>825</v>
      </c>
    </row>
    <row r="1823" spans="1:9" s="26" customFormat="1">
      <c r="A1823" s="947" t="s">
        <v>81</v>
      </c>
      <c r="B1823" s="948">
        <v>776.53800000000001</v>
      </c>
      <c r="C1823" s="948" t="s">
        <v>4042</v>
      </c>
      <c r="D1823" s="947" t="s">
        <v>2</v>
      </c>
      <c r="E1823" s="950">
        <v>1</v>
      </c>
      <c r="F1823" s="950">
        <v>1</v>
      </c>
      <c r="G1823" s="951">
        <v>1300</v>
      </c>
      <c r="H1823" s="951">
        <v>1300</v>
      </c>
      <c r="I1823" s="18"/>
    </row>
    <row r="1824" spans="1:9">
      <c r="A1824" s="943" t="s">
        <v>81</v>
      </c>
      <c r="B1824" s="944">
        <v>776.54300000000001</v>
      </c>
      <c r="C1824" s="944" t="s">
        <v>4072</v>
      </c>
      <c r="D1824" s="943" t="s">
        <v>2</v>
      </c>
      <c r="E1824" s="945">
        <v>13</v>
      </c>
      <c r="F1824" s="945">
        <v>2</v>
      </c>
      <c r="G1824" s="946">
        <v>900</v>
      </c>
      <c r="H1824" s="946">
        <v>925</v>
      </c>
    </row>
    <row r="1825" spans="1:9" s="26" customFormat="1">
      <c r="A1825" s="947" t="s">
        <v>81</v>
      </c>
      <c r="B1825" s="948">
        <v>776.55600000000004</v>
      </c>
      <c r="C1825" s="948" t="s">
        <v>4043</v>
      </c>
      <c r="D1825" s="947" t="s">
        <v>2</v>
      </c>
      <c r="E1825" s="950">
        <v>54</v>
      </c>
      <c r="F1825" s="950">
        <v>1</v>
      </c>
      <c r="G1825" s="951">
        <v>649.88</v>
      </c>
      <c r="H1825" s="951">
        <v>671.29</v>
      </c>
      <c r="I1825" s="18"/>
    </row>
    <row r="1826" spans="1:9">
      <c r="A1826" s="943" t="s">
        <v>81</v>
      </c>
      <c r="B1826" s="944">
        <v>776.55700000000002</v>
      </c>
      <c r="C1826" s="944" t="s">
        <v>4013</v>
      </c>
      <c r="D1826" s="943" t="s">
        <v>2</v>
      </c>
      <c r="E1826" s="945">
        <v>8</v>
      </c>
      <c r="F1826" s="945">
        <v>1</v>
      </c>
      <c r="G1826" s="946">
        <v>931.5</v>
      </c>
      <c r="H1826" s="946">
        <v>902.25</v>
      </c>
    </row>
    <row r="1827" spans="1:9" s="26" customFormat="1">
      <c r="A1827" s="947" t="s">
        <v>81</v>
      </c>
      <c r="B1827" s="948">
        <v>776.83600000000001</v>
      </c>
      <c r="C1827" s="948" t="s">
        <v>1477</v>
      </c>
      <c r="D1827" s="947" t="s">
        <v>2</v>
      </c>
      <c r="E1827" s="950">
        <v>34</v>
      </c>
      <c r="F1827" s="950">
        <v>2</v>
      </c>
      <c r="G1827" s="951">
        <v>1000</v>
      </c>
      <c r="H1827" s="951">
        <v>1003.23</v>
      </c>
      <c r="I1827" s="18"/>
    </row>
    <row r="1828" spans="1:9">
      <c r="A1828" s="943" t="s">
        <v>81</v>
      </c>
      <c r="B1828" s="944">
        <v>776.84100000000001</v>
      </c>
      <c r="C1828" s="944" t="s">
        <v>4044</v>
      </c>
      <c r="D1828" s="943" t="s">
        <v>2</v>
      </c>
      <c r="E1828" s="945">
        <v>15</v>
      </c>
      <c r="F1828" s="945">
        <v>1</v>
      </c>
      <c r="G1828" s="946">
        <v>971.57</v>
      </c>
      <c r="H1828" s="946">
        <v>964.63</v>
      </c>
    </row>
    <row r="1829" spans="1:9" s="26" customFormat="1">
      <c r="A1829" s="947" t="s">
        <v>81</v>
      </c>
      <c r="B1829" s="948">
        <v>777.24</v>
      </c>
      <c r="C1829" s="948" t="s">
        <v>4045</v>
      </c>
      <c r="D1829" s="947" t="s">
        <v>2</v>
      </c>
      <c r="E1829" s="950">
        <v>72</v>
      </c>
      <c r="F1829" s="950">
        <v>1</v>
      </c>
      <c r="G1829" s="951">
        <v>664.44</v>
      </c>
      <c r="H1829" s="951">
        <v>678.65</v>
      </c>
      <c r="I1829" s="18"/>
    </row>
    <row r="1830" spans="1:9">
      <c r="A1830" s="943" t="s">
        <v>81</v>
      </c>
      <c r="B1830" s="944">
        <v>777.26099999999997</v>
      </c>
      <c r="C1830" s="944" t="s">
        <v>454</v>
      </c>
      <c r="D1830" s="943" t="s">
        <v>2</v>
      </c>
      <c r="E1830" s="945">
        <v>24</v>
      </c>
      <c r="F1830" s="945">
        <v>2</v>
      </c>
      <c r="G1830" s="946">
        <v>712.5</v>
      </c>
      <c r="H1830" s="946">
        <v>714.64</v>
      </c>
    </row>
    <row r="1831" spans="1:9" s="26" customFormat="1">
      <c r="A1831" s="947" t="s">
        <v>81</v>
      </c>
      <c r="B1831" s="948">
        <v>777.32799999999997</v>
      </c>
      <c r="C1831" s="948" t="s">
        <v>4046</v>
      </c>
      <c r="D1831" s="947" t="s">
        <v>2</v>
      </c>
      <c r="E1831" s="950">
        <v>55</v>
      </c>
      <c r="F1831" s="950">
        <v>3</v>
      </c>
      <c r="G1831" s="951">
        <v>1138</v>
      </c>
      <c r="H1831" s="951">
        <v>1228.46</v>
      </c>
      <c r="I1831" s="18"/>
    </row>
    <row r="1832" spans="1:9">
      <c r="A1832" s="943" t="s">
        <v>81</v>
      </c>
      <c r="B1832" s="944">
        <v>777.44200000000001</v>
      </c>
      <c r="C1832" s="944" t="s">
        <v>1480</v>
      </c>
      <c r="D1832" s="943" t="s">
        <v>2</v>
      </c>
      <c r="E1832" s="945">
        <v>20</v>
      </c>
      <c r="F1832" s="945">
        <v>1</v>
      </c>
      <c r="G1832" s="946">
        <v>660</v>
      </c>
      <c r="H1832" s="946">
        <v>695.25</v>
      </c>
    </row>
    <row r="1833" spans="1:9" s="26" customFormat="1">
      <c r="A1833" s="947" t="s">
        <v>81</v>
      </c>
      <c r="B1833" s="948">
        <v>777.67200000000003</v>
      </c>
      <c r="C1833" s="948" t="s">
        <v>4047</v>
      </c>
      <c r="D1833" s="947" t="s">
        <v>2</v>
      </c>
      <c r="E1833" s="950">
        <v>25</v>
      </c>
      <c r="F1833" s="950">
        <v>1</v>
      </c>
      <c r="G1833" s="951">
        <v>700</v>
      </c>
      <c r="H1833" s="951">
        <v>744.5</v>
      </c>
      <c r="I1833" s="18"/>
    </row>
    <row r="1834" spans="1:9">
      <c r="A1834" s="943" t="s">
        <v>81</v>
      </c>
      <c r="B1834" s="944">
        <v>777.673</v>
      </c>
      <c r="C1834" s="944" t="s">
        <v>4006</v>
      </c>
      <c r="D1834" s="943" t="s">
        <v>2</v>
      </c>
      <c r="E1834" s="945">
        <v>29</v>
      </c>
      <c r="F1834" s="945">
        <v>4</v>
      </c>
      <c r="G1834" s="946">
        <v>904.5</v>
      </c>
      <c r="H1834" s="946">
        <v>913.8</v>
      </c>
    </row>
    <row r="1835" spans="1:9" s="26" customFormat="1">
      <c r="A1835" s="947" t="s">
        <v>81</v>
      </c>
      <c r="B1835" s="948">
        <v>778.16</v>
      </c>
      <c r="C1835" s="948" t="s">
        <v>4048</v>
      </c>
      <c r="D1835" s="947" t="s">
        <v>2</v>
      </c>
      <c r="E1835" s="950">
        <v>24</v>
      </c>
      <c r="F1835" s="950">
        <v>1</v>
      </c>
      <c r="G1835" s="951">
        <v>200</v>
      </c>
      <c r="H1835" s="951">
        <v>216.67</v>
      </c>
      <c r="I1835" s="18"/>
    </row>
    <row r="1836" spans="1:9">
      <c r="A1836" s="943" t="s">
        <v>81</v>
      </c>
      <c r="B1836" s="944">
        <v>778.38300000000004</v>
      </c>
      <c r="C1836" s="944" t="s">
        <v>2674</v>
      </c>
      <c r="D1836" s="943" t="s">
        <v>2</v>
      </c>
      <c r="E1836" s="945">
        <v>109</v>
      </c>
      <c r="F1836" s="945">
        <v>3</v>
      </c>
      <c r="G1836" s="946">
        <v>680</v>
      </c>
      <c r="H1836" s="946">
        <v>844.6</v>
      </c>
    </row>
    <row r="1837" spans="1:9" s="26" customFormat="1">
      <c r="A1837" s="947" t="s">
        <v>81</v>
      </c>
      <c r="B1837" s="948">
        <v>781.25300000000004</v>
      </c>
      <c r="C1837" s="948" t="s">
        <v>4049</v>
      </c>
      <c r="D1837" s="947" t="s">
        <v>2</v>
      </c>
      <c r="E1837" s="950">
        <v>18</v>
      </c>
      <c r="F1837" s="950">
        <v>1</v>
      </c>
      <c r="G1837" s="951">
        <v>693.56</v>
      </c>
      <c r="H1837" s="951">
        <v>705.85</v>
      </c>
      <c r="I1837" s="18"/>
    </row>
    <row r="1838" spans="1:9">
      <c r="A1838" s="943" t="s">
        <v>81</v>
      </c>
      <c r="B1838" s="944">
        <v>781.28399999999999</v>
      </c>
      <c r="C1838" s="944" t="s">
        <v>4024</v>
      </c>
      <c r="D1838" s="943" t="s">
        <v>2</v>
      </c>
      <c r="E1838" s="945">
        <v>36</v>
      </c>
      <c r="F1838" s="945">
        <v>1</v>
      </c>
      <c r="G1838" s="946">
        <v>550</v>
      </c>
      <c r="H1838" s="946">
        <v>478.13</v>
      </c>
    </row>
    <row r="1839" spans="1:9" s="26" customFormat="1">
      <c r="A1839" s="947" t="s">
        <v>81</v>
      </c>
      <c r="B1839" s="948">
        <v>781.57799999999997</v>
      </c>
      <c r="C1839" s="948" t="s">
        <v>4050</v>
      </c>
      <c r="D1839" s="947" t="s">
        <v>2</v>
      </c>
      <c r="E1839" s="950">
        <v>46</v>
      </c>
      <c r="F1839" s="950">
        <v>2</v>
      </c>
      <c r="G1839" s="951">
        <v>750</v>
      </c>
      <c r="H1839" s="951">
        <v>793.11</v>
      </c>
      <c r="I1839" s="18"/>
    </row>
    <row r="1840" spans="1:9">
      <c r="A1840" s="943" t="s">
        <v>81</v>
      </c>
      <c r="B1840" s="944">
        <v>782.53300000000002</v>
      </c>
      <c r="C1840" s="944" t="s">
        <v>4051</v>
      </c>
      <c r="D1840" s="943" t="s">
        <v>2</v>
      </c>
      <c r="E1840" s="945">
        <v>12</v>
      </c>
      <c r="F1840" s="945">
        <v>1</v>
      </c>
      <c r="G1840" s="946">
        <v>795</v>
      </c>
      <c r="H1840" s="946">
        <v>751.75</v>
      </c>
    </row>
    <row r="1841" spans="1:9" s="26" customFormat="1">
      <c r="A1841" s="947" t="s">
        <v>81</v>
      </c>
      <c r="B1841" s="948">
        <v>782.53499999999997</v>
      </c>
      <c r="C1841" s="948" t="s">
        <v>4052</v>
      </c>
      <c r="D1841" s="947" t="s">
        <v>2</v>
      </c>
      <c r="E1841" s="950">
        <v>112</v>
      </c>
      <c r="F1841" s="950">
        <v>1</v>
      </c>
      <c r="G1841" s="951">
        <v>759.5</v>
      </c>
      <c r="H1841" s="951">
        <v>751.24</v>
      </c>
      <c r="I1841" s="18"/>
    </row>
    <row r="1842" spans="1:9">
      <c r="A1842" s="943" t="s">
        <v>81</v>
      </c>
      <c r="B1842" s="944">
        <v>782.53599999999994</v>
      </c>
      <c r="C1842" s="944" t="s">
        <v>4053</v>
      </c>
      <c r="D1842" s="943" t="s">
        <v>2</v>
      </c>
      <c r="E1842" s="945">
        <v>36</v>
      </c>
      <c r="F1842" s="945">
        <v>1</v>
      </c>
      <c r="G1842" s="946">
        <v>900</v>
      </c>
      <c r="H1842" s="946">
        <v>883.75</v>
      </c>
    </row>
    <row r="1843" spans="1:9" s="26" customFormat="1">
      <c r="A1843" s="947" t="s">
        <v>81</v>
      </c>
      <c r="B1843" s="948">
        <v>783.03599999999994</v>
      </c>
      <c r="C1843" s="948" t="s">
        <v>4054</v>
      </c>
      <c r="D1843" s="947" t="s">
        <v>2</v>
      </c>
      <c r="E1843" s="950">
        <v>93</v>
      </c>
      <c r="F1843" s="950">
        <v>4</v>
      </c>
      <c r="G1843" s="951">
        <v>425</v>
      </c>
      <c r="H1843" s="951">
        <v>431.57</v>
      </c>
      <c r="I1843" s="18"/>
    </row>
    <row r="1844" spans="1:9">
      <c r="A1844" s="943" t="s">
        <v>81</v>
      </c>
      <c r="B1844" s="944">
        <v>783.03899999999999</v>
      </c>
      <c r="C1844" s="944" t="s">
        <v>4055</v>
      </c>
      <c r="D1844" s="943" t="s">
        <v>2</v>
      </c>
      <c r="E1844" s="945">
        <v>20</v>
      </c>
      <c r="F1844" s="945">
        <v>3</v>
      </c>
      <c r="G1844" s="946">
        <v>1032.5</v>
      </c>
      <c r="H1844" s="946">
        <v>1072.5</v>
      </c>
    </row>
    <row r="1845" spans="1:9" s="26" customFormat="1">
      <c r="A1845" s="947" t="s">
        <v>81</v>
      </c>
      <c r="B1845" s="948">
        <v>783.04300000000001</v>
      </c>
      <c r="C1845" s="948" t="s">
        <v>4007</v>
      </c>
      <c r="D1845" s="947" t="s">
        <v>2</v>
      </c>
      <c r="E1845" s="950">
        <v>15</v>
      </c>
      <c r="F1845" s="950">
        <v>1</v>
      </c>
      <c r="G1845" s="951">
        <v>900</v>
      </c>
      <c r="H1845" s="951">
        <v>861</v>
      </c>
      <c r="I1845" s="18"/>
    </row>
    <row r="1846" spans="1:9">
      <c r="A1846" s="943" t="s">
        <v>81</v>
      </c>
      <c r="B1846" s="944">
        <v>783.44100000000003</v>
      </c>
      <c r="C1846" s="944" t="s">
        <v>4056</v>
      </c>
      <c r="D1846" s="943" t="s">
        <v>2</v>
      </c>
      <c r="E1846" s="945">
        <v>2</v>
      </c>
      <c r="F1846" s="945">
        <v>1</v>
      </c>
      <c r="G1846" s="946">
        <v>902.5</v>
      </c>
      <c r="H1846" s="946">
        <v>902.5</v>
      </c>
    </row>
    <row r="1847" spans="1:9" s="26" customFormat="1">
      <c r="A1847" s="947" t="s">
        <v>81</v>
      </c>
      <c r="B1847" s="948">
        <v>783.46500000000003</v>
      </c>
      <c r="C1847" s="948" t="s">
        <v>1491</v>
      </c>
      <c r="D1847" s="947" t="s">
        <v>2</v>
      </c>
      <c r="E1847" s="950">
        <v>36</v>
      </c>
      <c r="F1847" s="950">
        <v>2</v>
      </c>
      <c r="G1847" s="951">
        <v>875.63</v>
      </c>
      <c r="H1847" s="951">
        <v>918.91</v>
      </c>
      <c r="I1847" s="18"/>
    </row>
    <row r="1848" spans="1:9">
      <c r="A1848" s="943" t="s">
        <v>81</v>
      </c>
      <c r="B1848" s="944">
        <v>783.46699999999998</v>
      </c>
      <c r="C1848" s="944" t="s">
        <v>463</v>
      </c>
      <c r="D1848" s="943" t="s">
        <v>2</v>
      </c>
      <c r="E1848" s="945">
        <v>82</v>
      </c>
      <c r="F1848" s="945">
        <v>5</v>
      </c>
      <c r="G1848" s="946">
        <v>980</v>
      </c>
      <c r="H1848" s="946">
        <v>941.98</v>
      </c>
    </row>
    <row r="1849" spans="1:9" s="26" customFormat="1">
      <c r="A1849" s="947" t="s">
        <v>81</v>
      </c>
      <c r="B1849" s="948">
        <v>783.64499999999998</v>
      </c>
      <c r="C1849" s="948" t="s">
        <v>4073</v>
      </c>
      <c r="D1849" s="947" t="s">
        <v>2</v>
      </c>
      <c r="E1849" s="950">
        <v>3</v>
      </c>
      <c r="F1849" s="950">
        <v>1</v>
      </c>
      <c r="G1849" s="951">
        <v>850</v>
      </c>
      <c r="H1849" s="951">
        <v>858.33</v>
      </c>
      <c r="I1849" s="18"/>
    </row>
    <row r="1850" spans="1:9">
      <c r="A1850" s="943" t="s">
        <v>81</v>
      </c>
      <c r="B1850" s="944">
        <v>785.73099999999999</v>
      </c>
      <c r="C1850" s="944" t="s">
        <v>4014</v>
      </c>
      <c r="D1850" s="943" t="s">
        <v>2</v>
      </c>
      <c r="E1850" s="945">
        <v>68</v>
      </c>
      <c r="F1850" s="945">
        <v>1</v>
      </c>
      <c r="G1850" s="946">
        <v>95</v>
      </c>
      <c r="H1850" s="946">
        <v>80</v>
      </c>
    </row>
    <row r="1851" spans="1:9" s="26" customFormat="1">
      <c r="A1851" s="947" t="s">
        <v>81</v>
      </c>
      <c r="B1851" s="948">
        <v>785.73400000000004</v>
      </c>
      <c r="C1851" s="948" t="s">
        <v>4025</v>
      </c>
      <c r="D1851" s="947" t="s">
        <v>2</v>
      </c>
      <c r="E1851" s="950">
        <v>3</v>
      </c>
      <c r="F1851" s="950">
        <v>1</v>
      </c>
      <c r="G1851" s="951">
        <v>230</v>
      </c>
      <c r="H1851" s="951">
        <v>230</v>
      </c>
      <c r="I1851" s="18"/>
    </row>
    <row r="1852" spans="1:9">
      <c r="A1852" s="943" t="s">
        <v>81</v>
      </c>
      <c r="B1852" s="944">
        <v>789.33299999999997</v>
      </c>
      <c r="C1852" s="944" t="s">
        <v>4015</v>
      </c>
      <c r="D1852" s="943" t="s">
        <v>2</v>
      </c>
      <c r="E1852" s="945">
        <v>218</v>
      </c>
      <c r="F1852" s="945">
        <v>4</v>
      </c>
      <c r="G1852" s="946">
        <v>139</v>
      </c>
      <c r="H1852" s="946">
        <v>136.57</v>
      </c>
    </row>
    <row r="1853" spans="1:9" s="26" customFormat="1">
      <c r="A1853" s="947" t="s">
        <v>81</v>
      </c>
      <c r="B1853" s="948">
        <v>789.43299999999999</v>
      </c>
      <c r="C1853" s="948" t="s">
        <v>4057</v>
      </c>
      <c r="D1853" s="947" t="s">
        <v>2</v>
      </c>
      <c r="E1853" s="950">
        <v>10</v>
      </c>
      <c r="F1853" s="950">
        <v>1</v>
      </c>
      <c r="G1853" s="951">
        <v>135</v>
      </c>
      <c r="H1853" s="951">
        <v>135</v>
      </c>
      <c r="I1853" s="18"/>
    </row>
    <row r="1854" spans="1:9">
      <c r="A1854" s="943" t="s">
        <v>81</v>
      </c>
      <c r="B1854" s="944">
        <v>789.63300000000004</v>
      </c>
      <c r="C1854" s="944" t="s">
        <v>4008</v>
      </c>
      <c r="D1854" s="943" t="s">
        <v>2</v>
      </c>
      <c r="E1854" s="945">
        <v>312</v>
      </c>
      <c r="F1854" s="945">
        <v>1</v>
      </c>
      <c r="G1854" s="946">
        <v>122.5</v>
      </c>
      <c r="H1854" s="946">
        <v>118</v>
      </c>
    </row>
    <row r="1855" spans="1:9" s="26" customFormat="1">
      <c r="A1855" s="947" t="s">
        <v>81</v>
      </c>
      <c r="B1855" s="948">
        <v>790.63099999999997</v>
      </c>
      <c r="C1855" s="948" t="s">
        <v>4026</v>
      </c>
      <c r="D1855" s="947" t="s">
        <v>2</v>
      </c>
      <c r="E1855" s="950">
        <v>120</v>
      </c>
      <c r="F1855" s="950">
        <v>1</v>
      </c>
      <c r="G1855" s="951">
        <v>67.5</v>
      </c>
      <c r="H1855" s="951">
        <v>69.17</v>
      </c>
      <c r="I1855" s="18"/>
    </row>
    <row r="1856" spans="1:9">
      <c r="A1856" s="943" t="s">
        <v>81</v>
      </c>
      <c r="B1856" s="944">
        <v>790.63300000000004</v>
      </c>
      <c r="C1856" s="944" t="s">
        <v>4058</v>
      </c>
      <c r="D1856" s="943" t="s">
        <v>2</v>
      </c>
      <c r="E1856" s="945">
        <v>36</v>
      </c>
      <c r="F1856" s="945">
        <v>1</v>
      </c>
      <c r="G1856" s="946">
        <v>105</v>
      </c>
      <c r="H1856" s="946">
        <v>106.25</v>
      </c>
    </row>
    <row r="1857" spans="1:9" s="26" customFormat="1">
      <c r="A1857" s="947" t="s">
        <v>81</v>
      </c>
      <c r="B1857" s="948">
        <v>790.71699999999998</v>
      </c>
      <c r="C1857" s="948" t="s">
        <v>4059</v>
      </c>
      <c r="D1857" s="947" t="s">
        <v>2</v>
      </c>
      <c r="E1857" s="950">
        <v>176</v>
      </c>
      <c r="F1857" s="950">
        <v>1</v>
      </c>
      <c r="G1857" s="951">
        <v>69</v>
      </c>
      <c r="H1857" s="951">
        <v>64</v>
      </c>
      <c r="I1857" s="18"/>
    </row>
    <row r="1858" spans="1:9">
      <c r="A1858" s="943" t="s">
        <v>81</v>
      </c>
      <c r="B1858" s="944">
        <v>790.71900000000005</v>
      </c>
      <c r="C1858" s="944" t="s">
        <v>4009</v>
      </c>
      <c r="D1858" s="943" t="s">
        <v>2</v>
      </c>
      <c r="E1858" s="945">
        <v>212</v>
      </c>
      <c r="F1858" s="945">
        <v>3</v>
      </c>
      <c r="G1858" s="946">
        <v>90</v>
      </c>
      <c r="H1858" s="946">
        <v>85.43</v>
      </c>
    </row>
    <row r="1859" spans="1:9" s="26" customFormat="1">
      <c r="A1859" s="947" t="s">
        <v>81</v>
      </c>
      <c r="B1859" s="948">
        <v>791.03300000000002</v>
      </c>
      <c r="C1859" s="948" t="s">
        <v>4016</v>
      </c>
      <c r="D1859" s="947" t="s">
        <v>2</v>
      </c>
      <c r="E1859" s="950">
        <v>72</v>
      </c>
      <c r="F1859" s="950">
        <v>1</v>
      </c>
      <c r="G1859" s="951">
        <v>78</v>
      </c>
      <c r="H1859" s="951">
        <v>80.17</v>
      </c>
      <c r="I1859" s="18"/>
    </row>
    <row r="1860" spans="1:9">
      <c r="A1860" s="943" t="s">
        <v>81</v>
      </c>
      <c r="B1860" s="944">
        <v>793.44500000000005</v>
      </c>
      <c r="C1860" s="944" t="s">
        <v>4060</v>
      </c>
      <c r="D1860" s="943" t="s">
        <v>2</v>
      </c>
      <c r="E1860" s="945">
        <v>98</v>
      </c>
      <c r="F1860" s="945">
        <v>2</v>
      </c>
      <c r="G1860" s="946">
        <v>60</v>
      </c>
      <c r="H1860" s="946">
        <v>70</v>
      </c>
    </row>
    <row r="1861" spans="1:9" s="26" customFormat="1">
      <c r="A1861" s="947" t="s">
        <v>81</v>
      </c>
      <c r="B1861" s="948">
        <v>794.33100000000002</v>
      </c>
      <c r="C1861" s="948" t="s">
        <v>4061</v>
      </c>
      <c r="D1861" s="947" t="s">
        <v>2</v>
      </c>
      <c r="E1861" s="949">
        <v>1168</v>
      </c>
      <c r="F1861" s="950">
        <v>3</v>
      </c>
      <c r="G1861" s="951">
        <v>100</v>
      </c>
      <c r="H1861" s="951">
        <v>85.71</v>
      </c>
      <c r="I1861" s="18"/>
    </row>
    <row r="1862" spans="1:9">
      <c r="A1862" s="943" t="s">
        <v>81</v>
      </c>
      <c r="B1862" s="944">
        <v>794.73699999999997</v>
      </c>
      <c r="C1862" s="944" t="s">
        <v>4010</v>
      </c>
      <c r="D1862" s="943" t="s">
        <v>2</v>
      </c>
      <c r="E1862" s="945">
        <v>95</v>
      </c>
      <c r="F1862" s="945">
        <v>2</v>
      </c>
      <c r="G1862" s="946">
        <v>57.5</v>
      </c>
      <c r="H1862" s="946">
        <v>67.14</v>
      </c>
    </row>
    <row r="1863" spans="1:9" s="26" customFormat="1">
      <c r="A1863" s="947" t="s">
        <v>81</v>
      </c>
      <c r="B1863" s="948">
        <v>794.803</v>
      </c>
      <c r="C1863" s="948" t="s">
        <v>4017</v>
      </c>
      <c r="D1863" s="947" t="s">
        <v>2</v>
      </c>
      <c r="E1863" s="950">
        <v>252</v>
      </c>
      <c r="F1863" s="950">
        <v>4</v>
      </c>
      <c r="G1863" s="951">
        <v>48.5</v>
      </c>
      <c r="H1863" s="951">
        <v>55.55</v>
      </c>
      <c r="I1863" s="18"/>
    </row>
    <row r="1864" spans="1:9">
      <c r="A1864" s="943" t="s">
        <v>81</v>
      </c>
      <c r="B1864" s="944">
        <v>795.00900000000001</v>
      </c>
      <c r="C1864" s="944" t="s">
        <v>4018</v>
      </c>
      <c r="D1864" s="943" t="s">
        <v>2</v>
      </c>
      <c r="E1864" s="945">
        <v>115</v>
      </c>
      <c r="F1864" s="945">
        <v>2</v>
      </c>
      <c r="G1864" s="946">
        <v>85</v>
      </c>
      <c r="H1864" s="946">
        <v>103.89</v>
      </c>
    </row>
    <row r="1865" spans="1:9" s="26" customFormat="1">
      <c r="A1865" s="947" t="s">
        <v>81</v>
      </c>
      <c r="B1865" s="948">
        <v>795.01300000000003</v>
      </c>
      <c r="C1865" s="948" t="s">
        <v>4027</v>
      </c>
      <c r="D1865" s="947" t="s">
        <v>2</v>
      </c>
      <c r="E1865" s="950">
        <v>132</v>
      </c>
      <c r="F1865" s="950">
        <v>1</v>
      </c>
      <c r="G1865" s="951">
        <v>85</v>
      </c>
      <c r="H1865" s="951">
        <v>81.63</v>
      </c>
      <c r="I1865" s="18"/>
    </row>
    <row r="1866" spans="1:9">
      <c r="A1866" s="943" t="s">
        <v>81</v>
      </c>
      <c r="B1866" s="944">
        <v>795.15099999999995</v>
      </c>
      <c r="C1866" s="944" t="s">
        <v>4019</v>
      </c>
      <c r="D1866" s="943" t="s">
        <v>2</v>
      </c>
      <c r="E1866" s="945">
        <v>16</v>
      </c>
      <c r="F1866" s="945">
        <v>1</v>
      </c>
      <c r="G1866" s="946">
        <v>69</v>
      </c>
      <c r="H1866" s="946">
        <v>64.63</v>
      </c>
    </row>
    <row r="1867" spans="1:9" s="26" customFormat="1">
      <c r="A1867" s="947" t="s">
        <v>81</v>
      </c>
      <c r="B1867" s="948">
        <v>795.15300000000002</v>
      </c>
      <c r="C1867" s="948" t="s">
        <v>4062</v>
      </c>
      <c r="D1867" s="947" t="s">
        <v>2</v>
      </c>
      <c r="E1867" s="950">
        <v>16</v>
      </c>
      <c r="F1867" s="950">
        <v>2</v>
      </c>
      <c r="G1867" s="951">
        <v>110</v>
      </c>
      <c r="H1867" s="951">
        <v>113.44</v>
      </c>
      <c r="I1867" s="18"/>
    </row>
    <row r="1868" spans="1:9">
      <c r="A1868" s="943" t="s">
        <v>81</v>
      </c>
      <c r="B1868" s="944">
        <v>795.15499999999997</v>
      </c>
      <c r="C1868" s="944" t="s">
        <v>4020</v>
      </c>
      <c r="D1868" s="943" t="s">
        <v>2</v>
      </c>
      <c r="E1868" s="945">
        <v>104</v>
      </c>
      <c r="F1868" s="945">
        <v>1</v>
      </c>
      <c r="G1868" s="946">
        <v>69</v>
      </c>
      <c r="H1868" s="946">
        <v>65.25</v>
      </c>
    </row>
    <row r="1869" spans="1:9" s="26" customFormat="1">
      <c r="A1869" s="947" t="s">
        <v>81</v>
      </c>
      <c r="B1869" s="948">
        <v>795.15700000000004</v>
      </c>
      <c r="C1869" s="948" t="s">
        <v>4063</v>
      </c>
      <c r="D1869" s="947" t="s">
        <v>2</v>
      </c>
      <c r="E1869" s="950">
        <v>106</v>
      </c>
      <c r="F1869" s="950">
        <v>2</v>
      </c>
      <c r="G1869" s="951">
        <v>105</v>
      </c>
      <c r="H1869" s="951">
        <v>112.15</v>
      </c>
      <c r="I1869" s="18"/>
    </row>
    <row r="1870" spans="1:9">
      <c r="A1870" s="943" t="s">
        <v>81</v>
      </c>
      <c r="B1870" s="944">
        <v>795.18899999999996</v>
      </c>
      <c r="C1870" s="944" t="s">
        <v>4064</v>
      </c>
      <c r="D1870" s="943" t="s">
        <v>2</v>
      </c>
      <c r="E1870" s="945">
        <v>32</v>
      </c>
      <c r="F1870" s="945">
        <v>1</v>
      </c>
      <c r="G1870" s="946">
        <v>95</v>
      </c>
      <c r="H1870" s="946">
        <v>95</v>
      </c>
    </row>
    <row r="1871" spans="1:9" s="26" customFormat="1">
      <c r="A1871" s="947" t="s">
        <v>81</v>
      </c>
      <c r="B1871" s="948">
        <v>795.43299999999999</v>
      </c>
      <c r="C1871" s="948" t="s">
        <v>4065</v>
      </c>
      <c r="D1871" s="947" t="s">
        <v>2</v>
      </c>
      <c r="E1871" s="950">
        <v>126</v>
      </c>
      <c r="F1871" s="950">
        <v>1</v>
      </c>
      <c r="G1871" s="951">
        <v>102.5</v>
      </c>
      <c r="H1871" s="951">
        <v>102</v>
      </c>
      <c r="I1871" s="18"/>
    </row>
    <row r="1872" spans="1:9">
      <c r="A1872" s="943" t="s">
        <v>81</v>
      </c>
      <c r="B1872" s="944">
        <v>801.22</v>
      </c>
      <c r="C1872" s="944" t="s">
        <v>3054</v>
      </c>
      <c r="D1872" s="943" t="s">
        <v>17</v>
      </c>
      <c r="E1872" s="952">
        <v>16620</v>
      </c>
      <c r="F1872" s="945">
        <v>1</v>
      </c>
      <c r="G1872" s="946">
        <v>60</v>
      </c>
      <c r="H1872" s="946">
        <v>61.67</v>
      </c>
    </row>
    <row r="1873" spans="1:9" s="26" customFormat="1">
      <c r="A1873" s="947" t="s">
        <v>81</v>
      </c>
      <c r="B1873" s="948">
        <v>801.24</v>
      </c>
      <c r="C1873" s="948" t="s">
        <v>3055</v>
      </c>
      <c r="D1873" s="947" t="s">
        <v>17</v>
      </c>
      <c r="E1873" s="949">
        <v>12400</v>
      </c>
      <c r="F1873" s="950">
        <v>1</v>
      </c>
      <c r="G1873" s="951">
        <v>70</v>
      </c>
      <c r="H1873" s="951">
        <v>62.5</v>
      </c>
      <c r="I1873" s="18"/>
    </row>
    <row r="1874" spans="1:9">
      <c r="A1874" s="943" t="s">
        <v>81</v>
      </c>
      <c r="B1874" s="944">
        <v>801.32</v>
      </c>
      <c r="C1874" s="944" t="s">
        <v>483</v>
      </c>
      <c r="D1874" s="943" t="s">
        <v>17</v>
      </c>
      <c r="E1874" s="952">
        <v>4805</v>
      </c>
      <c r="F1874" s="945">
        <v>3</v>
      </c>
      <c r="G1874" s="946">
        <v>100</v>
      </c>
      <c r="H1874" s="946">
        <v>100.28</v>
      </c>
    </row>
    <row r="1875" spans="1:9" s="26" customFormat="1">
      <c r="A1875" s="947" t="s">
        <v>81</v>
      </c>
      <c r="B1875" s="948">
        <v>801.34</v>
      </c>
      <c r="C1875" s="948" t="s">
        <v>1510</v>
      </c>
      <c r="D1875" s="947" t="s">
        <v>17</v>
      </c>
      <c r="E1875" s="950">
        <v>960</v>
      </c>
      <c r="F1875" s="950">
        <v>1</v>
      </c>
      <c r="G1875" s="951">
        <v>180</v>
      </c>
      <c r="H1875" s="951">
        <v>175</v>
      </c>
      <c r="I1875" s="18"/>
    </row>
    <row r="1876" spans="1:9">
      <c r="A1876" s="943" t="s">
        <v>81</v>
      </c>
      <c r="B1876" s="944">
        <v>801.42</v>
      </c>
      <c r="C1876" s="944" t="s">
        <v>484</v>
      </c>
      <c r="D1876" s="943" t="s">
        <v>17</v>
      </c>
      <c r="E1876" s="952">
        <v>6040</v>
      </c>
      <c r="F1876" s="945">
        <v>3</v>
      </c>
      <c r="G1876" s="946">
        <v>115</v>
      </c>
      <c r="H1876" s="946">
        <v>101.5</v>
      </c>
    </row>
    <row r="1877" spans="1:9" s="26" customFormat="1">
      <c r="A1877" s="947" t="s">
        <v>81</v>
      </c>
      <c r="B1877" s="948">
        <v>801.46</v>
      </c>
      <c r="C1877" s="948" t="s">
        <v>1512</v>
      </c>
      <c r="D1877" s="947" t="s">
        <v>17</v>
      </c>
      <c r="E1877" s="950">
        <v>960</v>
      </c>
      <c r="F1877" s="950">
        <v>1</v>
      </c>
      <c r="G1877" s="951">
        <v>240</v>
      </c>
      <c r="H1877" s="951">
        <v>263.33</v>
      </c>
      <c r="I1877" s="18"/>
    </row>
    <row r="1878" spans="1:9">
      <c r="A1878" s="943" t="s">
        <v>81</v>
      </c>
      <c r="B1878" s="944">
        <v>804.1</v>
      </c>
      <c r="C1878" s="944" t="s">
        <v>486</v>
      </c>
      <c r="D1878" s="943" t="s">
        <v>17</v>
      </c>
      <c r="E1878" s="952">
        <v>2100</v>
      </c>
      <c r="F1878" s="945">
        <v>3</v>
      </c>
      <c r="G1878" s="946">
        <v>62.5</v>
      </c>
      <c r="H1878" s="946">
        <v>53.3</v>
      </c>
    </row>
    <row r="1879" spans="1:9" s="26" customFormat="1">
      <c r="A1879" s="947" t="s">
        <v>81</v>
      </c>
      <c r="B1879" s="948">
        <v>804.15</v>
      </c>
      <c r="C1879" s="948" t="s">
        <v>1440</v>
      </c>
      <c r="D1879" s="947" t="s">
        <v>17</v>
      </c>
      <c r="E1879" s="949">
        <v>14400</v>
      </c>
      <c r="F1879" s="950">
        <v>1</v>
      </c>
      <c r="G1879" s="951">
        <v>111</v>
      </c>
      <c r="H1879" s="951">
        <v>111</v>
      </c>
      <c r="I1879" s="18"/>
    </row>
    <row r="1880" spans="1:9">
      <c r="A1880" s="943" t="s">
        <v>81</v>
      </c>
      <c r="B1880" s="944">
        <v>804.2</v>
      </c>
      <c r="C1880" s="944" t="s">
        <v>487</v>
      </c>
      <c r="D1880" s="943" t="s">
        <v>17</v>
      </c>
      <c r="E1880" s="952">
        <v>99595</v>
      </c>
      <c r="F1880" s="945">
        <v>16</v>
      </c>
      <c r="G1880" s="946">
        <v>56</v>
      </c>
      <c r="H1880" s="946">
        <v>52.18</v>
      </c>
    </row>
    <row r="1881" spans="1:9" s="26" customFormat="1">
      <c r="A1881" s="947" t="s">
        <v>81</v>
      </c>
      <c r="B1881" s="948">
        <v>804.3</v>
      </c>
      <c r="C1881" s="948" t="s">
        <v>488</v>
      </c>
      <c r="D1881" s="947" t="s">
        <v>17</v>
      </c>
      <c r="E1881" s="949">
        <v>227668</v>
      </c>
      <c r="F1881" s="950">
        <v>40</v>
      </c>
      <c r="G1881" s="951">
        <v>70</v>
      </c>
      <c r="H1881" s="951">
        <v>67.95</v>
      </c>
      <c r="I1881" s="18"/>
    </row>
    <row r="1882" spans="1:9">
      <c r="A1882" s="943" t="s">
        <v>81</v>
      </c>
      <c r="B1882" s="944">
        <v>804.4</v>
      </c>
      <c r="C1882" s="944" t="s">
        <v>489</v>
      </c>
      <c r="D1882" s="943" t="s">
        <v>17</v>
      </c>
      <c r="E1882" s="952">
        <v>41560</v>
      </c>
      <c r="F1882" s="945">
        <v>5</v>
      </c>
      <c r="G1882" s="946">
        <v>75</v>
      </c>
      <c r="H1882" s="946">
        <v>71.86</v>
      </c>
    </row>
    <row r="1883" spans="1:9" s="26" customFormat="1">
      <c r="A1883" s="947" t="s">
        <v>81</v>
      </c>
      <c r="B1883" s="948">
        <v>806.1</v>
      </c>
      <c r="C1883" s="948" t="s">
        <v>1441</v>
      </c>
      <c r="D1883" s="947" t="s">
        <v>17</v>
      </c>
      <c r="E1883" s="949">
        <v>7130</v>
      </c>
      <c r="F1883" s="950">
        <v>2</v>
      </c>
      <c r="G1883" s="951">
        <v>45.48</v>
      </c>
      <c r="H1883" s="951">
        <v>41.62</v>
      </c>
      <c r="I1883" s="18"/>
    </row>
    <row r="1884" spans="1:9">
      <c r="A1884" s="943" t="s">
        <v>81</v>
      </c>
      <c r="B1884" s="944">
        <v>806.2</v>
      </c>
      <c r="C1884" s="944" t="s">
        <v>490</v>
      </c>
      <c r="D1884" s="943" t="s">
        <v>17</v>
      </c>
      <c r="E1884" s="952">
        <v>2356</v>
      </c>
      <c r="F1884" s="945">
        <v>2</v>
      </c>
      <c r="G1884" s="946">
        <v>64</v>
      </c>
      <c r="H1884" s="946">
        <v>62.25</v>
      </c>
    </row>
    <row r="1885" spans="1:9" s="26" customFormat="1">
      <c r="A1885" s="947" t="s">
        <v>81</v>
      </c>
      <c r="B1885" s="948">
        <v>806.3</v>
      </c>
      <c r="C1885" s="948" t="s">
        <v>491</v>
      </c>
      <c r="D1885" s="947" t="s">
        <v>17</v>
      </c>
      <c r="E1885" s="949">
        <v>5032</v>
      </c>
      <c r="F1885" s="950">
        <v>4</v>
      </c>
      <c r="G1885" s="951">
        <v>80</v>
      </c>
      <c r="H1885" s="951">
        <v>89.44</v>
      </c>
      <c r="I1885" s="18"/>
    </row>
    <row r="1886" spans="1:9">
      <c r="A1886" s="943" t="s">
        <v>81</v>
      </c>
      <c r="B1886" s="944">
        <v>806.4</v>
      </c>
      <c r="C1886" s="944" t="s">
        <v>492</v>
      </c>
      <c r="D1886" s="943" t="s">
        <v>17</v>
      </c>
      <c r="E1886" s="952">
        <v>8400</v>
      </c>
      <c r="F1886" s="945">
        <v>2</v>
      </c>
      <c r="G1886" s="946">
        <v>154</v>
      </c>
      <c r="H1886" s="946">
        <v>164.67</v>
      </c>
    </row>
    <row r="1887" spans="1:9" s="26" customFormat="1">
      <c r="A1887" s="947" t="s">
        <v>81</v>
      </c>
      <c r="B1887" s="948">
        <v>809.07500000000005</v>
      </c>
      <c r="C1887" s="948" t="s">
        <v>3067</v>
      </c>
      <c r="D1887" s="947" t="s">
        <v>17</v>
      </c>
      <c r="E1887" s="949">
        <v>65814</v>
      </c>
      <c r="F1887" s="950">
        <v>1</v>
      </c>
      <c r="G1887" s="951">
        <v>29</v>
      </c>
      <c r="H1887" s="951">
        <v>29</v>
      </c>
      <c r="I1887" s="18"/>
    </row>
    <row r="1888" spans="1:9">
      <c r="A1888" s="943" t="s">
        <v>81</v>
      </c>
      <c r="B1888" s="944">
        <v>809.90700000000004</v>
      </c>
      <c r="C1888" s="944" t="s">
        <v>3074</v>
      </c>
      <c r="D1888" s="943" t="s">
        <v>17</v>
      </c>
      <c r="E1888" s="945">
        <v>450</v>
      </c>
      <c r="F1888" s="945">
        <v>1</v>
      </c>
      <c r="G1888" s="946">
        <v>28</v>
      </c>
      <c r="H1888" s="946">
        <v>29.33</v>
      </c>
    </row>
    <row r="1889" spans="1:9" s="26" customFormat="1">
      <c r="A1889" s="947" t="s">
        <v>81</v>
      </c>
      <c r="B1889" s="948">
        <v>811.22</v>
      </c>
      <c r="C1889" s="948" t="s">
        <v>496</v>
      </c>
      <c r="D1889" s="947" t="s">
        <v>2</v>
      </c>
      <c r="E1889" s="949">
        <v>1435</v>
      </c>
      <c r="F1889" s="950">
        <v>31</v>
      </c>
      <c r="G1889" s="951">
        <v>1990</v>
      </c>
      <c r="H1889" s="951">
        <v>1928.72</v>
      </c>
      <c r="I1889" s="18"/>
    </row>
    <row r="1890" spans="1:9">
      <c r="A1890" s="943" t="s">
        <v>81</v>
      </c>
      <c r="B1890" s="944">
        <v>811.23</v>
      </c>
      <c r="C1890" s="944" t="s">
        <v>497</v>
      </c>
      <c r="D1890" s="943" t="s">
        <v>2</v>
      </c>
      <c r="E1890" s="945">
        <v>67</v>
      </c>
      <c r="F1890" s="945">
        <v>4</v>
      </c>
      <c r="G1890" s="946">
        <v>2700</v>
      </c>
      <c r="H1890" s="946">
        <v>2452.29</v>
      </c>
    </row>
    <row r="1891" spans="1:9" s="26" customFormat="1">
      <c r="A1891" s="947" t="s">
        <v>81</v>
      </c>
      <c r="B1891" s="948">
        <v>811.27</v>
      </c>
      <c r="C1891" s="948" t="s">
        <v>499</v>
      </c>
      <c r="D1891" s="947" t="s">
        <v>2</v>
      </c>
      <c r="E1891" s="950">
        <v>259</v>
      </c>
      <c r="F1891" s="950">
        <v>2</v>
      </c>
      <c r="G1891" s="951">
        <v>2500</v>
      </c>
      <c r="H1891" s="951">
        <v>2263.84</v>
      </c>
      <c r="I1891" s="18"/>
    </row>
    <row r="1892" spans="1:9">
      <c r="A1892" s="943" t="s">
        <v>81</v>
      </c>
      <c r="B1892" s="944">
        <v>811.3</v>
      </c>
      <c r="C1892" s="944" t="s">
        <v>500</v>
      </c>
      <c r="D1892" s="943" t="s">
        <v>2</v>
      </c>
      <c r="E1892" s="945">
        <v>273</v>
      </c>
      <c r="F1892" s="945">
        <v>2</v>
      </c>
      <c r="G1892" s="946">
        <v>1362.5</v>
      </c>
      <c r="H1892" s="946">
        <v>1405</v>
      </c>
    </row>
    <row r="1893" spans="1:9" s="26" customFormat="1">
      <c r="A1893" s="947" t="s">
        <v>81</v>
      </c>
      <c r="B1893" s="948">
        <v>811.31</v>
      </c>
      <c r="C1893" s="948" t="s">
        <v>501</v>
      </c>
      <c r="D1893" s="947" t="s">
        <v>2</v>
      </c>
      <c r="E1893" s="949">
        <v>1469</v>
      </c>
      <c r="F1893" s="950">
        <v>32</v>
      </c>
      <c r="G1893" s="951">
        <v>1375</v>
      </c>
      <c r="H1893" s="951">
        <v>1363.13</v>
      </c>
      <c r="I1893" s="18"/>
    </row>
    <row r="1894" spans="1:9">
      <c r="A1894" s="943" t="s">
        <v>81</v>
      </c>
      <c r="B1894" s="944">
        <v>811.35</v>
      </c>
      <c r="C1894" s="944" t="s">
        <v>502</v>
      </c>
      <c r="D1894" s="943" t="s">
        <v>2</v>
      </c>
      <c r="E1894" s="945">
        <v>107</v>
      </c>
      <c r="F1894" s="945">
        <v>7</v>
      </c>
      <c r="G1894" s="946">
        <v>330</v>
      </c>
      <c r="H1894" s="946">
        <v>382.19</v>
      </c>
    </row>
    <row r="1895" spans="1:9" s="26" customFormat="1">
      <c r="A1895" s="947" t="s">
        <v>81</v>
      </c>
      <c r="B1895" s="948">
        <v>811.36</v>
      </c>
      <c r="C1895" s="948" t="s">
        <v>503</v>
      </c>
      <c r="D1895" s="947" t="s">
        <v>2</v>
      </c>
      <c r="E1895" s="950">
        <v>224</v>
      </c>
      <c r="F1895" s="950">
        <v>4</v>
      </c>
      <c r="G1895" s="951">
        <v>690</v>
      </c>
      <c r="H1895" s="951">
        <v>684.3</v>
      </c>
      <c r="I1895" s="18"/>
    </row>
    <row r="1896" spans="1:9">
      <c r="A1896" s="943" t="s">
        <v>81</v>
      </c>
      <c r="B1896" s="944">
        <v>811.37</v>
      </c>
      <c r="C1896" s="944" t="s">
        <v>504</v>
      </c>
      <c r="D1896" s="943" t="s">
        <v>2</v>
      </c>
      <c r="E1896" s="945">
        <v>880</v>
      </c>
      <c r="F1896" s="945">
        <v>12</v>
      </c>
      <c r="G1896" s="946">
        <v>460</v>
      </c>
      <c r="H1896" s="946">
        <v>417.83</v>
      </c>
    </row>
    <row r="1897" spans="1:9" s="26" customFormat="1">
      <c r="A1897" s="947" t="s">
        <v>81</v>
      </c>
      <c r="B1897" s="948">
        <v>811.38</v>
      </c>
      <c r="C1897" s="948" t="s">
        <v>3090</v>
      </c>
      <c r="D1897" s="947" t="s">
        <v>2</v>
      </c>
      <c r="E1897" s="950">
        <v>20</v>
      </c>
      <c r="F1897" s="950">
        <v>1</v>
      </c>
      <c r="G1897" s="951">
        <v>712.5</v>
      </c>
      <c r="H1897" s="951">
        <v>652.75</v>
      </c>
      <c r="I1897" s="18"/>
    </row>
    <row r="1898" spans="1:9">
      <c r="A1898" s="943" t="s">
        <v>81</v>
      </c>
      <c r="B1898" s="944">
        <v>811.39</v>
      </c>
      <c r="C1898" s="944" t="s">
        <v>505</v>
      </c>
      <c r="D1898" s="943" t="s">
        <v>2</v>
      </c>
      <c r="E1898" s="945">
        <v>40</v>
      </c>
      <c r="F1898" s="945">
        <v>4</v>
      </c>
      <c r="G1898" s="946">
        <v>300</v>
      </c>
      <c r="H1898" s="946">
        <v>293.75</v>
      </c>
    </row>
    <row r="1899" spans="1:9" s="26" customFormat="1">
      <c r="A1899" s="947" t="s">
        <v>81</v>
      </c>
      <c r="B1899" s="948">
        <v>811.62</v>
      </c>
      <c r="C1899" s="948" t="s">
        <v>4028</v>
      </c>
      <c r="D1899" s="947" t="s">
        <v>2</v>
      </c>
      <c r="E1899" s="950">
        <v>74</v>
      </c>
      <c r="F1899" s="950">
        <v>1</v>
      </c>
      <c r="G1899" s="951">
        <v>1120</v>
      </c>
      <c r="H1899" s="951">
        <v>1120</v>
      </c>
      <c r="I1899" s="18"/>
    </row>
    <row r="1900" spans="1:9">
      <c r="A1900" s="943" t="s">
        <v>81</v>
      </c>
      <c r="B1900" s="944">
        <v>811.87</v>
      </c>
      <c r="C1900" s="944" t="s">
        <v>4066</v>
      </c>
      <c r="D1900" s="943" t="s">
        <v>2</v>
      </c>
      <c r="E1900" s="945">
        <v>8</v>
      </c>
      <c r="F1900" s="945">
        <v>1</v>
      </c>
      <c r="G1900" s="946">
        <v>2500</v>
      </c>
      <c r="H1900" s="946">
        <v>2100</v>
      </c>
    </row>
    <row r="1901" spans="1:9" s="26" customFormat="1">
      <c r="A1901" s="947" t="s">
        <v>81</v>
      </c>
      <c r="B1901" s="948">
        <v>812.09</v>
      </c>
      <c r="C1901" s="948" t="s">
        <v>506</v>
      </c>
      <c r="D1901" s="947" t="s">
        <v>2</v>
      </c>
      <c r="E1901" s="950">
        <v>810</v>
      </c>
      <c r="F1901" s="950">
        <v>4</v>
      </c>
      <c r="G1901" s="951">
        <v>3400</v>
      </c>
      <c r="H1901" s="951">
        <v>2719.9</v>
      </c>
      <c r="I1901" s="18"/>
    </row>
    <row r="1902" spans="1:9">
      <c r="A1902" s="943" t="s">
        <v>81</v>
      </c>
      <c r="B1902" s="944">
        <v>812.1</v>
      </c>
      <c r="C1902" s="944" t="s">
        <v>507</v>
      </c>
      <c r="D1902" s="943" t="s">
        <v>2</v>
      </c>
      <c r="E1902" s="945">
        <v>138</v>
      </c>
      <c r="F1902" s="945">
        <v>3</v>
      </c>
      <c r="G1902" s="946">
        <v>2746.5</v>
      </c>
      <c r="H1902" s="946">
        <v>2906</v>
      </c>
    </row>
    <row r="1903" spans="1:9" s="26" customFormat="1">
      <c r="A1903" s="947" t="s">
        <v>81</v>
      </c>
      <c r="B1903" s="948">
        <v>812.11</v>
      </c>
      <c r="C1903" s="948" t="s">
        <v>3110</v>
      </c>
      <c r="D1903" s="947" t="s">
        <v>2</v>
      </c>
      <c r="E1903" s="950">
        <v>7</v>
      </c>
      <c r="F1903" s="950">
        <v>1</v>
      </c>
      <c r="G1903" s="951">
        <v>4450</v>
      </c>
      <c r="H1903" s="951">
        <v>4450</v>
      </c>
      <c r="I1903" s="18"/>
    </row>
    <row r="1904" spans="1:9">
      <c r="A1904" s="943" t="s">
        <v>81</v>
      </c>
      <c r="B1904" s="944">
        <v>812.13</v>
      </c>
      <c r="C1904" s="944" t="s">
        <v>508</v>
      </c>
      <c r="D1904" s="943" t="s">
        <v>2</v>
      </c>
      <c r="E1904" s="945">
        <v>154</v>
      </c>
      <c r="F1904" s="945">
        <v>3</v>
      </c>
      <c r="G1904" s="946">
        <v>3600</v>
      </c>
      <c r="H1904" s="946">
        <v>3717.3</v>
      </c>
    </row>
    <row r="1905" spans="1:9" s="26" customFormat="1">
      <c r="A1905" s="947" t="s">
        <v>81</v>
      </c>
      <c r="B1905" s="948">
        <v>812.14</v>
      </c>
      <c r="C1905" s="948" t="s">
        <v>1443</v>
      </c>
      <c r="D1905" s="947" t="s">
        <v>2</v>
      </c>
      <c r="E1905" s="950">
        <v>283</v>
      </c>
      <c r="F1905" s="950">
        <v>3</v>
      </c>
      <c r="G1905" s="951">
        <v>4500</v>
      </c>
      <c r="H1905" s="951">
        <v>4743.1499999999996</v>
      </c>
      <c r="I1905" s="18"/>
    </row>
    <row r="1906" spans="1:9">
      <c r="A1906" s="943" t="s">
        <v>81</v>
      </c>
      <c r="B1906" s="944">
        <v>812.2</v>
      </c>
      <c r="C1906" s="944" t="s">
        <v>509</v>
      </c>
      <c r="D1906" s="943" t="s">
        <v>2</v>
      </c>
      <c r="E1906" s="945">
        <v>22</v>
      </c>
      <c r="F1906" s="945">
        <v>2</v>
      </c>
      <c r="G1906" s="946">
        <v>7500</v>
      </c>
      <c r="H1906" s="946">
        <v>6058.33</v>
      </c>
    </row>
    <row r="1907" spans="1:9" s="26" customFormat="1">
      <c r="A1907" s="947" t="s">
        <v>81</v>
      </c>
      <c r="B1907" s="948">
        <v>812.3</v>
      </c>
      <c r="C1907" s="948" t="s">
        <v>3113</v>
      </c>
      <c r="D1907" s="947" t="s">
        <v>2</v>
      </c>
      <c r="E1907" s="950">
        <v>68</v>
      </c>
      <c r="F1907" s="950">
        <v>2</v>
      </c>
      <c r="G1907" s="951">
        <v>800</v>
      </c>
      <c r="H1907" s="951">
        <v>1477.67</v>
      </c>
      <c r="I1907" s="18"/>
    </row>
    <row r="1908" spans="1:9">
      <c r="A1908" s="943" t="s">
        <v>81</v>
      </c>
      <c r="B1908" s="944">
        <v>812.31</v>
      </c>
      <c r="C1908" s="944" t="s">
        <v>3114</v>
      </c>
      <c r="D1908" s="943" t="s">
        <v>2</v>
      </c>
      <c r="E1908" s="945">
        <v>4</v>
      </c>
      <c r="F1908" s="945">
        <v>1</v>
      </c>
      <c r="G1908" s="946">
        <v>2165</v>
      </c>
      <c r="H1908" s="946">
        <v>2165</v>
      </c>
    </row>
    <row r="1909" spans="1:9" s="26" customFormat="1">
      <c r="A1909" s="947" t="s">
        <v>81</v>
      </c>
      <c r="B1909" s="948">
        <v>813.3</v>
      </c>
      <c r="C1909" s="948" t="s">
        <v>511</v>
      </c>
      <c r="D1909" s="947" t="s">
        <v>17</v>
      </c>
      <c r="E1909" s="949">
        <v>53420</v>
      </c>
      <c r="F1909" s="950">
        <v>5</v>
      </c>
      <c r="G1909" s="951">
        <v>2.16</v>
      </c>
      <c r="H1909" s="951">
        <v>2.2599999999999998</v>
      </c>
      <c r="I1909" s="18"/>
    </row>
    <row r="1910" spans="1:9">
      <c r="A1910" s="943" t="s">
        <v>81</v>
      </c>
      <c r="B1910" s="944">
        <v>813.31</v>
      </c>
      <c r="C1910" s="944" t="s">
        <v>512</v>
      </c>
      <c r="D1910" s="943" t="s">
        <v>17</v>
      </c>
      <c r="E1910" s="952">
        <v>4200</v>
      </c>
      <c r="F1910" s="945">
        <v>1</v>
      </c>
      <c r="G1910" s="946">
        <v>3</v>
      </c>
      <c r="H1910" s="946">
        <v>2.82</v>
      </c>
    </row>
    <row r="1911" spans="1:9" s="26" customFormat="1">
      <c r="A1911" s="947" t="s">
        <v>81</v>
      </c>
      <c r="B1911" s="948">
        <v>813.32</v>
      </c>
      <c r="C1911" s="948" t="s">
        <v>513</v>
      </c>
      <c r="D1911" s="947" t="s">
        <v>17</v>
      </c>
      <c r="E1911" s="949">
        <v>119550</v>
      </c>
      <c r="F1911" s="950">
        <v>4</v>
      </c>
      <c r="G1911" s="951">
        <v>2.8</v>
      </c>
      <c r="H1911" s="951">
        <v>2.67</v>
      </c>
      <c r="I1911" s="18"/>
    </row>
    <row r="1912" spans="1:9">
      <c r="A1912" s="943" t="s">
        <v>81</v>
      </c>
      <c r="B1912" s="944">
        <v>813.33</v>
      </c>
      <c r="C1912" s="944" t="s">
        <v>514</v>
      </c>
      <c r="D1912" s="943" t="s">
        <v>17</v>
      </c>
      <c r="E1912" s="952">
        <v>51000</v>
      </c>
      <c r="F1912" s="945">
        <v>1</v>
      </c>
      <c r="G1912" s="946">
        <v>5.2</v>
      </c>
      <c r="H1912" s="946">
        <v>4.82</v>
      </c>
    </row>
    <row r="1913" spans="1:9" s="26" customFormat="1">
      <c r="A1913" s="947" t="s">
        <v>81</v>
      </c>
      <c r="B1913" s="948">
        <v>813.4</v>
      </c>
      <c r="C1913" s="948" t="s">
        <v>64</v>
      </c>
      <c r="D1913" s="947" t="s">
        <v>17</v>
      </c>
      <c r="E1913" s="949">
        <v>434246</v>
      </c>
      <c r="F1913" s="950">
        <v>5</v>
      </c>
      <c r="G1913" s="951">
        <v>2.5</v>
      </c>
      <c r="H1913" s="951">
        <v>2.3199999999999998</v>
      </c>
      <c r="I1913" s="18"/>
    </row>
    <row r="1914" spans="1:9">
      <c r="A1914" s="943" t="s">
        <v>81</v>
      </c>
      <c r="B1914" s="944">
        <v>813.41</v>
      </c>
      <c r="C1914" s="944" t="s">
        <v>518</v>
      </c>
      <c r="D1914" s="943" t="s">
        <v>17</v>
      </c>
      <c r="E1914" s="952">
        <v>118440</v>
      </c>
      <c r="F1914" s="945">
        <v>2</v>
      </c>
      <c r="G1914" s="946">
        <v>3.25</v>
      </c>
      <c r="H1914" s="946">
        <v>2.92</v>
      </c>
    </row>
    <row r="1915" spans="1:9" s="26" customFormat="1">
      <c r="A1915" s="947" t="s">
        <v>81</v>
      </c>
      <c r="B1915" s="948">
        <v>813.42</v>
      </c>
      <c r="C1915" s="948" t="s">
        <v>519</v>
      </c>
      <c r="D1915" s="947" t="s">
        <v>17</v>
      </c>
      <c r="E1915" s="949">
        <v>399040</v>
      </c>
      <c r="F1915" s="950">
        <v>6</v>
      </c>
      <c r="G1915" s="951">
        <v>4</v>
      </c>
      <c r="H1915" s="951">
        <v>3.8</v>
      </c>
      <c r="I1915" s="18"/>
    </row>
    <row r="1916" spans="1:9">
      <c r="A1916" s="943" t="s">
        <v>81</v>
      </c>
      <c r="B1916" s="944">
        <v>813.43</v>
      </c>
      <c r="C1916" s="944" t="s">
        <v>65</v>
      </c>
      <c r="D1916" s="943" t="s">
        <v>17</v>
      </c>
      <c r="E1916" s="952">
        <v>1586160</v>
      </c>
      <c r="F1916" s="945">
        <v>4</v>
      </c>
      <c r="G1916" s="946">
        <v>4.78</v>
      </c>
      <c r="H1916" s="946">
        <v>4.0599999999999996</v>
      </c>
    </row>
    <row r="1917" spans="1:9" s="26" customFormat="1">
      <c r="A1917" s="947" t="s">
        <v>81</v>
      </c>
      <c r="B1917" s="948">
        <v>813.44</v>
      </c>
      <c r="C1917" s="948" t="s">
        <v>520</v>
      </c>
      <c r="D1917" s="947" t="s">
        <v>17</v>
      </c>
      <c r="E1917" s="949">
        <v>1065410</v>
      </c>
      <c r="F1917" s="950">
        <v>3</v>
      </c>
      <c r="G1917" s="951">
        <v>4.6500000000000004</v>
      </c>
      <c r="H1917" s="951">
        <v>4.12</v>
      </c>
      <c r="I1917" s="18"/>
    </row>
    <row r="1918" spans="1:9">
      <c r="A1918" s="943" t="s">
        <v>81</v>
      </c>
      <c r="B1918" s="944">
        <v>813.45</v>
      </c>
      <c r="C1918" s="944" t="s">
        <v>3126</v>
      </c>
      <c r="D1918" s="943" t="s">
        <v>17</v>
      </c>
      <c r="E1918" s="952">
        <v>9075</v>
      </c>
      <c r="F1918" s="945">
        <v>2</v>
      </c>
      <c r="G1918" s="946">
        <v>7.5</v>
      </c>
      <c r="H1918" s="946">
        <v>8.35</v>
      </c>
    </row>
    <row r="1919" spans="1:9" s="26" customFormat="1">
      <c r="A1919" s="947" t="s">
        <v>81</v>
      </c>
      <c r="B1919" s="948">
        <v>813.46</v>
      </c>
      <c r="C1919" s="948" t="s">
        <v>1444</v>
      </c>
      <c r="D1919" s="947" t="s">
        <v>17</v>
      </c>
      <c r="E1919" s="949">
        <v>1000</v>
      </c>
      <c r="F1919" s="950">
        <v>1</v>
      </c>
      <c r="G1919" s="951">
        <v>14.5</v>
      </c>
      <c r="H1919" s="951">
        <v>14.5</v>
      </c>
      <c r="I1919" s="18"/>
    </row>
    <row r="1920" spans="1:9">
      <c r="A1920" s="943" t="s">
        <v>81</v>
      </c>
      <c r="B1920" s="944">
        <v>813.52</v>
      </c>
      <c r="C1920" s="944" t="s">
        <v>521</v>
      </c>
      <c r="D1920" s="943" t="s">
        <v>17</v>
      </c>
      <c r="E1920" s="952">
        <v>8040</v>
      </c>
      <c r="F1920" s="945">
        <v>1</v>
      </c>
      <c r="G1920" s="946">
        <v>4.75</v>
      </c>
      <c r="H1920" s="946">
        <v>4.63</v>
      </c>
    </row>
    <row r="1921" spans="1:9" s="26" customFormat="1">
      <c r="A1921" s="947" t="s">
        <v>81</v>
      </c>
      <c r="B1921" s="948">
        <v>813.53</v>
      </c>
      <c r="C1921" s="948" t="s">
        <v>3132</v>
      </c>
      <c r="D1921" s="947" t="s">
        <v>17</v>
      </c>
      <c r="E1921" s="949">
        <v>5440</v>
      </c>
      <c r="F1921" s="950">
        <v>1</v>
      </c>
      <c r="G1921" s="951">
        <v>4</v>
      </c>
      <c r="H1921" s="951">
        <v>3.63</v>
      </c>
      <c r="I1921" s="18"/>
    </row>
    <row r="1922" spans="1:9">
      <c r="A1922" s="943" t="s">
        <v>81</v>
      </c>
      <c r="B1922" s="944">
        <v>813.6</v>
      </c>
      <c r="C1922" s="944" t="s">
        <v>522</v>
      </c>
      <c r="D1922" s="943" t="s">
        <v>22</v>
      </c>
      <c r="E1922" s="945">
        <v>8</v>
      </c>
      <c r="F1922" s="945">
        <v>3</v>
      </c>
      <c r="G1922" s="946">
        <v>23500</v>
      </c>
      <c r="H1922" s="946">
        <v>23260.85</v>
      </c>
    </row>
    <row r="1923" spans="1:9" s="26" customFormat="1">
      <c r="A1923" s="947" t="s">
        <v>81</v>
      </c>
      <c r="B1923" s="948">
        <v>813.7</v>
      </c>
      <c r="C1923" s="948" t="s">
        <v>3135</v>
      </c>
      <c r="D1923" s="947" t="s">
        <v>17</v>
      </c>
      <c r="E1923" s="950">
        <v>9</v>
      </c>
      <c r="F1923" s="950">
        <v>1</v>
      </c>
      <c r="G1923" s="951">
        <v>200</v>
      </c>
      <c r="H1923" s="951">
        <v>191.67</v>
      </c>
      <c r="I1923" s="18"/>
    </row>
    <row r="1924" spans="1:9">
      <c r="A1924" s="943" t="s">
        <v>81</v>
      </c>
      <c r="B1924" s="944">
        <v>813.71</v>
      </c>
      <c r="C1924" s="944" t="s">
        <v>3136</v>
      </c>
      <c r="D1924" s="943" t="s">
        <v>2</v>
      </c>
      <c r="E1924" s="945">
        <v>627</v>
      </c>
      <c r="F1924" s="945">
        <v>2</v>
      </c>
      <c r="G1924" s="946">
        <v>180</v>
      </c>
      <c r="H1924" s="946">
        <v>190.78</v>
      </c>
    </row>
    <row r="1925" spans="1:9" s="26" customFormat="1">
      <c r="A1925" s="947" t="s">
        <v>81</v>
      </c>
      <c r="B1925" s="948">
        <v>813.72</v>
      </c>
      <c r="C1925" s="948" t="s">
        <v>523</v>
      </c>
      <c r="D1925" s="947" t="s">
        <v>2</v>
      </c>
      <c r="E1925" s="950">
        <v>11</v>
      </c>
      <c r="F1925" s="950">
        <v>2</v>
      </c>
      <c r="G1925" s="951">
        <v>310</v>
      </c>
      <c r="H1925" s="951">
        <v>327.14</v>
      </c>
      <c r="I1925" s="18"/>
    </row>
    <row r="1926" spans="1:9">
      <c r="A1926" s="943" t="s">
        <v>81</v>
      </c>
      <c r="B1926" s="944">
        <v>813.79</v>
      </c>
      <c r="C1926" s="944" t="s">
        <v>524</v>
      </c>
      <c r="D1926" s="943" t="s">
        <v>22</v>
      </c>
      <c r="E1926" s="945">
        <v>5</v>
      </c>
      <c r="F1926" s="945">
        <v>1</v>
      </c>
      <c r="G1926" s="946">
        <v>15000</v>
      </c>
      <c r="H1926" s="946">
        <v>14880</v>
      </c>
    </row>
    <row r="1927" spans="1:9" s="26" customFormat="1">
      <c r="A1927" s="947" t="s">
        <v>81</v>
      </c>
      <c r="B1927" s="948">
        <v>813.8</v>
      </c>
      <c r="C1927" s="948" t="s">
        <v>1445</v>
      </c>
      <c r="D1927" s="947" t="s">
        <v>22</v>
      </c>
      <c r="E1927" s="950">
        <v>19</v>
      </c>
      <c r="F1927" s="950">
        <v>5</v>
      </c>
      <c r="G1927" s="951">
        <v>6535.37</v>
      </c>
      <c r="H1927" s="951">
        <v>6332.24</v>
      </c>
      <c r="I1927" s="18"/>
    </row>
    <row r="1928" spans="1:9">
      <c r="A1928" s="943" t="s">
        <v>81</v>
      </c>
      <c r="B1928" s="944">
        <v>813.81</v>
      </c>
      <c r="C1928" s="944" t="s">
        <v>525</v>
      </c>
      <c r="D1928" s="943" t="s">
        <v>22</v>
      </c>
      <c r="E1928" s="945">
        <v>15</v>
      </c>
      <c r="F1928" s="945">
        <v>4</v>
      </c>
      <c r="G1928" s="946">
        <v>7250</v>
      </c>
      <c r="H1928" s="946">
        <v>6314.33</v>
      </c>
    </row>
    <row r="1929" spans="1:9" s="26" customFormat="1">
      <c r="A1929" s="947" t="s">
        <v>81</v>
      </c>
      <c r="B1929" s="948">
        <v>815.1</v>
      </c>
      <c r="C1929" s="948" t="s">
        <v>526</v>
      </c>
      <c r="D1929" s="947" t="s">
        <v>22</v>
      </c>
      <c r="E1929" s="950">
        <v>43</v>
      </c>
      <c r="F1929" s="950">
        <v>9</v>
      </c>
      <c r="G1929" s="951">
        <v>307000</v>
      </c>
      <c r="H1929" s="951">
        <v>304075.65999999997</v>
      </c>
      <c r="I1929" s="18"/>
    </row>
    <row r="1930" spans="1:9">
      <c r="A1930" s="943" t="s">
        <v>81</v>
      </c>
      <c r="B1930" s="944">
        <v>815.2</v>
      </c>
      <c r="C1930" s="944" t="s">
        <v>527</v>
      </c>
      <c r="D1930" s="943" t="s">
        <v>22</v>
      </c>
      <c r="E1930" s="945">
        <v>5</v>
      </c>
      <c r="F1930" s="945">
        <v>1</v>
      </c>
      <c r="G1930" s="946">
        <v>400000</v>
      </c>
      <c r="H1930" s="946">
        <v>379846</v>
      </c>
    </row>
    <row r="1931" spans="1:9" s="26" customFormat="1">
      <c r="A1931" s="947" t="s">
        <v>81</v>
      </c>
      <c r="B1931" s="948">
        <v>816.01</v>
      </c>
      <c r="C1931" s="948" t="s">
        <v>531</v>
      </c>
      <c r="D1931" s="947" t="s">
        <v>22</v>
      </c>
      <c r="E1931" s="950">
        <v>44</v>
      </c>
      <c r="F1931" s="950">
        <v>14</v>
      </c>
      <c r="G1931" s="951">
        <v>268500</v>
      </c>
      <c r="H1931" s="951">
        <v>292912.57</v>
      </c>
      <c r="I1931" s="18"/>
    </row>
    <row r="1932" spans="1:9">
      <c r="A1932" s="943" t="s">
        <v>81</v>
      </c>
      <c r="B1932" s="944">
        <v>816.02</v>
      </c>
      <c r="C1932" s="944" t="s">
        <v>532</v>
      </c>
      <c r="D1932" s="943" t="s">
        <v>22</v>
      </c>
      <c r="E1932" s="945">
        <v>48</v>
      </c>
      <c r="F1932" s="945">
        <v>13</v>
      </c>
      <c r="G1932" s="946">
        <v>270000</v>
      </c>
      <c r="H1932" s="946">
        <v>315104.67</v>
      </c>
    </row>
    <row r="1933" spans="1:9" s="26" customFormat="1">
      <c r="A1933" s="947" t="s">
        <v>81</v>
      </c>
      <c r="B1933" s="948">
        <v>816.03</v>
      </c>
      <c r="C1933" s="948" t="s">
        <v>533</v>
      </c>
      <c r="D1933" s="947" t="s">
        <v>22</v>
      </c>
      <c r="E1933" s="950">
        <v>21</v>
      </c>
      <c r="F1933" s="950">
        <v>7</v>
      </c>
      <c r="G1933" s="951">
        <v>251000</v>
      </c>
      <c r="H1933" s="951">
        <v>305213.95</v>
      </c>
      <c r="I1933" s="18"/>
    </row>
    <row r="1934" spans="1:9">
      <c r="A1934" s="943" t="s">
        <v>81</v>
      </c>
      <c r="B1934" s="944">
        <v>816.8</v>
      </c>
      <c r="C1934" s="944" t="s">
        <v>534</v>
      </c>
      <c r="D1934" s="943" t="s">
        <v>22</v>
      </c>
      <c r="E1934" s="945">
        <v>29</v>
      </c>
      <c r="F1934" s="945">
        <v>8</v>
      </c>
      <c r="G1934" s="946">
        <v>10000</v>
      </c>
      <c r="H1934" s="946">
        <v>10707.41</v>
      </c>
    </row>
    <row r="1935" spans="1:9" s="26" customFormat="1">
      <c r="A1935" s="947" t="s">
        <v>81</v>
      </c>
      <c r="B1935" s="948">
        <v>816.81</v>
      </c>
      <c r="C1935" s="948" t="s">
        <v>535</v>
      </c>
      <c r="D1935" s="947" t="s">
        <v>22</v>
      </c>
      <c r="E1935" s="950">
        <v>19</v>
      </c>
      <c r="F1935" s="950">
        <v>6</v>
      </c>
      <c r="G1935" s="951">
        <v>100000</v>
      </c>
      <c r="H1935" s="951">
        <v>91329.72</v>
      </c>
      <c r="I1935" s="18"/>
    </row>
    <row r="1936" spans="1:9">
      <c r="A1936" s="943" t="s">
        <v>81</v>
      </c>
      <c r="B1936" s="944">
        <v>816.9</v>
      </c>
      <c r="C1936" s="944" t="s">
        <v>536</v>
      </c>
      <c r="D1936" s="943" t="s">
        <v>22</v>
      </c>
      <c r="E1936" s="945">
        <v>11</v>
      </c>
      <c r="F1936" s="945">
        <v>2</v>
      </c>
      <c r="G1936" s="946">
        <v>10000</v>
      </c>
      <c r="H1936" s="946">
        <v>9864.27</v>
      </c>
    </row>
    <row r="1937" spans="1:9" s="26" customFormat="1">
      <c r="A1937" s="947" t="s">
        <v>81</v>
      </c>
      <c r="B1937" s="948">
        <v>817.1</v>
      </c>
      <c r="C1937" s="948" t="s">
        <v>537</v>
      </c>
      <c r="D1937" s="947" t="s">
        <v>2</v>
      </c>
      <c r="E1937" s="950">
        <v>92</v>
      </c>
      <c r="F1937" s="950">
        <v>2</v>
      </c>
      <c r="G1937" s="951">
        <v>700</v>
      </c>
      <c r="H1937" s="951">
        <v>908.33</v>
      </c>
      <c r="I1937" s="18"/>
    </row>
    <row r="1938" spans="1:9">
      <c r="A1938" s="943" t="s">
        <v>81</v>
      </c>
      <c r="B1938" s="944">
        <v>817.11</v>
      </c>
      <c r="C1938" s="944" t="s">
        <v>538</v>
      </c>
      <c r="D1938" s="943" t="s">
        <v>2</v>
      </c>
      <c r="E1938" s="945">
        <v>140</v>
      </c>
      <c r="F1938" s="945">
        <v>1</v>
      </c>
      <c r="G1938" s="946">
        <v>600</v>
      </c>
      <c r="H1938" s="946">
        <v>650</v>
      </c>
    </row>
    <row r="1939" spans="1:9" s="26" customFormat="1">
      <c r="A1939" s="947" t="s">
        <v>81</v>
      </c>
      <c r="B1939" s="948">
        <v>817.2</v>
      </c>
      <c r="C1939" s="948" t="s">
        <v>3139</v>
      </c>
      <c r="D1939" s="947" t="s">
        <v>2</v>
      </c>
      <c r="E1939" s="950">
        <v>38</v>
      </c>
      <c r="F1939" s="950">
        <v>3</v>
      </c>
      <c r="G1939" s="951">
        <v>2150</v>
      </c>
      <c r="H1939" s="951">
        <v>3264.67</v>
      </c>
      <c r="I1939" s="18"/>
    </row>
    <row r="1940" spans="1:9">
      <c r="A1940" s="943" t="s">
        <v>81</v>
      </c>
      <c r="B1940" s="944">
        <v>817.21</v>
      </c>
      <c r="C1940" s="944" t="s">
        <v>3140</v>
      </c>
      <c r="D1940" s="943" t="s">
        <v>2</v>
      </c>
      <c r="E1940" s="945">
        <v>24</v>
      </c>
      <c r="F1940" s="945">
        <v>1</v>
      </c>
      <c r="G1940" s="946">
        <v>490</v>
      </c>
      <c r="H1940" s="946">
        <v>560</v>
      </c>
    </row>
    <row r="1941" spans="1:9" s="26" customFormat="1">
      <c r="A1941" s="947" t="s">
        <v>81</v>
      </c>
      <c r="B1941" s="948">
        <v>817.4</v>
      </c>
      <c r="C1941" s="948" t="s">
        <v>3141</v>
      </c>
      <c r="D1941" s="947" t="s">
        <v>2</v>
      </c>
      <c r="E1941" s="950">
        <v>48</v>
      </c>
      <c r="F1941" s="950">
        <v>1</v>
      </c>
      <c r="G1941" s="951">
        <v>350</v>
      </c>
      <c r="H1941" s="951">
        <v>350</v>
      </c>
      <c r="I1941" s="18"/>
    </row>
    <row r="1942" spans="1:9">
      <c r="A1942" s="943" t="s">
        <v>81</v>
      </c>
      <c r="B1942" s="944">
        <v>817.41</v>
      </c>
      <c r="C1942" s="944" t="s">
        <v>3142</v>
      </c>
      <c r="D1942" s="943" t="s">
        <v>2</v>
      </c>
      <c r="E1942" s="945">
        <v>40</v>
      </c>
      <c r="F1942" s="945">
        <v>1</v>
      </c>
      <c r="G1942" s="946">
        <v>350</v>
      </c>
      <c r="H1942" s="946">
        <v>337.5</v>
      </c>
    </row>
    <row r="1943" spans="1:9" s="26" customFormat="1">
      <c r="A1943" s="947" t="s">
        <v>81</v>
      </c>
      <c r="B1943" s="948">
        <v>818.03</v>
      </c>
      <c r="C1943" s="948" t="s">
        <v>3157</v>
      </c>
      <c r="D1943" s="947" t="s">
        <v>2</v>
      </c>
      <c r="E1943" s="950">
        <v>2</v>
      </c>
      <c r="F1943" s="950">
        <v>1</v>
      </c>
      <c r="G1943" s="951">
        <v>1262.5</v>
      </c>
      <c r="H1943" s="951">
        <v>1262.5</v>
      </c>
      <c r="I1943" s="18"/>
    </row>
    <row r="1944" spans="1:9">
      <c r="A1944" s="943" t="s">
        <v>81</v>
      </c>
      <c r="B1944" s="944">
        <v>818.42</v>
      </c>
      <c r="C1944" s="944" t="s">
        <v>3172</v>
      </c>
      <c r="D1944" s="943" t="s">
        <v>2</v>
      </c>
      <c r="E1944" s="945">
        <v>214</v>
      </c>
      <c r="F1944" s="945">
        <v>2</v>
      </c>
      <c r="G1944" s="946">
        <v>1015</v>
      </c>
      <c r="H1944" s="946">
        <v>1158.57</v>
      </c>
    </row>
    <row r="1945" spans="1:9" s="26" customFormat="1">
      <c r="A1945" s="947" t="s">
        <v>81</v>
      </c>
      <c r="B1945" s="948">
        <v>819.83</v>
      </c>
      <c r="C1945" s="948" t="s">
        <v>3213</v>
      </c>
      <c r="D1945" s="947" t="s">
        <v>2</v>
      </c>
      <c r="E1945" s="950">
        <v>60</v>
      </c>
      <c r="F1945" s="950">
        <v>1</v>
      </c>
      <c r="G1945" s="951">
        <v>37.5</v>
      </c>
      <c r="H1945" s="951">
        <v>37.5</v>
      </c>
      <c r="I1945" s="18"/>
    </row>
    <row r="1946" spans="1:9">
      <c r="A1946" s="943" t="s">
        <v>81</v>
      </c>
      <c r="B1946" s="944">
        <v>819.83100000000002</v>
      </c>
      <c r="C1946" s="944" t="s">
        <v>540</v>
      </c>
      <c r="D1946" s="943" t="s">
        <v>17</v>
      </c>
      <c r="E1946" s="952">
        <v>84880</v>
      </c>
      <c r="F1946" s="945">
        <v>11</v>
      </c>
      <c r="G1946" s="946">
        <v>15</v>
      </c>
      <c r="H1946" s="946">
        <v>15.74</v>
      </c>
    </row>
    <row r="1947" spans="1:9" s="26" customFormat="1">
      <c r="A1947" s="947" t="s">
        <v>81</v>
      </c>
      <c r="B1947" s="948">
        <v>819.85</v>
      </c>
      <c r="C1947" s="948" t="s">
        <v>3215</v>
      </c>
      <c r="D1947" s="947" t="s">
        <v>2</v>
      </c>
      <c r="E1947" s="950">
        <v>166</v>
      </c>
      <c r="F1947" s="950">
        <v>2</v>
      </c>
      <c r="G1947" s="951">
        <v>900</v>
      </c>
      <c r="H1947" s="951">
        <v>924.29</v>
      </c>
      <c r="I1947" s="18"/>
    </row>
    <row r="1948" spans="1:9">
      <c r="A1948" s="943" t="s">
        <v>81</v>
      </c>
      <c r="B1948" s="944">
        <v>820.1</v>
      </c>
      <c r="C1948" s="944" t="s">
        <v>541</v>
      </c>
      <c r="D1948" s="943" t="s">
        <v>22</v>
      </c>
      <c r="E1948" s="945">
        <v>8</v>
      </c>
      <c r="F1948" s="945">
        <v>1</v>
      </c>
      <c r="G1948" s="946">
        <v>296500</v>
      </c>
      <c r="H1948" s="946">
        <v>276875</v>
      </c>
    </row>
    <row r="1949" spans="1:9" s="26" customFormat="1">
      <c r="A1949" s="947" t="s">
        <v>81</v>
      </c>
      <c r="B1949" s="948">
        <v>821.11</v>
      </c>
      <c r="C1949" s="948" t="s">
        <v>3221</v>
      </c>
      <c r="D1949" s="947" t="s">
        <v>2</v>
      </c>
      <c r="E1949" s="950">
        <v>274</v>
      </c>
      <c r="F1949" s="950">
        <v>4</v>
      </c>
      <c r="G1949" s="951">
        <v>7500</v>
      </c>
      <c r="H1949" s="951">
        <v>7428.88</v>
      </c>
      <c r="I1949" s="18"/>
    </row>
    <row r="1950" spans="1:9">
      <c r="A1950" s="943" t="s">
        <v>81</v>
      </c>
      <c r="B1950" s="944">
        <v>821.12</v>
      </c>
      <c r="C1950" s="944" t="s">
        <v>3222</v>
      </c>
      <c r="D1950" s="943" t="s">
        <v>2</v>
      </c>
      <c r="E1950" s="945">
        <v>7</v>
      </c>
      <c r="F1950" s="945">
        <v>1</v>
      </c>
      <c r="G1950" s="946">
        <v>9150</v>
      </c>
      <c r="H1950" s="946">
        <v>9150</v>
      </c>
    </row>
    <row r="1951" spans="1:9" s="26" customFormat="1">
      <c r="A1951" s="947" t="s">
        <v>81</v>
      </c>
      <c r="B1951" s="948">
        <v>821.13</v>
      </c>
      <c r="C1951" s="948" t="s">
        <v>3223</v>
      </c>
      <c r="D1951" s="947" t="s">
        <v>2</v>
      </c>
      <c r="E1951" s="950">
        <v>95</v>
      </c>
      <c r="F1951" s="950">
        <v>2</v>
      </c>
      <c r="G1951" s="951">
        <v>8200</v>
      </c>
      <c r="H1951" s="951">
        <v>9611.11</v>
      </c>
      <c r="I1951" s="18"/>
    </row>
    <row r="1952" spans="1:9">
      <c r="A1952" s="943" t="s">
        <v>81</v>
      </c>
      <c r="B1952" s="944">
        <v>821.21</v>
      </c>
      <c r="C1952" s="944" t="s">
        <v>542</v>
      </c>
      <c r="D1952" s="943" t="s">
        <v>2</v>
      </c>
      <c r="E1952" s="945">
        <v>6</v>
      </c>
      <c r="F1952" s="945">
        <v>1</v>
      </c>
      <c r="G1952" s="946">
        <v>7100</v>
      </c>
      <c r="H1952" s="946">
        <v>7243</v>
      </c>
    </row>
    <row r="1953" spans="1:9" s="26" customFormat="1">
      <c r="A1953" s="947" t="s">
        <v>81</v>
      </c>
      <c r="B1953" s="948">
        <v>822.85</v>
      </c>
      <c r="C1953" s="948" t="s">
        <v>3245</v>
      </c>
      <c r="D1953" s="947" t="s">
        <v>2</v>
      </c>
      <c r="E1953" s="950">
        <v>9</v>
      </c>
      <c r="F1953" s="950">
        <v>1</v>
      </c>
      <c r="G1953" s="951">
        <v>17211</v>
      </c>
      <c r="H1953" s="951">
        <v>14474</v>
      </c>
      <c r="I1953" s="18"/>
    </row>
    <row r="1954" spans="1:9">
      <c r="A1954" s="943" t="s">
        <v>81</v>
      </c>
      <c r="B1954" s="944">
        <v>822.87</v>
      </c>
      <c r="C1954" s="944" t="s">
        <v>3247</v>
      </c>
      <c r="D1954" s="943" t="s">
        <v>2</v>
      </c>
      <c r="E1954" s="945">
        <v>4</v>
      </c>
      <c r="F1954" s="945">
        <v>1</v>
      </c>
      <c r="G1954" s="946">
        <v>73555.5</v>
      </c>
      <c r="H1954" s="946">
        <v>69832</v>
      </c>
    </row>
    <row r="1955" spans="1:9" s="26" customFormat="1">
      <c r="A1955" s="947" t="s">
        <v>81</v>
      </c>
      <c r="B1955" s="948">
        <v>822.88</v>
      </c>
      <c r="C1955" s="948" t="s">
        <v>543</v>
      </c>
      <c r="D1955" s="947" t="s">
        <v>2</v>
      </c>
      <c r="E1955" s="950">
        <v>12</v>
      </c>
      <c r="F1955" s="950">
        <v>1</v>
      </c>
      <c r="G1955" s="951">
        <v>57487.5</v>
      </c>
      <c r="H1955" s="951">
        <v>57487.5</v>
      </c>
      <c r="I1955" s="18"/>
    </row>
    <row r="1956" spans="1:9">
      <c r="A1956" s="943" t="s">
        <v>81</v>
      </c>
      <c r="B1956" s="944">
        <v>822.9</v>
      </c>
      <c r="C1956" s="944" t="s">
        <v>3249</v>
      </c>
      <c r="D1956" s="943" t="s">
        <v>2</v>
      </c>
      <c r="E1956" s="945">
        <v>12</v>
      </c>
      <c r="F1956" s="945">
        <v>1</v>
      </c>
      <c r="G1956" s="946">
        <v>102777.5</v>
      </c>
      <c r="H1956" s="946">
        <v>105423.75</v>
      </c>
    </row>
    <row r="1957" spans="1:9" s="26" customFormat="1">
      <c r="A1957" s="947" t="s">
        <v>81</v>
      </c>
      <c r="B1957" s="948">
        <v>823.6</v>
      </c>
      <c r="C1957" s="948" t="s">
        <v>544</v>
      </c>
      <c r="D1957" s="947" t="s">
        <v>22</v>
      </c>
      <c r="E1957" s="950">
        <v>7</v>
      </c>
      <c r="F1957" s="950">
        <v>3</v>
      </c>
      <c r="G1957" s="951">
        <v>35000</v>
      </c>
      <c r="H1957" s="951">
        <v>30718.78</v>
      </c>
      <c r="I1957" s="18"/>
    </row>
    <row r="1958" spans="1:9">
      <c r="A1958" s="943" t="s">
        <v>81</v>
      </c>
      <c r="B1958" s="944">
        <v>823.61</v>
      </c>
      <c r="C1958" s="944" t="s">
        <v>545</v>
      </c>
      <c r="D1958" s="943" t="s">
        <v>22</v>
      </c>
      <c r="E1958" s="945">
        <v>19</v>
      </c>
      <c r="F1958" s="945">
        <v>7</v>
      </c>
      <c r="G1958" s="946">
        <v>29156.5</v>
      </c>
      <c r="H1958" s="946">
        <v>26304.95</v>
      </c>
    </row>
    <row r="1959" spans="1:9" s="26" customFormat="1">
      <c r="A1959" s="947" t="s">
        <v>81</v>
      </c>
      <c r="B1959" s="948">
        <v>823.62</v>
      </c>
      <c r="C1959" s="948" t="s">
        <v>546</v>
      </c>
      <c r="D1959" s="947" t="s">
        <v>22</v>
      </c>
      <c r="E1959" s="950">
        <v>14</v>
      </c>
      <c r="F1959" s="950">
        <v>5</v>
      </c>
      <c r="G1959" s="951">
        <v>30000</v>
      </c>
      <c r="H1959" s="951">
        <v>27428.14</v>
      </c>
      <c r="I1959" s="18"/>
    </row>
    <row r="1960" spans="1:9">
      <c r="A1960" s="943" t="s">
        <v>81</v>
      </c>
      <c r="B1960" s="944">
        <v>823.7</v>
      </c>
      <c r="C1960" s="944" t="s">
        <v>547</v>
      </c>
      <c r="D1960" s="943" t="s">
        <v>2</v>
      </c>
      <c r="E1960" s="945">
        <v>133</v>
      </c>
      <c r="F1960" s="945">
        <v>5</v>
      </c>
      <c r="G1960" s="946">
        <v>3297.66</v>
      </c>
      <c r="H1960" s="946">
        <v>3028.24</v>
      </c>
    </row>
    <row r="1961" spans="1:9" s="26" customFormat="1">
      <c r="A1961" s="947" t="s">
        <v>81</v>
      </c>
      <c r="B1961" s="948">
        <v>823.71</v>
      </c>
      <c r="C1961" s="948" t="s">
        <v>548</v>
      </c>
      <c r="D1961" s="947" t="s">
        <v>2</v>
      </c>
      <c r="E1961" s="950">
        <v>509</v>
      </c>
      <c r="F1961" s="950">
        <v>8</v>
      </c>
      <c r="G1961" s="951">
        <v>900</v>
      </c>
      <c r="H1961" s="951">
        <v>898.41</v>
      </c>
      <c r="I1961" s="18"/>
    </row>
    <row r="1962" spans="1:9">
      <c r="A1962" s="943" t="s">
        <v>81</v>
      </c>
      <c r="B1962" s="944">
        <v>824.4</v>
      </c>
      <c r="C1962" s="944" t="s">
        <v>3290</v>
      </c>
      <c r="D1962" s="943" t="s">
        <v>22</v>
      </c>
      <c r="E1962" s="945">
        <v>4</v>
      </c>
      <c r="F1962" s="945">
        <v>1</v>
      </c>
      <c r="G1962" s="946">
        <v>9825</v>
      </c>
      <c r="H1962" s="946">
        <v>8912.5</v>
      </c>
    </row>
    <row r="1963" spans="1:9" s="26" customFormat="1">
      <c r="A1963" s="947" t="s">
        <v>81</v>
      </c>
      <c r="B1963" s="948">
        <v>824.5</v>
      </c>
      <c r="C1963" s="948" t="s">
        <v>3291</v>
      </c>
      <c r="D1963" s="947" t="s">
        <v>22</v>
      </c>
      <c r="E1963" s="950">
        <v>6</v>
      </c>
      <c r="F1963" s="950">
        <v>2</v>
      </c>
      <c r="G1963" s="951">
        <v>15500</v>
      </c>
      <c r="H1963" s="951">
        <v>14416.67</v>
      </c>
      <c r="I1963" s="18"/>
    </row>
    <row r="1964" spans="1:9">
      <c r="A1964" s="943" t="s">
        <v>81</v>
      </c>
      <c r="B1964" s="944">
        <v>824.51</v>
      </c>
      <c r="C1964" s="944" t="s">
        <v>550</v>
      </c>
      <c r="D1964" s="943" t="s">
        <v>22</v>
      </c>
      <c r="E1964" s="945">
        <v>17</v>
      </c>
      <c r="F1964" s="945">
        <v>4</v>
      </c>
      <c r="G1964" s="946">
        <v>4550</v>
      </c>
      <c r="H1964" s="946">
        <v>4400.3999999999996</v>
      </c>
    </row>
    <row r="1965" spans="1:9" s="26" customFormat="1">
      <c r="A1965" s="947" t="s">
        <v>81</v>
      </c>
      <c r="B1965" s="948">
        <v>826.51</v>
      </c>
      <c r="C1965" s="948" t="s">
        <v>3301</v>
      </c>
      <c r="D1965" s="947" t="s">
        <v>2</v>
      </c>
      <c r="E1965" s="950">
        <v>23</v>
      </c>
      <c r="F1965" s="950">
        <v>2</v>
      </c>
      <c r="G1965" s="951">
        <v>4400</v>
      </c>
      <c r="H1965" s="951">
        <v>3640</v>
      </c>
      <c r="I1965" s="18"/>
    </row>
    <row r="1966" spans="1:9">
      <c r="A1966" s="943" t="s">
        <v>81</v>
      </c>
      <c r="B1966" s="944">
        <v>826.52</v>
      </c>
      <c r="C1966" s="944" t="s">
        <v>3302</v>
      </c>
      <c r="D1966" s="943" t="s">
        <v>2</v>
      </c>
      <c r="E1966" s="945">
        <v>6</v>
      </c>
      <c r="F1966" s="945">
        <v>1</v>
      </c>
      <c r="G1966" s="946">
        <v>1500</v>
      </c>
      <c r="H1966" s="946">
        <v>1566.67</v>
      </c>
    </row>
    <row r="1967" spans="1:9" s="26" customFormat="1">
      <c r="A1967" s="947" t="s">
        <v>81</v>
      </c>
      <c r="B1967" s="948">
        <v>827.21</v>
      </c>
      <c r="C1967" s="948" t="s">
        <v>551</v>
      </c>
      <c r="D1967" s="947" t="s">
        <v>2</v>
      </c>
      <c r="E1967" s="950">
        <v>10</v>
      </c>
      <c r="F1967" s="950">
        <v>1</v>
      </c>
      <c r="G1967" s="951">
        <v>255</v>
      </c>
      <c r="H1967" s="951">
        <v>255</v>
      </c>
      <c r="I1967" s="18"/>
    </row>
    <row r="1968" spans="1:9">
      <c r="A1968" s="943" t="s">
        <v>81</v>
      </c>
      <c r="B1968" s="944">
        <v>827.22</v>
      </c>
      <c r="C1968" s="944" t="s">
        <v>3307</v>
      </c>
      <c r="D1968" s="943" t="s">
        <v>2</v>
      </c>
      <c r="E1968" s="945">
        <v>35</v>
      </c>
      <c r="F1968" s="945">
        <v>1</v>
      </c>
      <c r="G1968" s="946">
        <v>300</v>
      </c>
      <c r="H1968" s="946">
        <v>301.81</v>
      </c>
    </row>
    <row r="1969" spans="1:9" s="26" customFormat="1">
      <c r="A1969" s="947" t="s">
        <v>81</v>
      </c>
      <c r="B1969" s="948">
        <v>828.01</v>
      </c>
      <c r="C1969" s="948" t="s">
        <v>1521</v>
      </c>
      <c r="D1969" s="947" t="s">
        <v>3</v>
      </c>
      <c r="E1969" s="949">
        <v>1040</v>
      </c>
      <c r="F1969" s="950">
        <v>3</v>
      </c>
      <c r="G1969" s="951">
        <v>25</v>
      </c>
      <c r="H1969" s="951">
        <v>22.75</v>
      </c>
      <c r="I1969" s="18"/>
    </row>
    <row r="1970" spans="1:9">
      <c r="A1970" s="943">
        <v>4</v>
      </c>
      <c r="B1970" s="944">
        <v>836</v>
      </c>
      <c r="C1970" s="944" t="s">
        <v>3313</v>
      </c>
      <c r="D1970" s="943" t="s">
        <v>2</v>
      </c>
      <c r="E1970" s="945">
        <v>20</v>
      </c>
      <c r="F1970" s="945">
        <v>1</v>
      </c>
      <c r="G1970" s="946">
        <v>75</v>
      </c>
      <c r="H1970" s="946">
        <v>77</v>
      </c>
    </row>
    <row r="1971" spans="1:9" s="26" customFormat="1">
      <c r="A1971" s="947">
        <v>4</v>
      </c>
      <c r="B1971" s="948">
        <v>841.1</v>
      </c>
      <c r="C1971" s="948" t="s">
        <v>566</v>
      </c>
      <c r="D1971" s="947" t="s">
        <v>2</v>
      </c>
      <c r="E1971" s="950">
        <v>28</v>
      </c>
      <c r="F1971" s="950">
        <v>2</v>
      </c>
      <c r="G1971" s="951">
        <v>3175</v>
      </c>
      <c r="H1971" s="951">
        <v>3150.49</v>
      </c>
      <c r="I1971" s="18"/>
    </row>
    <row r="1972" spans="1:9">
      <c r="A1972" s="943">
        <v>4</v>
      </c>
      <c r="B1972" s="944">
        <v>841.2</v>
      </c>
      <c r="C1972" s="944" t="s">
        <v>567</v>
      </c>
      <c r="D1972" s="943" t="s">
        <v>2</v>
      </c>
      <c r="E1972" s="945">
        <v>3</v>
      </c>
      <c r="F1972" s="945">
        <v>1</v>
      </c>
      <c r="G1972" s="946">
        <v>2570</v>
      </c>
      <c r="H1972" s="946">
        <v>2713.33</v>
      </c>
    </row>
    <row r="1973" spans="1:9" s="26" customFormat="1">
      <c r="A1973" s="947">
        <v>4</v>
      </c>
      <c r="B1973" s="948">
        <v>845.1</v>
      </c>
      <c r="C1973" s="948" t="s">
        <v>576</v>
      </c>
      <c r="D1973" s="947" t="s">
        <v>2</v>
      </c>
      <c r="E1973" s="950">
        <v>40</v>
      </c>
      <c r="F1973" s="950">
        <v>1</v>
      </c>
      <c r="G1973" s="951">
        <v>2100</v>
      </c>
      <c r="H1973" s="951">
        <v>2070</v>
      </c>
      <c r="I1973" s="18"/>
    </row>
    <row r="1974" spans="1:9">
      <c r="A1974" s="943">
        <v>4</v>
      </c>
      <c r="B1974" s="944">
        <v>847.1</v>
      </c>
      <c r="C1974" s="944" t="s">
        <v>578</v>
      </c>
      <c r="D1974" s="943" t="s">
        <v>2</v>
      </c>
      <c r="E1974" s="952">
        <v>5322</v>
      </c>
      <c r="F1974" s="945">
        <v>13</v>
      </c>
      <c r="G1974" s="946">
        <v>232.5</v>
      </c>
      <c r="H1974" s="946">
        <v>238.16</v>
      </c>
    </row>
    <row r="1975" spans="1:9" s="26" customFormat="1">
      <c r="A1975" s="947">
        <v>4</v>
      </c>
      <c r="B1975" s="948">
        <v>848.1</v>
      </c>
      <c r="C1975" s="948" t="s">
        <v>579</v>
      </c>
      <c r="D1975" s="947" t="s">
        <v>2</v>
      </c>
      <c r="E1975" s="950">
        <v>88</v>
      </c>
      <c r="F1975" s="950">
        <v>4</v>
      </c>
      <c r="G1975" s="951">
        <v>468</v>
      </c>
      <c r="H1975" s="951">
        <v>449.8</v>
      </c>
      <c r="I1975" s="18"/>
    </row>
    <row r="1976" spans="1:9">
      <c r="A1976" s="943">
        <v>4</v>
      </c>
      <c r="B1976" s="944">
        <v>850.41</v>
      </c>
      <c r="C1976" s="944" t="s">
        <v>580</v>
      </c>
      <c r="D1976" s="943" t="s">
        <v>24</v>
      </c>
      <c r="E1976" s="952">
        <v>6550</v>
      </c>
      <c r="F1976" s="945">
        <v>9</v>
      </c>
      <c r="G1976" s="946">
        <v>60.5</v>
      </c>
      <c r="H1976" s="946">
        <v>66.099999999999994</v>
      </c>
    </row>
    <row r="1977" spans="1:9" s="26" customFormat="1">
      <c r="A1977" s="947">
        <v>4</v>
      </c>
      <c r="B1977" s="948">
        <v>851.1</v>
      </c>
      <c r="C1977" s="948" t="s">
        <v>581</v>
      </c>
      <c r="D1977" s="947" t="s">
        <v>42</v>
      </c>
      <c r="E1977" s="949">
        <v>6040</v>
      </c>
      <c r="F1977" s="950">
        <v>11</v>
      </c>
      <c r="G1977" s="951">
        <v>50</v>
      </c>
      <c r="H1977" s="951">
        <v>562.30999999999995</v>
      </c>
      <c r="I1977" s="18"/>
    </row>
    <row r="1978" spans="1:9">
      <c r="A1978" s="943">
        <v>4</v>
      </c>
      <c r="B1978" s="944">
        <v>852</v>
      </c>
      <c r="C1978" s="944" t="s">
        <v>49</v>
      </c>
      <c r="D1978" s="943" t="s">
        <v>3</v>
      </c>
      <c r="E1978" s="952">
        <v>72405</v>
      </c>
      <c r="F1978" s="945">
        <v>25</v>
      </c>
      <c r="G1978" s="946">
        <v>23.16</v>
      </c>
      <c r="H1978" s="946">
        <v>21.76</v>
      </c>
    </row>
    <row r="1979" spans="1:9" s="26" customFormat="1">
      <c r="A1979" s="947">
        <v>4</v>
      </c>
      <c r="B1979" s="948">
        <v>853.1</v>
      </c>
      <c r="C1979" s="948" t="s">
        <v>582</v>
      </c>
      <c r="D1979" s="947" t="s">
        <v>2</v>
      </c>
      <c r="E1979" s="950">
        <v>408</v>
      </c>
      <c r="F1979" s="950">
        <v>15</v>
      </c>
      <c r="G1979" s="951">
        <v>150</v>
      </c>
      <c r="H1979" s="951">
        <v>161.81</v>
      </c>
      <c r="I1979" s="18"/>
    </row>
    <row r="1980" spans="1:9">
      <c r="A1980" s="943">
        <v>4</v>
      </c>
      <c r="B1980" s="944">
        <v>853.2</v>
      </c>
      <c r="C1980" s="944" t="s">
        <v>1453</v>
      </c>
      <c r="D1980" s="943" t="s">
        <v>17</v>
      </c>
      <c r="E1980" s="952">
        <v>1000</v>
      </c>
      <c r="F1980" s="945">
        <v>3</v>
      </c>
      <c r="G1980" s="946">
        <v>85</v>
      </c>
      <c r="H1980" s="946">
        <v>92.86</v>
      </c>
    </row>
    <row r="1981" spans="1:9" s="26" customFormat="1">
      <c r="A1981" s="947">
        <v>4</v>
      </c>
      <c r="B1981" s="948">
        <v>853.21</v>
      </c>
      <c r="C1981" s="948" t="s">
        <v>583</v>
      </c>
      <c r="D1981" s="947" t="s">
        <v>17</v>
      </c>
      <c r="E1981" s="949">
        <v>93360</v>
      </c>
      <c r="F1981" s="950">
        <v>11</v>
      </c>
      <c r="G1981" s="951">
        <v>15</v>
      </c>
      <c r="H1981" s="951">
        <v>13.48</v>
      </c>
      <c r="I1981" s="18"/>
    </row>
    <row r="1982" spans="1:9">
      <c r="A1982" s="943">
        <v>4</v>
      </c>
      <c r="B1982" s="944">
        <v>853.23</v>
      </c>
      <c r="C1982" s="944" t="s">
        <v>584</v>
      </c>
      <c r="D1982" s="943" t="s">
        <v>17</v>
      </c>
      <c r="E1982" s="952">
        <v>7200</v>
      </c>
      <c r="F1982" s="945">
        <v>7</v>
      </c>
      <c r="G1982" s="946">
        <v>70</v>
      </c>
      <c r="H1982" s="946">
        <v>64.34</v>
      </c>
    </row>
    <row r="1983" spans="1:9" s="26" customFormat="1">
      <c r="A1983" s="947">
        <v>4</v>
      </c>
      <c r="B1983" s="948">
        <v>853.33</v>
      </c>
      <c r="C1983" s="948" t="s">
        <v>587</v>
      </c>
      <c r="D1983" s="947" t="s">
        <v>17</v>
      </c>
      <c r="E1983" s="949">
        <v>22950</v>
      </c>
      <c r="F1983" s="950">
        <v>6</v>
      </c>
      <c r="G1983" s="951">
        <v>100</v>
      </c>
      <c r="H1983" s="951">
        <v>96.24</v>
      </c>
      <c r="I1983" s="18"/>
    </row>
    <row r="1984" spans="1:9">
      <c r="A1984" s="943">
        <v>4</v>
      </c>
      <c r="B1984" s="944">
        <v>853.40300000000002</v>
      </c>
      <c r="C1984" s="944" t="s">
        <v>588</v>
      </c>
      <c r="D1984" s="943" t="s">
        <v>42</v>
      </c>
      <c r="E1984" s="952">
        <v>14775</v>
      </c>
      <c r="F1984" s="945">
        <v>18</v>
      </c>
      <c r="G1984" s="946">
        <v>200</v>
      </c>
      <c r="H1984" s="946">
        <v>192.99</v>
      </c>
    </row>
    <row r="1985" spans="1:9" s="26" customFormat="1">
      <c r="A1985" s="947">
        <v>4</v>
      </c>
      <c r="B1985" s="948">
        <v>853.8</v>
      </c>
      <c r="C1985" s="948" t="s">
        <v>589</v>
      </c>
      <c r="D1985" s="947" t="s">
        <v>42</v>
      </c>
      <c r="E1985" s="949">
        <v>4137</v>
      </c>
      <c r="F1985" s="950">
        <v>12</v>
      </c>
      <c r="G1985" s="951">
        <v>125</v>
      </c>
      <c r="H1985" s="951">
        <v>253.58</v>
      </c>
      <c r="I1985" s="18"/>
    </row>
    <row r="1986" spans="1:9">
      <c r="A1986" s="943">
        <v>4</v>
      </c>
      <c r="B1986" s="944">
        <v>854.01599999999996</v>
      </c>
      <c r="C1986" s="944" t="s">
        <v>591</v>
      </c>
      <c r="D1986" s="943" t="s">
        <v>17</v>
      </c>
      <c r="E1986" s="952">
        <v>4984410</v>
      </c>
      <c r="F1986" s="945">
        <v>12</v>
      </c>
      <c r="G1986" s="946">
        <v>0.5</v>
      </c>
      <c r="H1986" s="946">
        <v>0.53</v>
      </c>
    </row>
    <row r="1987" spans="1:9" s="26" customFormat="1">
      <c r="A1987" s="947">
        <v>4</v>
      </c>
      <c r="B1987" s="948">
        <v>854.03599999999994</v>
      </c>
      <c r="C1987" s="948" t="s">
        <v>592</v>
      </c>
      <c r="D1987" s="947" t="s">
        <v>17</v>
      </c>
      <c r="E1987" s="949">
        <v>272480</v>
      </c>
      <c r="F1987" s="950">
        <v>11</v>
      </c>
      <c r="G1987" s="951">
        <v>1.9</v>
      </c>
      <c r="H1987" s="951">
        <v>1.69</v>
      </c>
      <c r="I1987" s="18"/>
    </row>
    <row r="1988" spans="1:9">
      <c r="A1988" s="943">
        <v>4</v>
      </c>
      <c r="B1988" s="944">
        <v>854.1</v>
      </c>
      <c r="C1988" s="944" t="s">
        <v>593</v>
      </c>
      <c r="D1988" s="943" t="s">
        <v>3</v>
      </c>
      <c r="E1988" s="952">
        <v>118465</v>
      </c>
      <c r="F1988" s="945">
        <v>13</v>
      </c>
      <c r="G1988" s="946">
        <v>2.2999999999999998</v>
      </c>
      <c r="H1988" s="946">
        <v>2.31</v>
      </c>
    </row>
    <row r="1989" spans="1:9" s="26" customFormat="1">
      <c r="A1989" s="947">
        <v>4</v>
      </c>
      <c r="B1989" s="948">
        <v>854.6</v>
      </c>
      <c r="C1989" s="948" t="s">
        <v>1454</v>
      </c>
      <c r="D1989" s="947" t="s">
        <v>42</v>
      </c>
      <c r="E1989" s="949">
        <v>29848</v>
      </c>
      <c r="F1989" s="950">
        <v>8</v>
      </c>
      <c r="G1989" s="951">
        <v>20</v>
      </c>
      <c r="H1989" s="951">
        <v>24.79</v>
      </c>
      <c r="I1989" s="18"/>
    </row>
    <row r="1990" spans="1:9">
      <c r="A1990" s="943">
        <v>4</v>
      </c>
      <c r="B1990" s="944">
        <v>856</v>
      </c>
      <c r="C1990" s="944" t="s">
        <v>595</v>
      </c>
      <c r="D1990" s="943" t="s">
        <v>42</v>
      </c>
      <c r="E1990" s="952">
        <v>68031</v>
      </c>
      <c r="F1990" s="945">
        <v>24</v>
      </c>
      <c r="G1990" s="946">
        <v>10</v>
      </c>
      <c r="H1990" s="946">
        <v>10.09</v>
      </c>
    </row>
    <row r="1991" spans="1:9" s="26" customFormat="1">
      <c r="A1991" s="947">
        <v>4</v>
      </c>
      <c r="B1991" s="948">
        <v>856.12</v>
      </c>
      <c r="C1991" s="948" t="s">
        <v>596</v>
      </c>
      <c r="D1991" s="947" t="s">
        <v>42</v>
      </c>
      <c r="E1991" s="949">
        <v>105592</v>
      </c>
      <c r="F1991" s="950">
        <v>21</v>
      </c>
      <c r="G1991" s="951">
        <v>28</v>
      </c>
      <c r="H1991" s="951">
        <v>28.94</v>
      </c>
      <c r="I1991" s="18"/>
    </row>
    <row r="1992" spans="1:9">
      <c r="A1992" s="943">
        <v>4</v>
      </c>
      <c r="B1992" s="944">
        <v>859</v>
      </c>
      <c r="C1992" s="944" t="s">
        <v>28</v>
      </c>
      <c r="D1992" s="943" t="s">
        <v>42</v>
      </c>
      <c r="E1992" s="952">
        <v>3892780</v>
      </c>
      <c r="F1992" s="945">
        <v>21</v>
      </c>
      <c r="G1992" s="946">
        <v>0.25</v>
      </c>
      <c r="H1992" s="946">
        <v>0.25</v>
      </c>
    </row>
    <row r="1993" spans="1:9" s="26" customFormat="1">
      <c r="A1993" s="947">
        <v>4</v>
      </c>
      <c r="B1993" s="948">
        <v>859.1</v>
      </c>
      <c r="C1993" s="948" t="s">
        <v>1455</v>
      </c>
      <c r="D1993" s="947" t="s">
        <v>42</v>
      </c>
      <c r="E1993" s="949">
        <v>119562</v>
      </c>
      <c r="F1993" s="950">
        <v>19</v>
      </c>
      <c r="G1993" s="951">
        <v>4.75</v>
      </c>
      <c r="H1993" s="951">
        <v>4.41</v>
      </c>
      <c r="I1993" s="18"/>
    </row>
    <row r="1994" spans="1:9">
      <c r="A1994" s="943">
        <v>4</v>
      </c>
      <c r="B1994" s="944">
        <v>860.10599999999999</v>
      </c>
      <c r="C1994" s="944" t="s">
        <v>597</v>
      </c>
      <c r="D1994" s="943" t="s">
        <v>17</v>
      </c>
      <c r="E1994" s="952">
        <v>4050</v>
      </c>
      <c r="F1994" s="945">
        <v>1</v>
      </c>
      <c r="G1994" s="946">
        <v>1.75</v>
      </c>
      <c r="H1994" s="946">
        <v>1.67</v>
      </c>
    </row>
    <row r="1995" spans="1:9" s="26" customFormat="1">
      <c r="A1995" s="947">
        <v>4</v>
      </c>
      <c r="B1995" s="948">
        <v>861.10599999999999</v>
      </c>
      <c r="C1995" s="948" t="s">
        <v>599</v>
      </c>
      <c r="D1995" s="947" t="s">
        <v>17</v>
      </c>
      <c r="E1995" s="949">
        <v>7950</v>
      </c>
      <c r="F1995" s="950">
        <v>1</v>
      </c>
      <c r="G1995" s="951">
        <v>1.75</v>
      </c>
      <c r="H1995" s="951">
        <v>1.67</v>
      </c>
      <c r="I1995" s="18"/>
    </row>
    <row r="1996" spans="1:9">
      <c r="A1996" s="943">
        <v>4</v>
      </c>
      <c r="B1996" s="944">
        <v>864</v>
      </c>
      <c r="C1996" s="944" t="s">
        <v>601</v>
      </c>
      <c r="D1996" s="943" t="s">
        <v>3</v>
      </c>
      <c r="E1996" s="945">
        <v>200</v>
      </c>
      <c r="F1996" s="945">
        <v>1</v>
      </c>
      <c r="G1996" s="946">
        <v>6.5</v>
      </c>
      <c r="H1996" s="946">
        <v>5.25</v>
      </c>
    </row>
    <row r="1997" spans="1:9" s="26" customFormat="1">
      <c r="A1997" s="947">
        <v>4</v>
      </c>
      <c r="B1997" s="948">
        <v>864.02</v>
      </c>
      <c r="C1997" s="948" t="s">
        <v>603</v>
      </c>
      <c r="D1997" s="947" t="s">
        <v>3</v>
      </c>
      <c r="E1997" s="950">
        <v>300</v>
      </c>
      <c r="F1997" s="950">
        <v>2</v>
      </c>
      <c r="G1997" s="951">
        <v>67.5</v>
      </c>
      <c r="H1997" s="951">
        <v>78.599999999999994</v>
      </c>
      <c r="I1997" s="18"/>
    </row>
    <row r="1998" spans="1:9">
      <c r="A1998" s="943">
        <v>4</v>
      </c>
      <c r="B1998" s="944">
        <v>864.04</v>
      </c>
      <c r="C1998" s="944" t="s">
        <v>1456</v>
      </c>
      <c r="D1998" s="943" t="s">
        <v>3</v>
      </c>
      <c r="E1998" s="952">
        <v>53350</v>
      </c>
      <c r="F1998" s="945">
        <v>13</v>
      </c>
      <c r="G1998" s="946">
        <v>10</v>
      </c>
      <c r="H1998" s="946">
        <v>10.35</v>
      </c>
    </row>
    <row r="1999" spans="1:9" s="26" customFormat="1">
      <c r="A1999" s="947">
        <v>4</v>
      </c>
      <c r="B1999" s="948">
        <v>864.31</v>
      </c>
      <c r="C1999" s="948" t="s">
        <v>605</v>
      </c>
      <c r="D1999" s="947" t="s">
        <v>2</v>
      </c>
      <c r="E1999" s="949">
        <v>1785</v>
      </c>
      <c r="F1999" s="950">
        <v>4</v>
      </c>
      <c r="G1999" s="951">
        <v>37</v>
      </c>
      <c r="H1999" s="951">
        <v>37.53</v>
      </c>
      <c r="I1999" s="18"/>
    </row>
    <row r="2000" spans="1:9">
      <c r="A2000" s="943">
        <v>4</v>
      </c>
      <c r="B2000" s="944">
        <v>864.32</v>
      </c>
      <c r="C2000" s="944" t="s">
        <v>606</v>
      </c>
      <c r="D2000" s="943" t="s">
        <v>2</v>
      </c>
      <c r="E2000" s="952">
        <v>1425</v>
      </c>
      <c r="F2000" s="945">
        <v>2</v>
      </c>
      <c r="G2000" s="946">
        <v>43</v>
      </c>
      <c r="H2000" s="946">
        <v>41.13</v>
      </c>
    </row>
    <row r="2001" spans="1:9" s="26" customFormat="1">
      <c r="A2001" s="947">
        <v>4</v>
      </c>
      <c r="B2001" s="948">
        <v>864.33</v>
      </c>
      <c r="C2001" s="948" t="s">
        <v>607</v>
      </c>
      <c r="D2001" s="947" t="s">
        <v>2</v>
      </c>
      <c r="E2001" s="950">
        <v>300</v>
      </c>
      <c r="F2001" s="950">
        <v>1</v>
      </c>
      <c r="G2001" s="951">
        <v>32</v>
      </c>
      <c r="H2001" s="951">
        <v>31.58</v>
      </c>
      <c r="I2001" s="18"/>
    </row>
    <row r="2002" spans="1:9">
      <c r="A2002" s="943">
        <v>4</v>
      </c>
      <c r="B2002" s="944">
        <v>864.34</v>
      </c>
      <c r="C2002" s="944" t="s">
        <v>608</v>
      </c>
      <c r="D2002" s="943" t="s">
        <v>2</v>
      </c>
      <c r="E2002" s="952">
        <v>1530</v>
      </c>
      <c r="F2002" s="945">
        <v>2</v>
      </c>
      <c r="G2002" s="946">
        <v>32</v>
      </c>
      <c r="H2002" s="946">
        <v>31.46</v>
      </c>
    </row>
    <row r="2003" spans="1:9" s="26" customFormat="1">
      <c r="A2003" s="947">
        <v>4</v>
      </c>
      <c r="B2003" s="948">
        <v>864.35</v>
      </c>
      <c r="C2003" s="948" t="s">
        <v>609</v>
      </c>
      <c r="D2003" s="947" t="s">
        <v>2</v>
      </c>
      <c r="E2003" s="950">
        <v>690</v>
      </c>
      <c r="F2003" s="950">
        <v>1</v>
      </c>
      <c r="G2003" s="951">
        <v>34.47</v>
      </c>
      <c r="H2003" s="951">
        <v>36.159999999999997</v>
      </c>
      <c r="I2003" s="18"/>
    </row>
    <row r="2004" spans="1:9">
      <c r="A2004" s="943">
        <v>4</v>
      </c>
      <c r="B2004" s="944">
        <v>866.10599999999999</v>
      </c>
      <c r="C2004" s="944" t="s">
        <v>25</v>
      </c>
      <c r="D2004" s="943" t="s">
        <v>17</v>
      </c>
      <c r="E2004" s="952">
        <v>360745</v>
      </c>
      <c r="F2004" s="945">
        <v>9</v>
      </c>
      <c r="G2004" s="946">
        <v>1.88</v>
      </c>
      <c r="H2004" s="946">
        <v>1.62</v>
      </c>
    </row>
    <row r="2005" spans="1:9" s="26" customFormat="1">
      <c r="A2005" s="947">
        <v>4</v>
      </c>
      <c r="B2005" s="948">
        <v>866.11199999999997</v>
      </c>
      <c r="C2005" s="948" t="s">
        <v>610</v>
      </c>
      <c r="D2005" s="947" t="s">
        <v>17</v>
      </c>
      <c r="E2005" s="949">
        <v>154030</v>
      </c>
      <c r="F2005" s="950">
        <v>9</v>
      </c>
      <c r="G2005" s="951">
        <v>6</v>
      </c>
      <c r="H2005" s="951">
        <v>5.91</v>
      </c>
      <c r="I2005" s="18"/>
    </row>
    <row r="2006" spans="1:9">
      <c r="A2006" s="943">
        <v>4</v>
      </c>
      <c r="B2006" s="944">
        <v>866.20600000000002</v>
      </c>
      <c r="C2006" s="944" t="s">
        <v>611</v>
      </c>
      <c r="D2006" s="943" t="s">
        <v>17</v>
      </c>
      <c r="E2006" s="952">
        <v>214200</v>
      </c>
      <c r="F2006" s="945">
        <v>2</v>
      </c>
      <c r="G2006" s="946">
        <v>3.4</v>
      </c>
      <c r="H2006" s="946">
        <v>3.28</v>
      </c>
    </row>
    <row r="2007" spans="1:9" s="26" customFormat="1">
      <c r="A2007" s="947">
        <v>4</v>
      </c>
      <c r="B2007" s="948">
        <v>866.21199999999999</v>
      </c>
      <c r="C2007" s="948" t="s">
        <v>612</v>
      </c>
      <c r="D2007" s="947" t="s">
        <v>17</v>
      </c>
      <c r="E2007" s="949">
        <v>21500</v>
      </c>
      <c r="F2007" s="950">
        <v>1</v>
      </c>
      <c r="G2007" s="951">
        <v>12.4</v>
      </c>
      <c r="H2007" s="951">
        <v>11.83</v>
      </c>
      <c r="I2007" s="18"/>
    </row>
    <row r="2008" spans="1:9">
      <c r="A2008" s="943">
        <v>4</v>
      </c>
      <c r="B2008" s="944">
        <v>867.10599999999999</v>
      </c>
      <c r="C2008" s="944" t="s">
        <v>613</v>
      </c>
      <c r="D2008" s="943" t="s">
        <v>17</v>
      </c>
      <c r="E2008" s="952">
        <v>151570</v>
      </c>
      <c r="F2008" s="945">
        <v>11</v>
      </c>
      <c r="G2008" s="946">
        <v>2</v>
      </c>
      <c r="H2008" s="946">
        <v>1.78</v>
      </c>
    </row>
    <row r="2009" spans="1:9" s="26" customFormat="1">
      <c r="A2009" s="947">
        <v>4</v>
      </c>
      <c r="B2009" s="948">
        <v>867.11199999999997</v>
      </c>
      <c r="C2009" s="948" t="s">
        <v>50</v>
      </c>
      <c r="D2009" s="947" t="s">
        <v>17</v>
      </c>
      <c r="E2009" s="949">
        <v>17240</v>
      </c>
      <c r="F2009" s="950">
        <v>6</v>
      </c>
      <c r="G2009" s="951">
        <v>6.22</v>
      </c>
      <c r="H2009" s="951">
        <v>6.01</v>
      </c>
      <c r="I2009" s="18"/>
    </row>
    <row r="2010" spans="1:9">
      <c r="A2010" s="943">
        <v>4</v>
      </c>
      <c r="B2010" s="944">
        <v>867.20600000000002</v>
      </c>
      <c r="C2010" s="944" t="s">
        <v>614</v>
      </c>
      <c r="D2010" s="943" t="s">
        <v>17</v>
      </c>
      <c r="E2010" s="952">
        <v>195000</v>
      </c>
      <c r="F2010" s="945">
        <v>1</v>
      </c>
      <c r="G2010" s="946">
        <v>3</v>
      </c>
      <c r="H2010" s="946">
        <v>2.78</v>
      </c>
    </row>
    <row r="2011" spans="1:9" s="26" customFormat="1">
      <c r="A2011" s="947">
        <v>4</v>
      </c>
      <c r="B2011" s="948">
        <v>867.21199999999999</v>
      </c>
      <c r="C2011" s="948" t="s">
        <v>1523</v>
      </c>
      <c r="D2011" s="947" t="s">
        <v>17</v>
      </c>
      <c r="E2011" s="949">
        <v>2350</v>
      </c>
      <c r="F2011" s="950">
        <v>1</v>
      </c>
      <c r="G2011" s="951">
        <v>12.4</v>
      </c>
      <c r="H2011" s="951">
        <v>12.13</v>
      </c>
      <c r="I2011" s="18"/>
    </row>
    <row r="2012" spans="1:9">
      <c r="A2012" s="943">
        <v>4</v>
      </c>
      <c r="B2012" s="944">
        <v>874</v>
      </c>
      <c r="C2012" s="944" t="s">
        <v>23</v>
      </c>
      <c r="D2012" s="943" t="s">
        <v>2</v>
      </c>
      <c r="E2012" s="952">
        <v>1024</v>
      </c>
      <c r="F2012" s="945">
        <v>7</v>
      </c>
      <c r="G2012" s="946">
        <v>100</v>
      </c>
      <c r="H2012" s="946">
        <v>97.63</v>
      </c>
    </row>
    <row r="2013" spans="1:9" s="26" customFormat="1">
      <c r="A2013" s="947">
        <v>4</v>
      </c>
      <c r="B2013" s="948">
        <v>874.1</v>
      </c>
      <c r="C2013" s="948" t="s">
        <v>617</v>
      </c>
      <c r="D2013" s="947" t="s">
        <v>2</v>
      </c>
      <c r="E2013" s="950">
        <v>13</v>
      </c>
      <c r="F2013" s="950">
        <v>2</v>
      </c>
      <c r="G2013" s="951">
        <v>200</v>
      </c>
      <c r="H2013" s="951">
        <v>192.86</v>
      </c>
      <c r="I2013" s="18"/>
    </row>
    <row r="2014" spans="1:9">
      <c r="A2014" s="943">
        <v>4</v>
      </c>
      <c r="B2014" s="944">
        <v>874.2</v>
      </c>
      <c r="C2014" s="944" t="s">
        <v>618</v>
      </c>
      <c r="D2014" s="943" t="s">
        <v>2</v>
      </c>
      <c r="E2014" s="945">
        <v>237</v>
      </c>
      <c r="F2014" s="945">
        <v>10</v>
      </c>
      <c r="G2014" s="946">
        <v>150</v>
      </c>
      <c r="H2014" s="946">
        <v>162.34</v>
      </c>
    </row>
    <row r="2015" spans="1:9" s="26" customFormat="1">
      <c r="A2015" s="947">
        <v>4</v>
      </c>
      <c r="B2015" s="948">
        <v>874.4</v>
      </c>
      <c r="C2015" s="948" t="s">
        <v>620</v>
      </c>
      <c r="D2015" s="947" t="s">
        <v>2</v>
      </c>
      <c r="E2015" s="950">
        <v>20</v>
      </c>
      <c r="F2015" s="950">
        <v>3</v>
      </c>
      <c r="G2015" s="951">
        <v>40</v>
      </c>
      <c r="H2015" s="951">
        <v>37.1</v>
      </c>
      <c r="I2015" s="18"/>
    </row>
    <row r="2016" spans="1:9">
      <c r="A2016" s="943">
        <v>4</v>
      </c>
      <c r="B2016" s="944">
        <v>877.1</v>
      </c>
      <c r="C2016" s="944" t="s">
        <v>622</v>
      </c>
      <c r="D2016" s="943" t="s">
        <v>2</v>
      </c>
      <c r="E2016" s="945">
        <v>114</v>
      </c>
      <c r="F2016" s="945">
        <v>2</v>
      </c>
      <c r="G2016" s="946">
        <v>25</v>
      </c>
      <c r="H2016" s="946">
        <v>52.5</v>
      </c>
    </row>
    <row r="2017" spans="1:9" s="26" customFormat="1">
      <c r="A2017" s="947">
        <v>4</v>
      </c>
      <c r="B2017" s="948">
        <v>901</v>
      </c>
      <c r="C2017" s="948" t="s">
        <v>624</v>
      </c>
      <c r="D2017" s="947" t="s">
        <v>4</v>
      </c>
      <c r="E2017" s="950">
        <v>440</v>
      </c>
      <c r="F2017" s="950">
        <v>4</v>
      </c>
      <c r="G2017" s="951">
        <v>1150</v>
      </c>
      <c r="H2017" s="951">
        <v>1103</v>
      </c>
      <c r="I2017" s="18"/>
    </row>
    <row r="2018" spans="1:9">
      <c r="A2018" s="943">
        <v>4</v>
      </c>
      <c r="B2018" s="944">
        <v>903</v>
      </c>
      <c r="C2018" s="944" t="s">
        <v>626</v>
      </c>
      <c r="D2018" s="943" t="s">
        <v>4</v>
      </c>
      <c r="E2018" s="952">
        <v>1115</v>
      </c>
      <c r="F2018" s="945">
        <v>7</v>
      </c>
      <c r="G2018" s="946">
        <v>585</v>
      </c>
      <c r="H2018" s="946">
        <v>610.67999999999995</v>
      </c>
    </row>
    <row r="2019" spans="1:9" s="26" customFormat="1">
      <c r="A2019" s="947">
        <v>4</v>
      </c>
      <c r="B2019" s="948">
        <v>904</v>
      </c>
      <c r="C2019" s="948" t="s">
        <v>627</v>
      </c>
      <c r="D2019" s="947" t="s">
        <v>4</v>
      </c>
      <c r="E2019" s="950">
        <v>324</v>
      </c>
      <c r="F2019" s="950">
        <v>3</v>
      </c>
      <c r="G2019" s="951">
        <v>1250</v>
      </c>
      <c r="H2019" s="951">
        <v>1156.25</v>
      </c>
      <c r="I2019" s="18"/>
    </row>
    <row r="2020" spans="1:9">
      <c r="A2020" s="943">
        <v>4</v>
      </c>
      <c r="B2020" s="944">
        <v>904.3</v>
      </c>
      <c r="C2020" s="944" t="s">
        <v>628</v>
      </c>
      <c r="D2020" s="943" t="s">
        <v>4</v>
      </c>
      <c r="E2020" s="945">
        <v>80</v>
      </c>
      <c r="F2020" s="945">
        <v>1</v>
      </c>
      <c r="G2020" s="946">
        <v>4755</v>
      </c>
      <c r="H2020" s="946">
        <v>3627.5</v>
      </c>
    </row>
    <row r="2021" spans="1:9" s="26" customFormat="1">
      <c r="A2021" s="947">
        <v>4</v>
      </c>
      <c r="B2021" s="948">
        <v>904.4</v>
      </c>
      <c r="C2021" s="948" t="s">
        <v>629</v>
      </c>
      <c r="D2021" s="947" t="s">
        <v>4</v>
      </c>
      <c r="E2021" s="950">
        <v>26</v>
      </c>
      <c r="F2021" s="950">
        <v>2</v>
      </c>
      <c r="G2021" s="951">
        <v>8070</v>
      </c>
      <c r="H2021" s="951">
        <v>7046.67</v>
      </c>
      <c r="I2021" s="18"/>
    </row>
    <row r="2022" spans="1:9">
      <c r="A2022" s="943">
        <v>4</v>
      </c>
      <c r="B2022" s="944">
        <v>905</v>
      </c>
      <c r="C2022" s="944" t="s">
        <v>630</v>
      </c>
      <c r="D2022" s="943" t="s">
        <v>4</v>
      </c>
      <c r="E2022" s="952">
        <v>2073</v>
      </c>
      <c r="F2022" s="945">
        <v>4</v>
      </c>
      <c r="G2022" s="946">
        <v>3750</v>
      </c>
      <c r="H2022" s="946">
        <v>3416</v>
      </c>
    </row>
    <row r="2023" spans="1:9" s="26" customFormat="1">
      <c r="A2023" s="947">
        <v>4</v>
      </c>
      <c r="B2023" s="948">
        <v>909.2</v>
      </c>
      <c r="C2023" s="948" t="s">
        <v>635</v>
      </c>
      <c r="D2023" s="947" t="s">
        <v>3</v>
      </c>
      <c r="E2023" s="950">
        <v>400</v>
      </c>
      <c r="F2023" s="950">
        <v>2</v>
      </c>
      <c r="G2023" s="951">
        <v>55</v>
      </c>
      <c r="H2023" s="951">
        <v>48.33</v>
      </c>
      <c r="I2023" s="18"/>
    </row>
    <row r="2024" spans="1:9">
      <c r="A2024" s="943">
        <v>4</v>
      </c>
      <c r="B2024" s="944">
        <v>909.99</v>
      </c>
      <c r="C2024" s="944" t="s">
        <v>1458</v>
      </c>
      <c r="D2024" s="943" t="s">
        <v>634</v>
      </c>
      <c r="E2024" s="945">
        <v>15</v>
      </c>
      <c r="F2024" s="945">
        <v>1</v>
      </c>
      <c r="G2024" s="946">
        <v>250</v>
      </c>
      <c r="H2024" s="946">
        <v>238.33</v>
      </c>
    </row>
    <row r="2025" spans="1:9" s="26" customFormat="1">
      <c r="A2025" s="947">
        <v>4</v>
      </c>
      <c r="B2025" s="948">
        <v>910</v>
      </c>
      <c r="C2025" s="948" t="s">
        <v>636</v>
      </c>
      <c r="D2025" s="947" t="s">
        <v>100</v>
      </c>
      <c r="E2025" s="949">
        <v>37520</v>
      </c>
      <c r="F2025" s="950">
        <v>2</v>
      </c>
      <c r="G2025" s="951">
        <v>5</v>
      </c>
      <c r="H2025" s="951">
        <v>3.49</v>
      </c>
      <c r="I2025" s="18"/>
    </row>
    <row r="2026" spans="1:9">
      <c r="A2026" s="943">
        <v>4</v>
      </c>
      <c r="B2026" s="944">
        <v>910.1</v>
      </c>
      <c r="C2026" s="944" t="s">
        <v>637</v>
      </c>
      <c r="D2026" s="943" t="s">
        <v>100</v>
      </c>
      <c r="E2026" s="952">
        <v>821445</v>
      </c>
      <c r="F2026" s="945">
        <v>9</v>
      </c>
      <c r="G2026" s="946">
        <v>3</v>
      </c>
      <c r="H2026" s="946">
        <v>2.33</v>
      </c>
    </row>
    <row r="2027" spans="1:9" s="26" customFormat="1">
      <c r="A2027" s="947">
        <v>4</v>
      </c>
      <c r="B2027" s="948">
        <v>910.4</v>
      </c>
      <c r="C2027" s="948" t="s">
        <v>639</v>
      </c>
      <c r="D2027" s="947" t="s">
        <v>2</v>
      </c>
      <c r="E2027" s="950">
        <v>75</v>
      </c>
      <c r="F2027" s="950">
        <v>1</v>
      </c>
      <c r="G2027" s="951">
        <v>40</v>
      </c>
      <c r="H2027" s="951">
        <v>41.83</v>
      </c>
      <c r="I2027" s="18"/>
    </row>
    <row r="2028" spans="1:9">
      <c r="A2028" s="943">
        <v>4</v>
      </c>
      <c r="B2028" s="944">
        <v>912</v>
      </c>
      <c r="C2028" s="944" t="s">
        <v>641</v>
      </c>
      <c r="D2028" s="943" t="s">
        <v>2</v>
      </c>
      <c r="E2028" s="945">
        <v>300</v>
      </c>
      <c r="F2028" s="945">
        <v>1</v>
      </c>
      <c r="G2028" s="946">
        <v>55</v>
      </c>
      <c r="H2028" s="946">
        <v>56.9</v>
      </c>
    </row>
    <row r="2029" spans="1:9" s="26" customFormat="1">
      <c r="A2029" s="947">
        <v>4</v>
      </c>
      <c r="B2029" s="948">
        <v>915.4</v>
      </c>
      <c r="C2029" s="948" t="s">
        <v>3365</v>
      </c>
      <c r="D2029" s="947" t="s">
        <v>3</v>
      </c>
      <c r="E2029" s="950">
        <v>165</v>
      </c>
      <c r="F2029" s="950">
        <v>1</v>
      </c>
      <c r="G2029" s="951">
        <v>175</v>
      </c>
      <c r="H2029" s="951">
        <v>186.67</v>
      </c>
      <c r="I2029" s="18"/>
    </row>
    <row r="2030" spans="1:9">
      <c r="A2030" s="943">
        <v>4</v>
      </c>
      <c r="B2030" s="944">
        <v>922.4</v>
      </c>
      <c r="C2030" s="944" t="s">
        <v>4067</v>
      </c>
      <c r="D2030" s="943" t="s">
        <v>2</v>
      </c>
      <c r="E2030" s="945">
        <v>288</v>
      </c>
      <c r="F2030" s="945">
        <v>1</v>
      </c>
      <c r="G2030" s="946">
        <v>6775</v>
      </c>
      <c r="H2030" s="946">
        <v>6983.33</v>
      </c>
    </row>
    <row r="2031" spans="1:9" s="26" customFormat="1">
      <c r="A2031" s="947">
        <v>4</v>
      </c>
      <c r="B2031" s="948">
        <v>942.12400000000002</v>
      </c>
      <c r="C2031" s="948" t="s">
        <v>647</v>
      </c>
      <c r="D2031" s="947" t="s">
        <v>17</v>
      </c>
      <c r="E2031" s="949">
        <v>2880</v>
      </c>
      <c r="F2031" s="950">
        <v>1</v>
      </c>
      <c r="G2031" s="951">
        <v>210</v>
      </c>
      <c r="H2031" s="951">
        <v>200.5</v>
      </c>
      <c r="I2031" s="18"/>
    </row>
    <row r="2032" spans="1:9">
      <c r="A2032" s="943">
        <v>4</v>
      </c>
      <c r="B2032" s="944">
        <v>945.10299999999995</v>
      </c>
      <c r="C2032" s="944" t="s">
        <v>3492</v>
      </c>
      <c r="D2032" s="943" t="s">
        <v>17</v>
      </c>
      <c r="E2032" s="945">
        <v>250</v>
      </c>
      <c r="F2032" s="945">
        <v>1</v>
      </c>
      <c r="G2032" s="946">
        <v>3000</v>
      </c>
      <c r="H2032" s="946">
        <v>3048</v>
      </c>
    </row>
    <row r="2033" spans="1:9" s="26" customFormat="1">
      <c r="A2033" s="947">
        <v>4</v>
      </c>
      <c r="B2033" s="948">
        <v>945.10400000000004</v>
      </c>
      <c r="C2033" s="948" t="s">
        <v>3493</v>
      </c>
      <c r="D2033" s="947" t="s">
        <v>17</v>
      </c>
      <c r="E2033" s="950">
        <v>125</v>
      </c>
      <c r="F2033" s="950">
        <v>1</v>
      </c>
      <c r="G2033" s="951">
        <v>3310</v>
      </c>
      <c r="H2033" s="951">
        <v>3294</v>
      </c>
      <c r="I2033" s="18"/>
    </row>
    <row r="2034" spans="1:9">
      <c r="A2034" s="943">
        <v>4</v>
      </c>
      <c r="B2034" s="944">
        <v>945.202</v>
      </c>
      <c r="C2034" s="944" t="s">
        <v>649</v>
      </c>
      <c r="D2034" s="943" t="s">
        <v>17</v>
      </c>
      <c r="E2034" s="945">
        <v>140</v>
      </c>
      <c r="F2034" s="945">
        <v>1</v>
      </c>
      <c r="G2034" s="946">
        <v>11600</v>
      </c>
      <c r="H2034" s="946">
        <v>11560</v>
      </c>
    </row>
    <row r="2035" spans="1:9" s="26" customFormat="1">
      <c r="A2035" s="947">
        <v>4</v>
      </c>
      <c r="B2035" s="948">
        <v>945.30200000000002</v>
      </c>
      <c r="C2035" s="948" t="s">
        <v>3514</v>
      </c>
      <c r="D2035" s="947" t="s">
        <v>17</v>
      </c>
      <c r="E2035" s="950">
        <v>5</v>
      </c>
      <c r="F2035" s="950">
        <v>1</v>
      </c>
      <c r="G2035" s="951">
        <v>100</v>
      </c>
      <c r="H2035" s="951">
        <v>100</v>
      </c>
      <c r="I2035" s="18"/>
    </row>
    <row r="2036" spans="1:9">
      <c r="A2036" s="943">
        <v>4</v>
      </c>
      <c r="B2036" s="944">
        <v>945.303</v>
      </c>
      <c r="C2036" s="944" t="s">
        <v>3515</v>
      </c>
      <c r="D2036" s="943" t="s">
        <v>17</v>
      </c>
      <c r="E2036" s="945">
        <v>5</v>
      </c>
      <c r="F2036" s="945">
        <v>1</v>
      </c>
      <c r="G2036" s="946">
        <v>100</v>
      </c>
      <c r="H2036" s="946">
        <v>100</v>
      </c>
    </row>
    <row r="2037" spans="1:9" s="26" customFormat="1">
      <c r="A2037" s="947">
        <v>4</v>
      </c>
      <c r="B2037" s="948">
        <v>945.30399999999997</v>
      </c>
      <c r="C2037" s="948" t="s">
        <v>3516</v>
      </c>
      <c r="D2037" s="947" t="s">
        <v>17</v>
      </c>
      <c r="E2037" s="950">
        <v>125</v>
      </c>
      <c r="F2037" s="950">
        <v>1</v>
      </c>
      <c r="G2037" s="951">
        <v>5200</v>
      </c>
      <c r="H2037" s="951">
        <v>5130</v>
      </c>
      <c r="I2037" s="18"/>
    </row>
    <row r="2038" spans="1:9">
      <c r="A2038" s="943">
        <v>4</v>
      </c>
      <c r="B2038" s="944">
        <v>945.40300000000002</v>
      </c>
      <c r="C2038" s="944" t="s">
        <v>3527</v>
      </c>
      <c r="D2038" s="943" t="s">
        <v>17</v>
      </c>
      <c r="E2038" s="945">
        <v>100</v>
      </c>
      <c r="F2038" s="945">
        <v>1</v>
      </c>
      <c r="G2038" s="946">
        <v>1800</v>
      </c>
      <c r="H2038" s="946">
        <v>1876</v>
      </c>
    </row>
    <row r="2039" spans="1:9" s="26" customFormat="1">
      <c r="A2039" s="947">
        <v>4</v>
      </c>
      <c r="B2039" s="948">
        <v>945.404</v>
      </c>
      <c r="C2039" s="948" t="s">
        <v>3528</v>
      </c>
      <c r="D2039" s="947" t="s">
        <v>17</v>
      </c>
      <c r="E2039" s="950">
        <v>50</v>
      </c>
      <c r="F2039" s="950">
        <v>1</v>
      </c>
      <c r="G2039" s="951">
        <v>1900</v>
      </c>
      <c r="H2039" s="951">
        <v>1972</v>
      </c>
      <c r="I2039" s="18"/>
    </row>
    <row r="2040" spans="1:9">
      <c r="A2040" s="943">
        <v>4</v>
      </c>
      <c r="B2040" s="944">
        <v>945.50300000000004</v>
      </c>
      <c r="C2040" s="944" t="s">
        <v>3538</v>
      </c>
      <c r="D2040" s="943" t="s">
        <v>17</v>
      </c>
      <c r="E2040" s="945">
        <v>250</v>
      </c>
      <c r="F2040" s="945">
        <v>1</v>
      </c>
      <c r="G2040" s="946">
        <v>2150</v>
      </c>
      <c r="H2040" s="946">
        <v>2312</v>
      </c>
    </row>
    <row r="2041" spans="1:9" s="26" customFormat="1">
      <c r="A2041" s="947">
        <v>4</v>
      </c>
      <c r="B2041" s="948">
        <v>945.50400000000002</v>
      </c>
      <c r="C2041" s="948" t="s">
        <v>3539</v>
      </c>
      <c r="D2041" s="947" t="s">
        <v>17</v>
      </c>
      <c r="E2041" s="950">
        <v>125</v>
      </c>
      <c r="F2041" s="950">
        <v>1</v>
      </c>
      <c r="G2041" s="951">
        <v>2850</v>
      </c>
      <c r="H2041" s="951">
        <v>2696</v>
      </c>
      <c r="I2041" s="18"/>
    </row>
    <row r="2042" spans="1:9">
      <c r="A2042" s="943">
        <v>4</v>
      </c>
      <c r="B2042" s="944">
        <v>945.71</v>
      </c>
      <c r="C2042" s="944" t="s">
        <v>651</v>
      </c>
      <c r="D2042" s="943" t="s">
        <v>17</v>
      </c>
      <c r="E2042" s="952">
        <v>1480</v>
      </c>
      <c r="F2042" s="945">
        <v>2</v>
      </c>
      <c r="G2042" s="946">
        <v>22.5</v>
      </c>
      <c r="H2042" s="946">
        <v>23.17</v>
      </c>
    </row>
    <row r="2043" spans="1:9" s="26" customFormat="1">
      <c r="A2043" s="947">
        <v>4</v>
      </c>
      <c r="B2043" s="948">
        <v>945.72</v>
      </c>
      <c r="C2043" s="948" t="s">
        <v>652</v>
      </c>
      <c r="D2043" s="947" t="s">
        <v>2</v>
      </c>
      <c r="E2043" s="950">
        <v>26</v>
      </c>
      <c r="F2043" s="950">
        <v>2</v>
      </c>
      <c r="G2043" s="951">
        <v>3265</v>
      </c>
      <c r="H2043" s="951">
        <v>3172.5</v>
      </c>
      <c r="I2043" s="18"/>
    </row>
    <row r="2044" spans="1:9">
      <c r="A2044" s="943">
        <v>4</v>
      </c>
      <c r="B2044" s="944">
        <v>945.81</v>
      </c>
      <c r="C2044" s="944" t="s">
        <v>653</v>
      </c>
      <c r="D2044" s="943" t="s">
        <v>2</v>
      </c>
      <c r="E2044" s="945">
        <v>4</v>
      </c>
      <c r="F2044" s="945">
        <v>1</v>
      </c>
      <c r="G2044" s="946">
        <v>120000</v>
      </c>
      <c r="H2044" s="946">
        <v>115975</v>
      </c>
    </row>
    <row r="2045" spans="1:9" s="26" customFormat="1">
      <c r="A2045" s="947">
        <v>4</v>
      </c>
      <c r="B2045" s="948">
        <v>948.41</v>
      </c>
      <c r="C2045" s="948" t="s">
        <v>654</v>
      </c>
      <c r="D2045" s="947" t="s">
        <v>2</v>
      </c>
      <c r="E2045" s="950">
        <v>12</v>
      </c>
      <c r="F2045" s="950">
        <v>1</v>
      </c>
      <c r="G2045" s="951">
        <v>8500</v>
      </c>
      <c r="H2045" s="951">
        <v>8016.67</v>
      </c>
      <c r="I2045" s="18"/>
    </row>
    <row r="2046" spans="1:9">
      <c r="A2046" s="943">
        <v>4</v>
      </c>
      <c r="B2046" s="944">
        <v>948.5</v>
      </c>
      <c r="C2046" s="944" t="s">
        <v>655</v>
      </c>
      <c r="D2046" s="943" t="s">
        <v>2</v>
      </c>
      <c r="E2046" s="945">
        <v>100</v>
      </c>
      <c r="F2046" s="945">
        <v>1</v>
      </c>
      <c r="G2046" s="946">
        <v>175</v>
      </c>
      <c r="H2046" s="946">
        <v>163</v>
      </c>
    </row>
    <row r="2047" spans="1:9" s="26" customFormat="1">
      <c r="A2047" s="947">
        <v>4</v>
      </c>
      <c r="B2047" s="948">
        <v>950.1</v>
      </c>
      <c r="C2047" s="948" t="s">
        <v>656</v>
      </c>
      <c r="D2047" s="947" t="s">
        <v>22</v>
      </c>
      <c r="E2047" s="950">
        <v>3</v>
      </c>
      <c r="F2047" s="950">
        <v>1</v>
      </c>
      <c r="G2047" s="951">
        <v>800000</v>
      </c>
      <c r="H2047" s="951">
        <v>762700</v>
      </c>
      <c r="I2047" s="18"/>
    </row>
    <row r="2048" spans="1:9">
      <c r="A2048" s="943">
        <v>4</v>
      </c>
      <c r="B2048" s="944">
        <v>955</v>
      </c>
      <c r="C2048" s="944" t="s">
        <v>657</v>
      </c>
      <c r="D2048" s="943" t="s">
        <v>658</v>
      </c>
      <c r="E2048" s="945">
        <v>8</v>
      </c>
      <c r="F2048" s="945">
        <v>1</v>
      </c>
      <c r="G2048" s="946">
        <v>5013</v>
      </c>
      <c r="H2048" s="946">
        <v>5013</v>
      </c>
    </row>
    <row r="2049" spans="1:9" s="26" customFormat="1">
      <c r="A2049" s="947">
        <v>4</v>
      </c>
      <c r="B2049" s="948">
        <v>961.20100000000002</v>
      </c>
      <c r="C2049" s="948" t="s">
        <v>660</v>
      </c>
      <c r="D2049" s="947" t="s">
        <v>22</v>
      </c>
      <c r="E2049" s="950">
        <v>7</v>
      </c>
      <c r="F2049" s="950">
        <v>3</v>
      </c>
      <c r="G2049" s="951">
        <v>996000</v>
      </c>
      <c r="H2049" s="951">
        <v>983428.57</v>
      </c>
      <c r="I2049" s="18"/>
    </row>
    <row r="2050" spans="1:9">
      <c r="A2050" s="943">
        <v>4</v>
      </c>
      <c r="B2050" s="944">
        <v>961.202</v>
      </c>
      <c r="C2050" s="944" t="s">
        <v>660</v>
      </c>
      <c r="D2050" s="943" t="s">
        <v>22</v>
      </c>
      <c r="E2050" s="945">
        <v>6</v>
      </c>
      <c r="F2050" s="945">
        <v>2</v>
      </c>
      <c r="G2050" s="946">
        <v>820000</v>
      </c>
      <c r="H2050" s="946">
        <v>911025</v>
      </c>
    </row>
    <row r="2051" spans="1:9" s="26" customFormat="1">
      <c r="A2051" s="947">
        <v>4</v>
      </c>
      <c r="B2051" s="948">
        <v>961.20299999999997</v>
      </c>
      <c r="C2051" s="948" t="s">
        <v>661</v>
      </c>
      <c r="D2051" s="947" t="s">
        <v>22</v>
      </c>
      <c r="E2051" s="950">
        <v>5</v>
      </c>
      <c r="F2051" s="950">
        <v>2</v>
      </c>
      <c r="G2051" s="951">
        <v>820000</v>
      </c>
      <c r="H2051" s="951">
        <v>694000</v>
      </c>
      <c r="I2051" s="18"/>
    </row>
    <row r="2052" spans="1:9">
      <c r="A2052" s="943">
        <v>4</v>
      </c>
      <c r="B2052" s="944">
        <v>961.20399999999995</v>
      </c>
      <c r="C2052" s="944" t="s">
        <v>660</v>
      </c>
      <c r="D2052" s="943" t="s">
        <v>22</v>
      </c>
      <c r="E2052" s="945">
        <v>5</v>
      </c>
      <c r="F2052" s="945">
        <v>2</v>
      </c>
      <c r="G2052" s="946">
        <v>767500</v>
      </c>
      <c r="H2052" s="946">
        <v>694000</v>
      </c>
    </row>
    <row r="2053" spans="1:9" s="26" customFormat="1">
      <c r="A2053" s="947">
        <v>4</v>
      </c>
      <c r="B2053" s="948">
        <v>966</v>
      </c>
      <c r="C2053" s="948" t="s">
        <v>1466</v>
      </c>
      <c r="D2053" s="947" t="s">
        <v>3</v>
      </c>
      <c r="E2053" s="949">
        <v>57670</v>
      </c>
      <c r="F2053" s="950">
        <v>3</v>
      </c>
      <c r="G2053" s="951">
        <v>15</v>
      </c>
      <c r="H2053" s="951">
        <v>23.83</v>
      </c>
      <c r="I2053" s="18"/>
    </row>
    <row r="2054" spans="1:9">
      <c r="A2054" s="943">
        <v>4</v>
      </c>
      <c r="B2054" s="944">
        <v>983.1</v>
      </c>
      <c r="C2054" s="944" t="s">
        <v>672</v>
      </c>
      <c r="D2054" s="943" t="s">
        <v>7</v>
      </c>
      <c r="E2054" s="945">
        <v>840</v>
      </c>
      <c r="F2054" s="945">
        <v>2</v>
      </c>
      <c r="G2054" s="946">
        <v>100</v>
      </c>
      <c r="H2054" s="946">
        <v>103.55</v>
      </c>
    </row>
    <row r="2055" spans="1:9" s="26" customFormat="1">
      <c r="A2055" s="947">
        <v>4</v>
      </c>
      <c r="B2055" s="948">
        <v>985.01</v>
      </c>
      <c r="C2055" s="948" t="s">
        <v>1531</v>
      </c>
      <c r="D2055" s="947" t="s">
        <v>1</v>
      </c>
      <c r="E2055" s="949">
        <v>1100</v>
      </c>
      <c r="F2055" s="950">
        <v>1</v>
      </c>
      <c r="G2055" s="951">
        <v>225</v>
      </c>
      <c r="H2055" s="951">
        <v>182</v>
      </c>
      <c r="I2055" s="18"/>
    </row>
    <row r="2056" spans="1:9">
      <c r="A2056" s="943">
        <v>4</v>
      </c>
      <c r="B2056" s="944">
        <v>986</v>
      </c>
      <c r="C2056" s="944" t="s">
        <v>675</v>
      </c>
      <c r="D2056" s="943" t="s">
        <v>7</v>
      </c>
      <c r="E2056" s="945">
        <v>75</v>
      </c>
      <c r="F2056" s="945">
        <v>1</v>
      </c>
      <c r="G2056" s="946">
        <v>175</v>
      </c>
      <c r="H2056" s="946">
        <v>158.33000000000001</v>
      </c>
    </row>
    <row r="2057" spans="1:9" s="26" customFormat="1">
      <c r="A2057" s="947">
        <v>4</v>
      </c>
      <c r="B2057" s="948">
        <v>986.2</v>
      </c>
      <c r="C2057" s="948" t="s">
        <v>675</v>
      </c>
      <c r="D2057" s="947" t="s">
        <v>4</v>
      </c>
      <c r="E2057" s="950">
        <v>4</v>
      </c>
      <c r="F2057" s="950">
        <v>1</v>
      </c>
      <c r="G2057" s="951">
        <v>577.5</v>
      </c>
      <c r="H2057" s="951">
        <v>577.5</v>
      </c>
      <c r="I2057" s="18"/>
    </row>
    <row r="2058" spans="1:9">
      <c r="A2058" s="943">
        <v>4</v>
      </c>
      <c r="B2058" s="944">
        <v>987</v>
      </c>
      <c r="C2058" s="944" t="s">
        <v>1433</v>
      </c>
      <c r="D2058" s="943" t="s">
        <v>1</v>
      </c>
      <c r="E2058" s="945">
        <v>82</v>
      </c>
      <c r="F2058" s="945">
        <v>2</v>
      </c>
      <c r="G2058" s="946">
        <v>325</v>
      </c>
      <c r="H2058" s="946">
        <v>307.5</v>
      </c>
    </row>
    <row r="2059" spans="1:9" s="26" customFormat="1">
      <c r="A2059" s="947">
        <v>4</v>
      </c>
      <c r="B2059" s="948">
        <v>987.3</v>
      </c>
      <c r="C2059" s="948" t="s">
        <v>677</v>
      </c>
      <c r="D2059" s="947" t="s">
        <v>1</v>
      </c>
      <c r="E2059" s="949">
        <v>3435</v>
      </c>
      <c r="F2059" s="950">
        <v>2</v>
      </c>
      <c r="G2059" s="951">
        <v>201</v>
      </c>
      <c r="H2059" s="951">
        <v>207.43</v>
      </c>
      <c r="I2059" s="18"/>
    </row>
    <row r="2060" spans="1:9">
      <c r="A2060" s="943">
        <v>4</v>
      </c>
      <c r="B2060" s="944">
        <v>991.1</v>
      </c>
      <c r="C2060" s="944" t="s">
        <v>678</v>
      </c>
      <c r="D2060" s="943" t="s">
        <v>22</v>
      </c>
      <c r="E2060" s="945">
        <v>4</v>
      </c>
      <c r="F2060" s="945">
        <v>2</v>
      </c>
      <c r="G2060" s="946">
        <v>100000</v>
      </c>
      <c r="H2060" s="946">
        <v>82500</v>
      </c>
    </row>
    <row r="2061" spans="1:9" s="26" customFormat="1">
      <c r="A2061" s="947">
        <v>4</v>
      </c>
      <c r="B2061" s="948">
        <v>991.2</v>
      </c>
      <c r="C2061" s="948" t="s">
        <v>678</v>
      </c>
      <c r="D2061" s="947" t="s">
        <v>22</v>
      </c>
      <c r="E2061" s="950">
        <v>4</v>
      </c>
      <c r="F2061" s="950">
        <v>1</v>
      </c>
      <c r="G2061" s="951">
        <v>50000</v>
      </c>
      <c r="H2061" s="951">
        <v>50000</v>
      </c>
      <c r="I2061" s="18"/>
    </row>
    <row r="2062" spans="1:9">
      <c r="A2062" s="943">
        <v>4</v>
      </c>
      <c r="B2062" s="944">
        <v>992.1</v>
      </c>
      <c r="C2062" s="944" t="s">
        <v>679</v>
      </c>
      <c r="D2062" s="943" t="s">
        <v>22</v>
      </c>
      <c r="E2062" s="945">
        <v>3</v>
      </c>
      <c r="F2062" s="945">
        <v>1</v>
      </c>
      <c r="G2062" s="946">
        <v>88000</v>
      </c>
      <c r="H2062" s="946">
        <v>96133.33</v>
      </c>
    </row>
    <row r="2063" spans="1:9" s="26" customFormat="1">
      <c r="A2063" s="947">
        <v>4</v>
      </c>
      <c r="B2063" s="948">
        <v>994.01</v>
      </c>
      <c r="C2063" s="948" t="s">
        <v>682</v>
      </c>
      <c r="D2063" s="947" t="s">
        <v>22</v>
      </c>
      <c r="E2063" s="950">
        <v>7</v>
      </c>
      <c r="F2063" s="950">
        <v>3</v>
      </c>
      <c r="G2063" s="951">
        <v>152900</v>
      </c>
      <c r="H2063" s="951">
        <v>159400</v>
      </c>
      <c r="I2063" s="18"/>
    </row>
    <row r="2064" spans="1:9">
      <c r="A2064" s="943">
        <v>4</v>
      </c>
      <c r="B2064" s="944">
        <v>994.1</v>
      </c>
      <c r="C2064" s="944" t="s">
        <v>683</v>
      </c>
      <c r="D2064" s="943" t="s">
        <v>3</v>
      </c>
      <c r="E2064" s="952">
        <v>207355</v>
      </c>
      <c r="F2064" s="945">
        <v>6</v>
      </c>
      <c r="G2064" s="946">
        <v>12</v>
      </c>
      <c r="H2064" s="946">
        <v>11.64</v>
      </c>
    </row>
    <row r="2065" spans="1:9" s="26" customFormat="1">
      <c r="A2065" s="947">
        <v>4</v>
      </c>
      <c r="B2065" s="948">
        <v>994.3</v>
      </c>
      <c r="C2065" s="948" t="s">
        <v>3617</v>
      </c>
      <c r="D2065" s="947" t="s">
        <v>3</v>
      </c>
      <c r="E2065" s="949">
        <v>2700</v>
      </c>
      <c r="F2065" s="950">
        <v>1</v>
      </c>
      <c r="G2065" s="951">
        <v>10</v>
      </c>
      <c r="H2065" s="951">
        <v>9</v>
      </c>
      <c r="I2065" s="18"/>
    </row>
    <row r="2066" spans="1:9">
      <c r="A2066" s="943">
        <v>4</v>
      </c>
      <c r="B2066" s="944">
        <v>995.01</v>
      </c>
      <c r="C2066" s="944" t="s">
        <v>685</v>
      </c>
      <c r="D2066" s="943" t="s">
        <v>22</v>
      </c>
      <c r="E2066" s="945">
        <v>6</v>
      </c>
      <c r="F2066" s="945">
        <v>2</v>
      </c>
      <c r="G2066" s="946">
        <v>4020000</v>
      </c>
      <c r="H2066" s="946">
        <v>3893083.33</v>
      </c>
    </row>
    <row r="2067" spans="1:9" s="26" customFormat="1">
      <c r="A2067" s="947">
        <v>4</v>
      </c>
      <c r="B2067" s="948">
        <v>995.02</v>
      </c>
      <c r="C2067" s="948" t="s">
        <v>687</v>
      </c>
      <c r="D2067" s="947" t="s">
        <v>22</v>
      </c>
      <c r="E2067" s="950">
        <v>3</v>
      </c>
      <c r="F2067" s="950">
        <v>1</v>
      </c>
      <c r="G2067" s="951">
        <v>15000000</v>
      </c>
      <c r="H2067" s="951">
        <v>13666666.67</v>
      </c>
      <c r="I2067" s="18"/>
    </row>
    <row r="2068" spans="1:9">
      <c r="A2068" s="943">
        <v>4</v>
      </c>
      <c r="B2068" s="944">
        <v>995.03</v>
      </c>
      <c r="C2068" s="944" t="s">
        <v>687</v>
      </c>
      <c r="D2068" s="943" t="s">
        <v>22</v>
      </c>
      <c r="E2068" s="945">
        <v>3</v>
      </c>
      <c r="F2068" s="945">
        <v>1</v>
      </c>
      <c r="G2068" s="946">
        <v>14000000</v>
      </c>
      <c r="H2068" s="946">
        <v>13666666.67</v>
      </c>
    </row>
    <row r="2069" spans="1:9" s="26" customFormat="1">
      <c r="A2069" s="947">
        <v>4</v>
      </c>
      <c r="B2069" s="948">
        <v>996.01</v>
      </c>
      <c r="C2069" s="948" t="s">
        <v>688</v>
      </c>
      <c r="D2069" s="947" t="s">
        <v>22</v>
      </c>
      <c r="E2069" s="950">
        <v>4</v>
      </c>
      <c r="F2069" s="950">
        <v>1</v>
      </c>
      <c r="G2069" s="951">
        <v>691500</v>
      </c>
      <c r="H2069" s="951">
        <v>689500</v>
      </c>
      <c r="I2069" s="18"/>
    </row>
    <row r="2070" spans="1:9">
      <c r="A2070" s="943">
        <v>4</v>
      </c>
      <c r="B2070" s="944">
        <v>996.02</v>
      </c>
      <c r="C2070" s="944" t="s">
        <v>688</v>
      </c>
      <c r="D2070" s="943" t="s">
        <v>22</v>
      </c>
      <c r="E2070" s="945">
        <v>4</v>
      </c>
      <c r="F2070" s="945">
        <v>1</v>
      </c>
      <c r="G2070" s="946">
        <v>622500</v>
      </c>
      <c r="H2070" s="946">
        <v>622500</v>
      </c>
    </row>
    <row r="2071" spans="1:9" s="26" customFormat="1">
      <c r="A2071" s="947">
        <v>5</v>
      </c>
      <c r="B2071" s="948">
        <v>100</v>
      </c>
      <c r="C2071" s="948" t="s">
        <v>51</v>
      </c>
      <c r="D2071" s="947" t="s">
        <v>22</v>
      </c>
      <c r="E2071" s="950">
        <v>45</v>
      </c>
      <c r="F2071" s="950">
        <v>8</v>
      </c>
      <c r="G2071" s="951">
        <v>43500</v>
      </c>
      <c r="H2071" s="951">
        <v>40611.11</v>
      </c>
      <c r="I2071" s="18"/>
    </row>
    <row r="2072" spans="1:9">
      <c r="A2072" s="943">
        <v>5</v>
      </c>
      <c r="B2072" s="944">
        <v>100.001</v>
      </c>
      <c r="C2072" s="944" t="s">
        <v>82</v>
      </c>
      <c r="D2072" s="943" t="s">
        <v>24</v>
      </c>
      <c r="E2072" s="952">
        <v>5640</v>
      </c>
      <c r="F2072" s="945">
        <v>1</v>
      </c>
      <c r="G2072" s="946">
        <v>150</v>
      </c>
      <c r="H2072" s="946">
        <v>146</v>
      </c>
    </row>
    <row r="2073" spans="1:9" s="26" customFormat="1">
      <c r="A2073" s="947">
        <v>5</v>
      </c>
      <c r="B2073" s="948">
        <v>100.002</v>
      </c>
      <c r="C2073" s="948" t="s">
        <v>83</v>
      </c>
      <c r="D2073" s="947" t="s">
        <v>24</v>
      </c>
      <c r="E2073" s="949">
        <v>6782</v>
      </c>
      <c r="F2073" s="950">
        <v>4</v>
      </c>
      <c r="G2073" s="951">
        <v>100</v>
      </c>
      <c r="H2073" s="951">
        <v>94</v>
      </c>
      <c r="I2073" s="18"/>
    </row>
    <row r="2074" spans="1:9">
      <c r="A2074" s="943">
        <v>5</v>
      </c>
      <c r="B2074" s="944">
        <v>100.1</v>
      </c>
      <c r="C2074" s="944" t="s">
        <v>85</v>
      </c>
      <c r="D2074" s="943" t="s">
        <v>24</v>
      </c>
      <c r="E2074" s="952">
        <v>10760</v>
      </c>
      <c r="F2074" s="945">
        <v>6</v>
      </c>
      <c r="G2074" s="946">
        <v>133</v>
      </c>
      <c r="H2074" s="946">
        <v>135.04</v>
      </c>
    </row>
    <row r="2075" spans="1:9" s="26" customFormat="1">
      <c r="A2075" s="947">
        <v>5</v>
      </c>
      <c r="B2075" s="948">
        <v>100.71</v>
      </c>
      <c r="C2075" s="948" t="s">
        <v>88</v>
      </c>
      <c r="D2075" s="947" t="s">
        <v>22</v>
      </c>
      <c r="E2075" s="950">
        <v>3</v>
      </c>
      <c r="F2075" s="950">
        <v>1</v>
      </c>
      <c r="G2075" s="951">
        <v>12150</v>
      </c>
      <c r="H2075" s="951">
        <v>10266.67</v>
      </c>
      <c r="I2075" s="18"/>
    </row>
    <row r="2076" spans="1:9">
      <c r="A2076" s="943">
        <v>5</v>
      </c>
      <c r="B2076" s="944">
        <v>101</v>
      </c>
      <c r="C2076" s="944" t="s">
        <v>54</v>
      </c>
      <c r="D2076" s="943" t="s">
        <v>55</v>
      </c>
      <c r="E2076" s="945">
        <v>28.1</v>
      </c>
      <c r="F2076" s="945">
        <v>11</v>
      </c>
      <c r="G2076" s="946">
        <v>60000</v>
      </c>
      <c r="H2076" s="946">
        <v>59830.52</v>
      </c>
    </row>
    <row r="2077" spans="1:9" s="26" customFormat="1">
      <c r="A2077" s="947">
        <v>5</v>
      </c>
      <c r="B2077" s="948">
        <v>101.1</v>
      </c>
      <c r="C2077" s="948" t="s">
        <v>1273</v>
      </c>
      <c r="D2077" s="947" t="s">
        <v>55</v>
      </c>
      <c r="E2077" s="950">
        <v>0.5</v>
      </c>
      <c r="F2077" s="950">
        <v>1</v>
      </c>
      <c r="G2077" s="951">
        <v>50000</v>
      </c>
      <c r="H2077" s="951">
        <v>41912.5</v>
      </c>
      <c r="I2077" s="18"/>
    </row>
    <row r="2078" spans="1:9">
      <c r="A2078" s="943">
        <v>5</v>
      </c>
      <c r="B2078" s="944">
        <v>102</v>
      </c>
      <c r="C2078" s="944" t="s">
        <v>92</v>
      </c>
      <c r="D2078" s="943" t="s">
        <v>55</v>
      </c>
      <c r="E2078" s="945">
        <v>11</v>
      </c>
      <c r="F2078" s="945">
        <v>2</v>
      </c>
      <c r="G2078" s="946">
        <v>33450</v>
      </c>
      <c r="H2078" s="946">
        <v>34276.99</v>
      </c>
    </row>
    <row r="2079" spans="1:9" s="26" customFormat="1">
      <c r="A2079" s="947">
        <v>5</v>
      </c>
      <c r="B2079" s="948">
        <v>102.1</v>
      </c>
      <c r="C2079" s="948" t="s">
        <v>93</v>
      </c>
      <c r="D2079" s="947" t="s">
        <v>17</v>
      </c>
      <c r="E2079" s="949">
        <v>4780</v>
      </c>
      <c r="F2079" s="950">
        <v>2</v>
      </c>
      <c r="G2079" s="951">
        <v>32</v>
      </c>
      <c r="H2079" s="951">
        <v>29.37</v>
      </c>
      <c r="I2079" s="18"/>
    </row>
    <row r="2080" spans="1:9">
      <c r="A2080" s="943">
        <v>5</v>
      </c>
      <c r="B2080" s="944">
        <v>102.12</v>
      </c>
      <c r="C2080" s="944" t="s">
        <v>93</v>
      </c>
      <c r="D2080" s="943" t="s">
        <v>2</v>
      </c>
      <c r="E2080" s="945">
        <v>80</v>
      </c>
      <c r="F2080" s="945">
        <v>1</v>
      </c>
      <c r="G2080" s="946">
        <v>607</v>
      </c>
      <c r="H2080" s="946">
        <v>646.21</v>
      </c>
    </row>
    <row r="2081" spans="1:9" s="26" customFormat="1">
      <c r="A2081" s="947">
        <v>5</v>
      </c>
      <c r="B2081" s="948">
        <v>102.2</v>
      </c>
      <c r="C2081" s="948" t="s">
        <v>93</v>
      </c>
      <c r="D2081" s="947" t="s">
        <v>22</v>
      </c>
      <c r="E2081" s="950">
        <v>14</v>
      </c>
      <c r="F2081" s="950">
        <v>6</v>
      </c>
      <c r="G2081" s="951">
        <v>15000</v>
      </c>
      <c r="H2081" s="951">
        <v>13875</v>
      </c>
      <c r="I2081" s="18"/>
    </row>
    <row r="2082" spans="1:9">
      <c r="A2082" s="943">
        <v>5</v>
      </c>
      <c r="B2082" s="944">
        <v>102.3</v>
      </c>
      <c r="C2082" s="944" t="s">
        <v>3995</v>
      </c>
      <c r="D2082" s="943" t="s">
        <v>24</v>
      </c>
      <c r="E2082" s="945">
        <v>464</v>
      </c>
      <c r="F2082" s="945">
        <v>4</v>
      </c>
      <c r="G2082" s="946">
        <v>638</v>
      </c>
      <c r="H2082" s="946">
        <v>648.66999999999996</v>
      </c>
    </row>
    <row r="2083" spans="1:9" s="26" customFormat="1">
      <c r="A2083" s="947">
        <v>5</v>
      </c>
      <c r="B2083" s="948">
        <v>102.33</v>
      </c>
      <c r="C2083" s="948" t="s">
        <v>1275</v>
      </c>
      <c r="D2083" s="947" t="s">
        <v>24</v>
      </c>
      <c r="E2083" s="950">
        <v>186</v>
      </c>
      <c r="F2083" s="950">
        <v>4</v>
      </c>
      <c r="G2083" s="951">
        <v>375</v>
      </c>
      <c r="H2083" s="951">
        <v>368.71</v>
      </c>
      <c r="I2083" s="18"/>
    </row>
    <row r="2084" spans="1:9">
      <c r="A2084" s="943">
        <v>5</v>
      </c>
      <c r="B2084" s="944">
        <v>102.511</v>
      </c>
      <c r="C2084" s="944" t="s">
        <v>4029</v>
      </c>
      <c r="D2084" s="943" t="s">
        <v>2</v>
      </c>
      <c r="E2084" s="945">
        <v>537</v>
      </c>
      <c r="F2084" s="945">
        <v>7</v>
      </c>
      <c r="G2084" s="946">
        <v>430</v>
      </c>
      <c r="H2084" s="946">
        <v>427.02</v>
      </c>
    </row>
    <row r="2085" spans="1:9" s="26" customFormat="1">
      <c r="A2085" s="947">
        <v>5</v>
      </c>
      <c r="B2085" s="948">
        <v>102.521</v>
      </c>
      <c r="C2085" s="948" t="s">
        <v>1276</v>
      </c>
      <c r="D2085" s="947" t="s">
        <v>17</v>
      </c>
      <c r="E2085" s="949">
        <v>27015</v>
      </c>
      <c r="F2085" s="950">
        <v>10</v>
      </c>
      <c r="G2085" s="951">
        <v>12.41</v>
      </c>
      <c r="H2085" s="951">
        <v>12.71</v>
      </c>
      <c r="I2085" s="18"/>
    </row>
    <row r="2086" spans="1:9">
      <c r="A2086" s="943">
        <v>5</v>
      </c>
      <c r="B2086" s="944">
        <v>102.55</v>
      </c>
      <c r="C2086" s="944" t="s">
        <v>1277</v>
      </c>
      <c r="D2086" s="943" t="s">
        <v>24</v>
      </c>
      <c r="E2086" s="945">
        <v>944</v>
      </c>
      <c r="F2086" s="945">
        <v>5</v>
      </c>
      <c r="G2086" s="946">
        <v>285</v>
      </c>
      <c r="H2086" s="946">
        <v>256.64999999999998</v>
      </c>
    </row>
    <row r="2087" spans="1:9" s="26" customFormat="1">
      <c r="A2087" s="947">
        <v>5</v>
      </c>
      <c r="B2087" s="948">
        <v>103</v>
      </c>
      <c r="C2087" s="948" t="s">
        <v>35</v>
      </c>
      <c r="D2087" s="947" t="s">
        <v>2</v>
      </c>
      <c r="E2087" s="950">
        <v>209</v>
      </c>
      <c r="F2087" s="950">
        <v>8</v>
      </c>
      <c r="G2087" s="951">
        <v>2600</v>
      </c>
      <c r="H2087" s="951">
        <v>2608.04</v>
      </c>
      <c r="I2087" s="18"/>
    </row>
    <row r="2088" spans="1:9">
      <c r="A2088" s="943">
        <v>5</v>
      </c>
      <c r="B2088" s="944">
        <v>104</v>
      </c>
      <c r="C2088" s="944" t="s">
        <v>94</v>
      </c>
      <c r="D2088" s="943" t="s">
        <v>2</v>
      </c>
      <c r="E2088" s="945">
        <v>80</v>
      </c>
      <c r="F2088" s="945">
        <v>4</v>
      </c>
      <c r="G2088" s="946">
        <v>4000</v>
      </c>
      <c r="H2088" s="946">
        <v>4054.11</v>
      </c>
    </row>
    <row r="2089" spans="1:9" s="26" customFormat="1">
      <c r="A2089" s="947">
        <v>5</v>
      </c>
      <c r="B2089" s="948">
        <v>105</v>
      </c>
      <c r="C2089" s="948" t="s">
        <v>95</v>
      </c>
      <c r="D2089" s="947" t="s">
        <v>2</v>
      </c>
      <c r="E2089" s="950">
        <v>65</v>
      </c>
      <c r="F2089" s="950">
        <v>3</v>
      </c>
      <c r="G2089" s="951">
        <v>1000</v>
      </c>
      <c r="H2089" s="951">
        <v>1077.22</v>
      </c>
      <c r="I2089" s="18"/>
    </row>
    <row r="2090" spans="1:9">
      <c r="A2090" s="943">
        <v>5</v>
      </c>
      <c r="B2090" s="944">
        <v>106.12</v>
      </c>
      <c r="C2090" s="944" t="s">
        <v>96</v>
      </c>
      <c r="D2090" s="943" t="s">
        <v>17</v>
      </c>
      <c r="E2090" s="945">
        <v>330</v>
      </c>
      <c r="F2090" s="945">
        <v>1</v>
      </c>
      <c r="G2090" s="946">
        <v>130</v>
      </c>
      <c r="H2090" s="946">
        <v>107.74</v>
      </c>
    </row>
    <row r="2091" spans="1:9" s="26" customFormat="1">
      <c r="A2091" s="947">
        <v>5</v>
      </c>
      <c r="B2091" s="948">
        <v>107.97</v>
      </c>
      <c r="C2091" s="948" t="s">
        <v>103</v>
      </c>
      <c r="D2091" s="947" t="s">
        <v>100</v>
      </c>
      <c r="E2091" s="949">
        <v>81090</v>
      </c>
      <c r="F2091" s="950">
        <v>2</v>
      </c>
      <c r="G2091" s="951">
        <v>38</v>
      </c>
      <c r="H2091" s="951">
        <v>38.15</v>
      </c>
      <c r="I2091" s="18"/>
    </row>
    <row r="2092" spans="1:9">
      <c r="A2092" s="943">
        <v>5</v>
      </c>
      <c r="B2092" s="944">
        <v>114.1</v>
      </c>
      <c r="C2092" s="944" t="s">
        <v>104</v>
      </c>
      <c r="D2092" s="943" t="s">
        <v>22</v>
      </c>
      <c r="E2092" s="945">
        <v>7</v>
      </c>
      <c r="F2092" s="945">
        <v>2</v>
      </c>
      <c r="G2092" s="946">
        <v>125000</v>
      </c>
      <c r="H2092" s="946">
        <v>119428.57</v>
      </c>
    </row>
    <row r="2093" spans="1:9" s="26" customFormat="1">
      <c r="A2093" s="947">
        <v>5</v>
      </c>
      <c r="B2093" s="948">
        <v>114.2</v>
      </c>
      <c r="C2093" s="948" t="s">
        <v>104</v>
      </c>
      <c r="D2093" s="947" t="s">
        <v>22</v>
      </c>
      <c r="E2093" s="950">
        <v>5</v>
      </c>
      <c r="F2093" s="950">
        <v>1</v>
      </c>
      <c r="G2093" s="951">
        <v>100000</v>
      </c>
      <c r="H2093" s="951">
        <v>110200</v>
      </c>
      <c r="I2093" s="18"/>
    </row>
    <row r="2094" spans="1:9">
      <c r="A2094" s="943">
        <v>5</v>
      </c>
      <c r="B2094" s="944">
        <v>115.1</v>
      </c>
      <c r="C2094" s="944" t="s">
        <v>105</v>
      </c>
      <c r="D2094" s="943" t="s">
        <v>22</v>
      </c>
      <c r="E2094" s="945">
        <v>3</v>
      </c>
      <c r="F2094" s="945">
        <v>1</v>
      </c>
      <c r="G2094" s="946">
        <v>800000</v>
      </c>
      <c r="H2094" s="946">
        <v>800000</v>
      </c>
    </row>
    <row r="2095" spans="1:9" s="26" customFormat="1">
      <c r="A2095" s="947">
        <v>5</v>
      </c>
      <c r="B2095" s="948">
        <v>120</v>
      </c>
      <c r="C2095" s="948" t="s">
        <v>107</v>
      </c>
      <c r="D2095" s="947" t="s">
        <v>4</v>
      </c>
      <c r="E2095" s="949">
        <v>120125</v>
      </c>
      <c r="F2095" s="950">
        <v>4</v>
      </c>
      <c r="G2095" s="951">
        <v>50</v>
      </c>
      <c r="H2095" s="951">
        <v>49.13</v>
      </c>
      <c r="I2095" s="18"/>
    </row>
    <row r="2096" spans="1:9">
      <c r="A2096" s="943">
        <v>5</v>
      </c>
      <c r="B2096" s="944">
        <v>120.1</v>
      </c>
      <c r="C2096" s="944" t="s">
        <v>19</v>
      </c>
      <c r="D2096" s="943" t="s">
        <v>4</v>
      </c>
      <c r="E2096" s="952">
        <v>166932</v>
      </c>
      <c r="F2096" s="945">
        <v>17</v>
      </c>
      <c r="G2096" s="946">
        <v>60</v>
      </c>
      <c r="H2096" s="946">
        <v>60.99</v>
      </c>
    </row>
    <row r="2097" spans="1:9" s="26" customFormat="1">
      <c r="A2097" s="947">
        <v>5</v>
      </c>
      <c r="B2097" s="948">
        <v>121</v>
      </c>
      <c r="C2097" s="948" t="s">
        <v>108</v>
      </c>
      <c r="D2097" s="947" t="s">
        <v>4</v>
      </c>
      <c r="E2097" s="949">
        <v>4200</v>
      </c>
      <c r="F2097" s="950">
        <v>4</v>
      </c>
      <c r="G2097" s="951">
        <v>180</v>
      </c>
      <c r="H2097" s="951">
        <v>185.5</v>
      </c>
      <c r="I2097" s="18"/>
    </row>
    <row r="2098" spans="1:9">
      <c r="A2098" s="943">
        <v>5</v>
      </c>
      <c r="B2098" s="944">
        <v>123</v>
      </c>
      <c r="C2098" s="944" t="s">
        <v>109</v>
      </c>
      <c r="D2098" s="943" t="s">
        <v>4</v>
      </c>
      <c r="E2098" s="952">
        <v>1700</v>
      </c>
      <c r="F2098" s="945">
        <v>3</v>
      </c>
      <c r="G2098" s="946">
        <v>80</v>
      </c>
      <c r="H2098" s="946">
        <v>92.33</v>
      </c>
    </row>
    <row r="2099" spans="1:9" s="26" customFormat="1">
      <c r="A2099" s="947">
        <v>5</v>
      </c>
      <c r="B2099" s="948">
        <v>127</v>
      </c>
      <c r="C2099" s="948" t="s">
        <v>111</v>
      </c>
      <c r="D2099" s="947" t="s">
        <v>4</v>
      </c>
      <c r="E2099" s="950">
        <v>720</v>
      </c>
      <c r="F2099" s="950">
        <v>1</v>
      </c>
      <c r="G2099" s="951">
        <v>248</v>
      </c>
      <c r="H2099" s="951">
        <v>252.88</v>
      </c>
      <c r="I2099" s="18"/>
    </row>
    <row r="2100" spans="1:9">
      <c r="A2100" s="943">
        <v>5</v>
      </c>
      <c r="B2100" s="944">
        <v>127.1</v>
      </c>
      <c r="C2100" s="944" t="s">
        <v>112</v>
      </c>
      <c r="D2100" s="943" t="s">
        <v>4</v>
      </c>
      <c r="E2100" s="952">
        <v>9570</v>
      </c>
      <c r="F2100" s="945">
        <v>8</v>
      </c>
      <c r="G2100" s="946">
        <v>1487.5</v>
      </c>
      <c r="H2100" s="946">
        <v>2693.72</v>
      </c>
    </row>
    <row r="2101" spans="1:9" s="26" customFormat="1">
      <c r="A2101" s="947">
        <v>5</v>
      </c>
      <c r="B2101" s="948">
        <v>127.4</v>
      </c>
      <c r="C2101" s="948" t="s">
        <v>113</v>
      </c>
      <c r="D2101" s="947" t="s">
        <v>1</v>
      </c>
      <c r="E2101" s="949">
        <v>3070</v>
      </c>
      <c r="F2101" s="950">
        <v>3</v>
      </c>
      <c r="G2101" s="951">
        <v>850</v>
      </c>
      <c r="H2101" s="951">
        <v>960.28</v>
      </c>
      <c r="I2101" s="18"/>
    </row>
    <row r="2102" spans="1:9">
      <c r="A2102" s="943">
        <v>5</v>
      </c>
      <c r="B2102" s="944">
        <v>127.41</v>
      </c>
      <c r="C2102" s="944" t="s">
        <v>114</v>
      </c>
      <c r="D2102" s="943" t="s">
        <v>4</v>
      </c>
      <c r="E2102" s="945">
        <v>445</v>
      </c>
      <c r="F2102" s="945">
        <v>3</v>
      </c>
      <c r="G2102" s="946">
        <v>3270.5</v>
      </c>
      <c r="H2102" s="946">
        <v>2981.82</v>
      </c>
    </row>
    <row r="2103" spans="1:9" s="26" customFormat="1">
      <c r="A2103" s="947">
        <v>5</v>
      </c>
      <c r="B2103" s="948">
        <v>129.6</v>
      </c>
      <c r="C2103" s="948" t="s">
        <v>117</v>
      </c>
      <c r="D2103" s="947" t="s">
        <v>1</v>
      </c>
      <c r="E2103" s="949">
        <v>12750</v>
      </c>
      <c r="F2103" s="950">
        <v>3</v>
      </c>
      <c r="G2103" s="951">
        <v>30</v>
      </c>
      <c r="H2103" s="951">
        <v>28.35</v>
      </c>
      <c r="I2103" s="18"/>
    </row>
    <row r="2104" spans="1:9">
      <c r="A2104" s="943">
        <v>5</v>
      </c>
      <c r="B2104" s="944">
        <v>140</v>
      </c>
      <c r="C2104" s="944" t="s">
        <v>118</v>
      </c>
      <c r="D2104" s="943" t="s">
        <v>4</v>
      </c>
      <c r="E2104" s="952">
        <v>6570</v>
      </c>
      <c r="F2104" s="945">
        <v>2</v>
      </c>
      <c r="G2104" s="946">
        <v>75</v>
      </c>
      <c r="H2104" s="946">
        <v>85.77</v>
      </c>
    </row>
    <row r="2105" spans="1:9" s="26" customFormat="1">
      <c r="A2105" s="947">
        <v>5</v>
      </c>
      <c r="B2105" s="948">
        <v>141</v>
      </c>
      <c r="C2105" s="948" t="s">
        <v>120</v>
      </c>
      <c r="D2105" s="947" t="s">
        <v>4</v>
      </c>
      <c r="E2105" s="949">
        <v>7791</v>
      </c>
      <c r="F2105" s="950">
        <v>7</v>
      </c>
      <c r="G2105" s="951">
        <v>100</v>
      </c>
      <c r="H2105" s="951">
        <v>87.85</v>
      </c>
      <c r="I2105" s="18"/>
    </row>
    <row r="2106" spans="1:9">
      <c r="A2106" s="943">
        <v>5</v>
      </c>
      <c r="B2106" s="944">
        <v>141.1</v>
      </c>
      <c r="C2106" s="944" t="s">
        <v>121</v>
      </c>
      <c r="D2106" s="943" t="s">
        <v>4</v>
      </c>
      <c r="E2106" s="952">
        <v>4385</v>
      </c>
      <c r="F2106" s="945">
        <v>16</v>
      </c>
      <c r="G2106" s="946">
        <v>165</v>
      </c>
      <c r="H2106" s="946">
        <v>161.86000000000001</v>
      </c>
    </row>
    <row r="2107" spans="1:9" s="26" customFormat="1">
      <c r="A2107" s="947">
        <v>5</v>
      </c>
      <c r="B2107" s="948">
        <v>142</v>
      </c>
      <c r="C2107" s="948" t="s">
        <v>122</v>
      </c>
      <c r="D2107" s="947" t="s">
        <v>4</v>
      </c>
      <c r="E2107" s="949">
        <v>3401</v>
      </c>
      <c r="F2107" s="950">
        <v>10</v>
      </c>
      <c r="G2107" s="951">
        <v>53.5</v>
      </c>
      <c r="H2107" s="951">
        <v>47.79</v>
      </c>
      <c r="I2107" s="18"/>
    </row>
    <row r="2108" spans="1:9">
      <c r="A2108" s="943">
        <v>5</v>
      </c>
      <c r="B2108" s="944">
        <v>143</v>
      </c>
      <c r="C2108" s="944" t="s">
        <v>123</v>
      </c>
      <c r="D2108" s="943" t="s">
        <v>4</v>
      </c>
      <c r="E2108" s="945">
        <v>80</v>
      </c>
      <c r="F2108" s="945">
        <v>1</v>
      </c>
      <c r="G2108" s="946">
        <v>100</v>
      </c>
      <c r="H2108" s="946">
        <v>96.25</v>
      </c>
    </row>
    <row r="2109" spans="1:9" s="26" customFormat="1">
      <c r="A2109" s="947">
        <v>5</v>
      </c>
      <c r="B2109" s="948">
        <v>144</v>
      </c>
      <c r="C2109" s="948" t="s">
        <v>124</v>
      </c>
      <c r="D2109" s="947" t="s">
        <v>4</v>
      </c>
      <c r="E2109" s="949">
        <v>2213</v>
      </c>
      <c r="F2109" s="950">
        <v>16</v>
      </c>
      <c r="G2109" s="951">
        <v>255</v>
      </c>
      <c r="H2109" s="951">
        <v>263.18</v>
      </c>
      <c r="I2109" s="18"/>
    </row>
    <row r="2110" spans="1:9">
      <c r="A2110" s="943">
        <v>5</v>
      </c>
      <c r="B2110" s="944">
        <v>145</v>
      </c>
      <c r="C2110" s="944" t="s">
        <v>125</v>
      </c>
      <c r="D2110" s="943" t="s">
        <v>2</v>
      </c>
      <c r="E2110" s="945">
        <v>8</v>
      </c>
      <c r="F2110" s="945">
        <v>1</v>
      </c>
      <c r="G2110" s="946">
        <v>1300</v>
      </c>
      <c r="H2110" s="946">
        <v>1237.5</v>
      </c>
    </row>
    <row r="2111" spans="1:9" s="26" customFormat="1">
      <c r="A2111" s="947">
        <v>5</v>
      </c>
      <c r="B2111" s="948">
        <v>146</v>
      </c>
      <c r="C2111" s="948" t="s">
        <v>126</v>
      </c>
      <c r="D2111" s="947" t="s">
        <v>2</v>
      </c>
      <c r="E2111" s="950">
        <v>510</v>
      </c>
      <c r="F2111" s="950">
        <v>10</v>
      </c>
      <c r="G2111" s="951">
        <v>1362.5</v>
      </c>
      <c r="H2111" s="951">
        <v>1289.43</v>
      </c>
      <c r="I2111" s="18"/>
    </row>
    <row r="2112" spans="1:9">
      <c r="A2112" s="943">
        <v>5</v>
      </c>
      <c r="B2112" s="944">
        <v>149.19999999999999</v>
      </c>
      <c r="C2112" s="944" t="s">
        <v>1284</v>
      </c>
      <c r="D2112" s="943" t="s">
        <v>22</v>
      </c>
      <c r="E2112" s="945">
        <v>4</v>
      </c>
      <c r="F2112" s="945">
        <v>2</v>
      </c>
      <c r="G2112" s="946">
        <v>82500</v>
      </c>
      <c r="H2112" s="946">
        <v>95000</v>
      </c>
    </row>
    <row r="2113" spans="1:9" s="26" customFormat="1">
      <c r="A2113" s="947">
        <v>5</v>
      </c>
      <c r="B2113" s="948">
        <v>150</v>
      </c>
      <c r="C2113" s="948" t="s">
        <v>128</v>
      </c>
      <c r="D2113" s="947" t="s">
        <v>4</v>
      </c>
      <c r="E2113" s="949">
        <v>8060</v>
      </c>
      <c r="F2113" s="950">
        <v>11</v>
      </c>
      <c r="G2113" s="951">
        <v>57.5</v>
      </c>
      <c r="H2113" s="951">
        <v>58.09</v>
      </c>
      <c r="I2113" s="18"/>
    </row>
    <row r="2114" spans="1:9">
      <c r="A2114" s="943">
        <v>5</v>
      </c>
      <c r="B2114" s="944">
        <v>150.1</v>
      </c>
      <c r="C2114" s="944" t="s">
        <v>129</v>
      </c>
      <c r="D2114" s="943" t="s">
        <v>4</v>
      </c>
      <c r="E2114" s="952">
        <v>16250</v>
      </c>
      <c r="F2114" s="945">
        <v>4</v>
      </c>
      <c r="G2114" s="946">
        <v>66</v>
      </c>
      <c r="H2114" s="946">
        <v>68.06</v>
      </c>
    </row>
    <row r="2115" spans="1:9" s="26" customFormat="1">
      <c r="A2115" s="947">
        <v>5</v>
      </c>
      <c r="B2115" s="948">
        <v>151</v>
      </c>
      <c r="C2115" s="948" t="s">
        <v>5</v>
      </c>
      <c r="D2115" s="947" t="s">
        <v>4</v>
      </c>
      <c r="E2115" s="949">
        <v>146620</v>
      </c>
      <c r="F2115" s="950">
        <v>19</v>
      </c>
      <c r="G2115" s="951">
        <v>56.05</v>
      </c>
      <c r="H2115" s="951">
        <v>57.24</v>
      </c>
      <c r="I2115" s="18"/>
    </row>
    <row r="2116" spans="1:9">
      <c r="A2116" s="943">
        <v>5</v>
      </c>
      <c r="B2116" s="944">
        <v>151.01</v>
      </c>
      <c r="C2116" s="944" t="s">
        <v>130</v>
      </c>
      <c r="D2116" s="943" t="s">
        <v>4</v>
      </c>
      <c r="E2116" s="952">
        <v>1405</v>
      </c>
      <c r="F2116" s="945">
        <v>4</v>
      </c>
      <c r="G2116" s="946">
        <v>80</v>
      </c>
      <c r="H2116" s="946">
        <v>77.64</v>
      </c>
    </row>
    <row r="2117" spans="1:9" s="26" customFormat="1">
      <c r="A2117" s="947">
        <v>5</v>
      </c>
      <c r="B2117" s="948">
        <v>151.19999999999999</v>
      </c>
      <c r="C2117" s="948" t="s">
        <v>52</v>
      </c>
      <c r="D2117" s="947" t="s">
        <v>4</v>
      </c>
      <c r="E2117" s="949">
        <v>14189</v>
      </c>
      <c r="F2117" s="950">
        <v>10</v>
      </c>
      <c r="G2117" s="951">
        <v>70</v>
      </c>
      <c r="H2117" s="951">
        <v>67.069999999999993</v>
      </c>
      <c r="I2117" s="18"/>
    </row>
    <row r="2118" spans="1:9">
      <c r="A2118" s="943">
        <v>5</v>
      </c>
      <c r="B2118" s="944">
        <v>153</v>
      </c>
      <c r="C2118" s="944" t="s">
        <v>134</v>
      </c>
      <c r="D2118" s="943" t="s">
        <v>4</v>
      </c>
      <c r="E2118" s="952">
        <v>1543</v>
      </c>
      <c r="F2118" s="945">
        <v>6</v>
      </c>
      <c r="G2118" s="946">
        <v>250</v>
      </c>
      <c r="H2118" s="946">
        <v>246.61</v>
      </c>
    </row>
    <row r="2119" spans="1:9" s="26" customFormat="1">
      <c r="A2119" s="947">
        <v>5</v>
      </c>
      <c r="B2119" s="948">
        <v>153.1</v>
      </c>
      <c r="C2119" s="948" t="s">
        <v>135</v>
      </c>
      <c r="D2119" s="947" t="s">
        <v>4</v>
      </c>
      <c r="E2119" s="950">
        <v>80</v>
      </c>
      <c r="F2119" s="950">
        <v>1</v>
      </c>
      <c r="G2119" s="951">
        <v>318.05</v>
      </c>
      <c r="H2119" s="951">
        <v>274.02999999999997</v>
      </c>
      <c r="I2119" s="18"/>
    </row>
    <row r="2120" spans="1:9">
      <c r="A2120" s="943">
        <v>5</v>
      </c>
      <c r="B2120" s="944">
        <v>154</v>
      </c>
      <c r="C2120" s="944" t="s">
        <v>136</v>
      </c>
      <c r="D2120" s="943" t="s">
        <v>4</v>
      </c>
      <c r="E2120" s="952">
        <v>1864</v>
      </c>
      <c r="F2120" s="945">
        <v>5</v>
      </c>
      <c r="G2120" s="946">
        <v>75</v>
      </c>
      <c r="H2120" s="946">
        <v>73.64</v>
      </c>
    </row>
    <row r="2121" spans="1:9" s="26" customFormat="1">
      <c r="A2121" s="947">
        <v>5</v>
      </c>
      <c r="B2121" s="948">
        <v>156</v>
      </c>
      <c r="C2121" s="948" t="s">
        <v>26</v>
      </c>
      <c r="D2121" s="947" t="s">
        <v>7</v>
      </c>
      <c r="E2121" s="949">
        <v>10180</v>
      </c>
      <c r="F2121" s="950">
        <v>16</v>
      </c>
      <c r="G2121" s="951">
        <v>72.5</v>
      </c>
      <c r="H2121" s="951">
        <v>72.900000000000006</v>
      </c>
      <c r="I2121" s="18"/>
    </row>
    <row r="2122" spans="1:9">
      <c r="A2122" s="943">
        <v>5</v>
      </c>
      <c r="B2122" s="944">
        <v>156.5</v>
      </c>
      <c r="C2122" s="944" t="s">
        <v>138</v>
      </c>
      <c r="D2122" s="943" t="s">
        <v>4</v>
      </c>
      <c r="E2122" s="945">
        <v>560</v>
      </c>
      <c r="F2122" s="945">
        <v>1</v>
      </c>
      <c r="G2122" s="946">
        <v>95</v>
      </c>
      <c r="H2122" s="946">
        <v>91.14</v>
      </c>
    </row>
    <row r="2123" spans="1:9" s="26" customFormat="1">
      <c r="A2123" s="947">
        <v>5</v>
      </c>
      <c r="B2123" s="948">
        <v>170</v>
      </c>
      <c r="C2123" s="948" t="s">
        <v>1287</v>
      </c>
      <c r="D2123" s="947" t="s">
        <v>1</v>
      </c>
      <c r="E2123" s="949">
        <v>345675</v>
      </c>
      <c r="F2123" s="950">
        <v>15</v>
      </c>
      <c r="G2123" s="951">
        <v>15</v>
      </c>
      <c r="H2123" s="951">
        <v>13.98</v>
      </c>
      <c r="I2123" s="18"/>
    </row>
    <row r="2124" spans="1:9">
      <c r="A2124" s="943">
        <v>5</v>
      </c>
      <c r="B2124" s="944">
        <v>180.01</v>
      </c>
      <c r="C2124" s="944" t="s">
        <v>1288</v>
      </c>
      <c r="D2124" s="943" t="s">
        <v>22</v>
      </c>
      <c r="E2124" s="945">
        <v>31</v>
      </c>
      <c r="F2124" s="945">
        <v>15</v>
      </c>
      <c r="G2124" s="946">
        <v>10000</v>
      </c>
      <c r="H2124" s="946">
        <v>8536.51</v>
      </c>
    </row>
    <row r="2125" spans="1:9" s="26" customFormat="1">
      <c r="A2125" s="947">
        <v>5</v>
      </c>
      <c r="B2125" s="948">
        <v>180.02</v>
      </c>
      <c r="C2125" s="948" t="s">
        <v>1289</v>
      </c>
      <c r="D2125" s="947" t="s">
        <v>24</v>
      </c>
      <c r="E2125" s="949">
        <v>1756</v>
      </c>
      <c r="F2125" s="950">
        <v>13</v>
      </c>
      <c r="G2125" s="951">
        <v>18.75</v>
      </c>
      <c r="H2125" s="951">
        <v>25.12</v>
      </c>
      <c r="I2125" s="18"/>
    </row>
    <row r="2126" spans="1:9">
      <c r="A2126" s="943">
        <v>5</v>
      </c>
      <c r="B2126" s="944">
        <v>180.03</v>
      </c>
      <c r="C2126" s="944" t="s">
        <v>1290</v>
      </c>
      <c r="D2126" s="943" t="s">
        <v>24</v>
      </c>
      <c r="E2126" s="952">
        <v>4102</v>
      </c>
      <c r="F2126" s="945">
        <v>16</v>
      </c>
      <c r="G2126" s="946">
        <v>140</v>
      </c>
      <c r="H2126" s="946">
        <v>139.61000000000001</v>
      </c>
    </row>
    <row r="2127" spans="1:9" s="26" customFormat="1">
      <c r="A2127" s="947">
        <v>5</v>
      </c>
      <c r="B2127" s="948">
        <v>181.11</v>
      </c>
      <c r="C2127" s="948" t="s">
        <v>58</v>
      </c>
      <c r="D2127" s="947" t="s">
        <v>7</v>
      </c>
      <c r="E2127" s="949">
        <v>7931</v>
      </c>
      <c r="F2127" s="950">
        <v>15</v>
      </c>
      <c r="G2127" s="951">
        <v>85</v>
      </c>
      <c r="H2127" s="951">
        <v>77.52</v>
      </c>
      <c r="I2127" s="18"/>
    </row>
    <row r="2128" spans="1:9">
      <c r="A2128" s="943">
        <v>5</v>
      </c>
      <c r="B2128" s="944">
        <v>181.12</v>
      </c>
      <c r="C2128" s="944" t="s">
        <v>141</v>
      </c>
      <c r="D2128" s="943" t="s">
        <v>7</v>
      </c>
      <c r="E2128" s="952">
        <v>4458</v>
      </c>
      <c r="F2128" s="945">
        <v>16</v>
      </c>
      <c r="G2128" s="946">
        <v>150</v>
      </c>
      <c r="H2128" s="946">
        <v>139.65</v>
      </c>
    </row>
    <row r="2129" spans="1:9" s="26" customFormat="1">
      <c r="A2129" s="947">
        <v>5</v>
      </c>
      <c r="B2129" s="948">
        <v>181.13</v>
      </c>
      <c r="C2129" s="948" t="s">
        <v>142</v>
      </c>
      <c r="D2129" s="947" t="s">
        <v>7</v>
      </c>
      <c r="E2129" s="949">
        <v>2641</v>
      </c>
      <c r="F2129" s="950">
        <v>16</v>
      </c>
      <c r="G2129" s="951">
        <v>230</v>
      </c>
      <c r="H2129" s="951">
        <v>220.14</v>
      </c>
      <c r="I2129" s="18"/>
    </row>
    <row r="2130" spans="1:9">
      <c r="A2130" s="943">
        <v>5</v>
      </c>
      <c r="B2130" s="944">
        <v>181.14</v>
      </c>
      <c r="C2130" s="944" t="s">
        <v>59</v>
      </c>
      <c r="D2130" s="943" t="s">
        <v>7</v>
      </c>
      <c r="E2130" s="952">
        <v>1290</v>
      </c>
      <c r="F2130" s="945">
        <v>15</v>
      </c>
      <c r="G2130" s="946">
        <v>613</v>
      </c>
      <c r="H2130" s="946">
        <v>643.46</v>
      </c>
    </row>
    <row r="2131" spans="1:9" s="26" customFormat="1">
      <c r="A2131" s="947">
        <v>5</v>
      </c>
      <c r="B2131" s="948">
        <v>182.1</v>
      </c>
      <c r="C2131" s="948" t="s">
        <v>143</v>
      </c>
      <c r="D2131" s="947" t="s">
        <v>22</v>
      </c>
      <c r="E2131" s="950">
        <v>20</v>
      </c>
      <c r="F2131" s="950">
        <v>8</v>
      </c>
      <c r="G2131" s="951">
        <v>4250</v>
      </c>
      <c r="H2131" s="951">
        <v>4087.71</v>
      </c>
      <c r="I2131" s="18"/>
    </row>
    <row r="2132" spans="1:9">
      <c r="A2132" s="943">
        <v>5</v>
      </c>
      <c r="B2132" s="944">
        <v>182.2</v>
      </c>
      <c r="C2132" s="944" t="s">
        <v>144</v>
      </c>
      <c r="D2132" s="943" t="s">
        <v>17</v>
      </c>
      <c r="E2132" s="952">
        <v>2140</v>
      </c>
      <c r="F2132" s="945">
        <v>8</v>
      </c>
      <c r="G2132" s="946">
        <v>117.27</v>
      </c>
      <c r="H2132" s="946">
        <v>140.34</v>
      </c>
    </row>
    <row r="2133" spans="1:9" s="26" customFormat="1">
      <c r="A2133" s="947">
        <v>5</v>
      </c>
      <c r="B2133" s="948">
        <v>183.1</v>
      </c>
      <c r="C2133" s="948" t="s">
        <v>146</v>
      </c>
      <c r="D2133" s="947" t="s">
        <v>20</v>
      </c>
      <c r="E2133" s="949">
        <v>66075</v>
      </c>
      <c r="F2133" s="950">
        <v>5</v>
      </c>
      <c r="G2133" s="951">
        <v>20</v>
      </c>
      <c r="H2133" s="951">
        <v>16.489999999999998</v>
      </c>
      <c r="I2133" s="18"/>
    </row>
    <row r="2134" spans="1:9">
      <c r="A2134" s="943">
        <v>5</v>
      </c>
      <c r="B2134" s="944">
        <v>183.2</v>
      </c>
      <c r="C2134" s="944" t="s">
        <v>147</v>
      </c>
      <c r="D2134" s="943" t="s">
        <v>100</v>
      </c>
      <c r="E2134" s="952">
        <v>10925</v>
      </c>
      <c r="F2134" s="945">
        <v>6</v>
      </c>
      <c r="G2134" s="946">
        <v>15</v>
      </c>
      <c r="H2134" s="946">
        <v>15.83</v>
      </c>
    </row>
    <row r="2135" spans="1:9" s="26" customFormat="1">
      <c r="A2135" s="947">
        <v>5</v>
      </c>
      <c r="B2135" s="948">
        <v>184.1</v>
      </c>
      <c r="C2135" s="948" t="s">
        <v>148</v>
      </c>
      <c r="D2135" s="947" t="s">
        <v>7</v>
      </c>
      <c r="E2135" s="950">
        <v>132</v>
      </c>
      <c r="F2135" s="950">
        <v>7</v>
      </c>
      <c r="G2135" s="951">
        <v>500</v>
      </c>
      <c r="H2135" s="951">
        <v>448.11</v>
      </c>
      <c r="I2135" s="18"/>
    </row>
    <row r="2136" spans="1:9">
      <c r="A2136" s="943">
        <v>5</v>
      </c>
      <c r="B2136" s="944">
        <v>191</v>
      </c>
      <c r="C2136" s="944" t="s">
        <v>151</v>
      </c>
      <c r="D2136" s="943" t="s">
        <v>17</v>
      </c>
      <c r="E2136" s="945">
        <v>30</v>
      </c>
      <c r="F2136" s="945">
        <v>1</v>
      </c>
      <c r="G2136" s="946">
        <v>340</v>
      </c>
      <c r="H2136" s="946">
        <v>340</v>
      </c>
    </row>
    <row r="2137" spans="1:9" s="26" customFormat="1">
      <c r="A2137" s="947">
        <v>5</v>
      </c>
      <c r="B2137" s="948">
        <v>201</v>
      </c>
      <c r="C2137" s="948" t="s">
        <v>155</v>
      </c>
      <c r="D2137" s="947" t="s">
        <v>2</v>
      </c>
      <c r="E2137" s="950">
        <v>973</v>
      </c>
      <c r="F2137" s="950">
        <v>10</v>
      </c>
      <c r="G2137" s="951">
        <v>6500</v>
      </c>
      <c r="H2137" s="951">
        <v>5919.45</v>
      </c>
      <c r="I2137" s="18"/>
    </row>
    <row r="2138" spans="1:9">
      <c r="A2138" s="943">
        <v>5</v>
      </c>
      <c r="B2138" s="944">
        <v>201.3</v>
      </c>
      <c r="C2138" s="944" t="s">
        <v>156</v>
      </c>
      <c r="D2138" s="943" t="s">
        <v>2</v>
      </c>
      <c r="E2138" s="945">
        <v>51</v>
      </c>
      <c r="F2138" s="945">
        <v>1</v>
      </c>
      <c r="G2138" s="946">
        <v>9000</v>
      </c>
      <c r="H2138" s="946">
        <v>9000</v>
      </c>
    </row>
    <row r="2139" spans="1:9" s="26" customFormat="1">
      <c r="A2139" s="947">
        <v>5</v>
      </c>
      <c r="B2139" s="948">
        <v>201.5</v>
      </c>
      <c r="C2139" s="948" t="s">
        <v>2075</v>
      </c>
      <c r="D2139" s="947" t="s">
        <v>2</v>
      </c>
      <c r="E2139" s="950">
        <v>33</v>
      </c>
      <c r="F2139" s="950">
        <v>1</v>
      </c>
      <c r="G2139" s="951">
        <v>8000</v>
      </c>
      <c r="H2139" s="951">
        <v>9333.33</v>
      </c>
      <c r="I2139" s="18"/>
    </row>
    <row r="2140" spans="1:9">
      <c r="A2140" s="943">
        <v>5</v>
      </c>
      <c r="B2140" s="944">
        <v>202</v>
      </c>
      <c r="C2140" s="944" t="s">
        <v>157</v>
      </c>
      <c r="D2140" s="943" t="s">
        <v>2</v>
      </c>
      <c r="E2140" s="945">
        <v>437</v>
      </c>
      <c r="F2140" s="945">
        <v>13</v>
      </c>
      <c r="G2140" s="946">
        <v>7500</v>
      </c>
      <c r="H2140" s="946">
        <v>7105.67</v>
      </c>
    </row>
    <row r="2141" spans="1:9" s="26" customFormat="1">
      <c r="A2141" s="947">
        <v>5</v>
      </c>
      <c r="B2141" s="948">
        <v>202.2</v>
      </c>
      <c r="C2141" s="948" t="s">
        <v>158</v>
      </c>
      <c r="D2141" s="947" t="s">
        <v>2</v>
      </c>
      <c r="E2141" s="950">
        <v>16.5</v>
      </c>
      <c r="F2141" s="950">
        <v>2</v>
      </c>
      <c r="G2141" s="951">
        <v>10000</v>
      </c>
      <c r="H2141" s="951">
        <v>10571.43</v>
      </c>
      <c r="I2141" s="18"/>
    </row>
    <row r="2142" spans="1:9">
      <c r="A2142" s="943">
        <v>5</v>
      </c>
      <c r="B2142" s="944">
        <v>203</v>
      </c>
      <c r="C2142" s="944" t="s">
        <v>159</v>
      </c>
      <c r="D2142" s="943" t="s">
        <v>2</v>
      </c>
      <c r="E2142" s="945">
        <v>16</v>
      </c>
      <c r="F2142" s="945">
        <v>3</v>
      </c>
      <c r="G2142" s="946">
        <v>14900</v>
      </c>
      <c r="H2142" s="946">
        <v>15095.45</v>
      </c>
    </row>
    <row r="2143" spans="1:9" s="26" customFormat="1">
      <c r="A2143" s="947">
        <v>5</v>
      </c>
      <c r="B2143" s="948">
        <v>203.11</v>
      </c>
      <c r="C2143" s="948" t="s">
        <v>1293</v>
      </c>
      <c r="D2143" s="947" t="s">
        <v>2</v>
      </c>
      <c r="E2143" s="950">
        <v>10</v>
      </c>
      <c r="F2143" s="950">
        <v>1</v>
      </c>
      <c r="G2143" s="951">
        <v>12000</v>
      </c>
      <c r="H2143" s="951">
        <v>9000</v>
      </c>
      <c r="I2143" s="18"/>
    </row>
    <row r="2144" spans="1:9">
      <c r="A2144" s="943">
        <v>5</v>
      </c>
      <c r="B2144" s="944">
        <v>204</v>
      </c>
      <c r="C2144" s="944" t="s">
        <v>160</v>
      </c>
      <c r="D2144" s="943" t="s">
        <v>2</v>
      </c>
      <c r="E2144" s="945">
        <v>36</v>
      </c>
      <c r="F2144" s="945">
        <v>4</v>
      </c>
      <c r="G2144" s="946">
        <v>4000</v>
      </c>
      <c r="H2144" s="946">
        <v>3442.08</v>
      </c>
    </row>
    <row r="2145" spans="1:9" s="26" customFormat="1">
      <c r="A2145" s="947">
        <v>5</v>
      </c>
      <c r="B2145" s="948">
        <v>204.11</v>
      </c>
      <c r="C2145" s="948" t="s">
        <v>1294</v>
      </c>
      <c r="D2145" s="947" t="s">
        <v>2</v>
      </c>
      <c r="E2145" s="950">
        <v>40</v>
      </c>
      <c r="F2145" s="950">
        <v>5</v>
      </c>
      <c r="G2145" s="951">
        <v>4000</v>
      </c>
      <c r="H2145" s="951">
        <v>4055.29</v>
      </c>
      <c r="I2145" s="18"/>
    </row>
    <row r="2146" spans="1:9">
      <c r="A2146" s="943">
        <v>5</v>
      </c>
      <c r="B2146" s="944">
        <v>205</v>
      </c>
      <c r="C2146" s="944" t="s">
        <v>161</v>
      </c>
      <c r="D2146" s="943" t="s">
        <v>2</v>
      </c>
      <c r="E2146" s="945">
        <v>31</v>
      </c>
      <c r="F2146" s="945">
        <v>3</v>
      </c>
      <c r="G2146" s="946">
        <v>10475</v>
      </c>
      <c r="H2146" s="946">
        <v>11725</v>
      </c>
    </row>
    <row r="2147" spans="1:9" s="26" customFormat="1">
      <c r="A2147" s="947">
        <v>5</v>
      </c>
      <c r="B2147" s="948">
        <v>206.1</v>
      </c>
      <c r="C2147" s="948" t="s">
        <v>163</v>
      </c>
      <c r="D2147" s="947" t="s">
        <v>2</v>
      </c>
      <c r="E2147" s="950">
        <v>9</v>
      </c>
      <c r="F2147" s="950">
        <v>1</v>
      </c>
      <c r="G2147" s="951">
        <v>7000</v>
      </c>
      <c r="H2147" s="951">
        <v>6566.67</v>
      </c>
      <c r="I2147" s="18"/>
    </row>
    <row r="2148" spans="1:9">
      <c r="A2148" s="943">
        <v>5</v>
      </c>
      <c r="B2148" s="944">
        <v>210.02</v>
      </c>
      <c r="C2148" s="944" t="s">
        <v>170</v>
      </c>
      <c r="D2148" s="943" t="s">
        <v>2</v>
      </c>
      <c r="E2148" s="945">
        <v>6</v>
      </c>
      <c r="F2148" s="945">
        <v>1</v>
      </c>
      <c r="G2148" s="946">
        <v>1250</v>
      </c>
      <c r="H2148" s="946">
        <v>1150</v>
      </c>
    </row>
    <row r="2149" spans="1:9" s="26" customFormat="1">
      <c r="A2149" s="947">
        <v>5</v>
      </c>
      <c r="B2149" s="948">
        <v>210.1</v>
      </c>
      <c r="C2149" s="948" t="s">
        <v>171</v>
      </c>
      <c r="D2149" s="947" t="s">
        <v>2</v>
      </c>
      <c r="E2149" s="950">
        <v>104</v>
      </c>
      <c r="F2149" s="950">
        <v>2</v>
      </c>
      <c r="G2149" s="951">
        <v>10000</v>
      </c>
      <c r="H2149" s="951">
        <v>11119.38</v>
      </c>
      <c r="I2149" s="18"/>
    </row>
    <row r="2150" spans="1:9">
      <c r="A2150" s="943">
        <v>5</v>
      </c>
      <c r="B2150" s="944">
        <v>220</v>
      </c>
      <c r="C2150" s="944" t="s">
        <v>172</v>
      </c>
      <c r="D2150" s="943" t="s">
        <v>2</v>
      </c>
      <c r="E2150" s="952">
        <v>4592</v>
      </c>
      <c r="F2150" s="945">
        <v>16</v>
      </c>
      <c r="G2150" s="946">
        <v>616</v>
      </c>
      <c r="H2150" s="946">
        <v>599.95000000000005</v>
      </c>
    </row>
    <row r="2151" spans="1:9" s="26" customFormat="1">
      <c r="A2151" s="947">
        <v>5</v>
      </c>
      <c r="B2151" s="948">
        <v>220.2</v>
      </c>
      <c r="C2151" s="948" t="s">
        <v>173</v>
      </c>
      <c r="D2151" s="947" t="s">
        <v>17</v>
      </c>
      <c r="E2151" s="949">
        <v>2184</v>
      </c>
      <c r="F2151" s="950">
        <v>12</v>
      </c>
      <c r="G2151" s="951">
        <v>707.5</v>
      </c>
      <c r="H2151" s="951">
        <v>637.45000000000005</v>
      </c>
      <c r="I2151" s="18"/>
    </row>
    <row r="2152" spans="1:9">
      <c r="A2152" s="943">
        <v>5</v>
      </c>
      <c r="B2152" s="944">
        <v>220.3</v>
      </c>
      <c r="C2152" s="944" t="s">
        <v>174</v>
      </c>
      <c r="D2152" s="943" t="s">
        <v>2</v>
      </c>
      <c r="E2152" s="945">
        <v>166</v>
      </c>
      <c r="F2152" s="945">
        <v>8</v>
      </c>
      <c r="G2152" s="946">
        <v>1570.29</v>
      </c>
      <c r="H2152" s="946">
        <v>1486.39</v>
      </c>
    </row>
    <row r="2153" spans="1:9" s="26" customFormat="1">
      <c r="A2153" s="947">
        <v>5</v>
      </c>
      <c r="B2153" s="948">
        <v>220.5</v>
      </c>
      <c r="C2153" s="948" t="s">
        <v>175</v>
      </c>
      <c r="D2153" s="947" t="s">
        <v>2</v>
      </c>
      <c r="E2153" s="950">
        <v>228</v>
      </c>
      <c r="F2153" s="950">
        <v>11</v>
      </c>
      <c r="G2153" s="951">
        <v>1000</v>
      </c>
      <c r="H2153" s="951">
        <v>1001.3</v>
      </c>
      <c r="I2153" s="18"/>
    </row>
    <row r="2154" spans="1:9">
      <c r="A2154" s="943">
        <v>5</v>
      </c>
      <c r="B2154" s="944">
        <v>220.51</v>
      </c>
      <c r="C2154" s="944" t="s">
        <v>175</v>
      </c>
      <c r="D2154" s="943" t="s">
        <v>17</v>
      </c>
      <c r="E2154" s="945">
        <v>30</v>
      </c>
      <c r="F2154" s="945">
        <v>1</v>
      </c>
      <c r="G2154" s="946">
        <v>745</v>
      </c>
      <c r="H2154" s="946">
        <v>696.67</v>
      </c>
    </row>
    <row r="2155" spans="1:9" s="26" customFormat="1">
      <c r="A2155" s="947">
        <v>5</v>
      </c>
      <c r="B2155" s="948">
        <v>220.6</v>
      </c>
      <c r="C2155" s="948" t="s">
        <v>176</v>
      </c>
      <c r="D2155" s="947" t="s">
        <v>17</v>
      </c>
      <c r="E2155" s="950">
        <v>45</v>
      </c>
      <c r="F2155" s="950">
        <v>2</v>
      </c>
      <c r="G2155" s="951">
        <v>590</v>
      </c>
      <c r="H2155" s="951">
        <v>653.33000000000004</v>
      </c>
      <c r="I2155" s="18"/>
    </row>
    <row r="2156" spans="1:9">
      <c r="A2156" s="943">
        <v>5</v>
      </c>
      <c r="B2156" s="944">
        <v>220.7</v>
      </c>
      <c r="C2156" s="944" t="s">
        <v>177</v>
      </c>
      <c r="D2156" s="943" t="s">
        <v>2</v>
      </c>
      <c r="E2156" s="945">
        <v>526</v>
      </c>
      <c r="F2156" s="945">
        <v>7</v>
      </c>
      <c r="G2156" s="946">
        <v>572.5</v>
      </c>
      <c r="H2156" s="946">
        <v>558.34</v>
      </c>
    </row>
    <row r="2157" spans="1:9" s="26" customFormat="1">
      <c r="A2157" s="947">
        <v>5</v>
      </c>
      <c r="B2157" s="948">
        <v>220.8</v>
      </c>
      <c r="C2157" s="948" t="s">
        <v>178</v>
      </c>
      <c r="D2157" s="947" t="s">
        <v>2</v>
      </c>
      <c r="E2157" s="950">
        <v>10</v>
      </c>
      <c r="F2157" s="950">
        <v>2</v>
      </c>
      <c r="G2157" s="951">
        <v>1200</v>
      </c>
      <c r="H2157" s="951">
        <v>1210</v>
      </c>
      <c r="I2157" s="18"/>
    </row>
    <row r="2158" spans="1:9">
      <c r="A2158" s="943">
        <v>5</v>
      </c>
      <c r="B2158" s="944">
        <v>221</v>
      </c>
      <c r="C2158" s="944" t="s">
        <v>180</v>
      </c>
      <c r="D2158" s="943" t="s">
        <v>2</v>
      </c>
      <c r="E2158" s="952">
        <v>1239</v>
      </c>
      <c r="F2158" s="945">
        <v>13</v>
      </c>
      <c r="G2158" s="946">
        <v>1125</v>
      </c>
      <c r="H2158" s="946">
        <v>1146.1199999999999</v>
      </c>
    </row>
    <row r="2159" spans="1:9" s="26" customFormat="1">
      <c r="A2159" s="947">
        <v>5</v>
      </c>
      <c r="B2159" s="948">
        <v>221.1</v>
      </c>
      <c r="C2159" s="948" t="s">
        <v>1300</v>
      </c>
      <c r="D2159" s="947" t="s">
        <v>2</v>
      </c>
      <c r="E2159" s="950">
        <v>842</v>
      </c>
      <c r="F2159" s="950">
        <v>8</v>
      </c>
      <c r="G2159" s="951">
        <v>1325</v>
      </c>
      <c r="H2159" s="951">
        <v>1315.27</v>
      </c>
      <c r="I2159" s="18"/>
    </row>
    <row r="2160" spans="1:9">
      <c r="A2160" s="943">
        <v>5</v>
      </c>
      <c r="B2160" s="944">
        <v>222</v>
      </c>
      <c r="C2160" s="944" t="s">
        <v>181</v>
      </c>
      <c r="D2160" s="943" t="s">
        <v>2</v>
      </c>
      <c r="E2160" s="945">
        <v>145</v>
      </c>
      <c r="F2160" s="945">
        <v>2</v>
      </c>
      <c r="G2160" s="946">
        <v>1258</v>
      </c>
      <c r="H2160" s="946">
        <v>1341.6</v>
      </c>
    </row>
    <row r="2161" spans="1:9" s="26" customFormat="1">
      <c r="A2161" s="947">
        <v>5</v>
      </c>
      <c r="B2161" s="948">
        <v>222.1</v>
      </c>
      <c r="C2161" s="948" t="s">
        <v>182</v>
      </c>
      <c r="D2161" s="947" t="s">
        <v>2</v>
      </c>
      <c r="E2161" s="949">
        <v>1927</v>
      </c>
      <c r="F2161" s="950">
        <v>13</v>
      </c>
      <c r="G2161" s="951">
        <v>1300</v>
      </c>
      <c r="H2161" s="951">
        <v>1288.56</v>
      </c>
      <c r="I2161" s="18"/>
    </row>
    <row r="2162" spans="1:9">
      <c r="A2162" s="943">
        <v>5</v>
      </c>
      <c r="B2162" s="944">
        <v>222.2</v>
      </c>
      <c r="C2162" s="944" t="s">
        <v>183</v>
      </c>
      <c r="D2162" s="943" t="s">
        <v>2</v>
      </c>
      <c r="E2162" s="945">
        <v>23</v>
      </c>
      <c r="F2162" s="945">
        <v>3</v>
      </c>
      <c r="G2162" s="946">
        <v>1225</v>
      </c>
      <c r="H2162" s="946">
        <v>1369.63</v>
      </c>
    </row>
    <row r="2163" spans="1:9" s="26" customFormat="1">
      <c r="A2163" s="947">
        <v>5</v>
      </c>
      <c r="B2163" s="948">
        <v>222.3</v>
      </c>
      <c r="C2163" s="948" t="s">
        <v>29</v>
      </c>
      <c r="D2163" s="947" t="s">
        <v>2</v>
      </c>
      <c r="E2163" s="950">
        <v>639</v>
      </c>
      <c r="F2163" s="950">
        <v>5</v>
      </c>
      <c r="G2163" s="951">
        <v>1132.5</v>
      </c>
      <c r="H2163" s="951">
        <v>1109.1099999999999</v>
      </c>
      <c r="I2163" s="18"/>
    </row>
    <row r="2164" spans="1:9">
      <c r="A2164" s="943">
        <v>5</v>
      </c>
      <c r="B2164" s="944">
        <v>222.4</v>
      </c>
      <c r="C2164" s="944" t="s">
        <v>4031</v>
      </c>
      <c r="D2164" s="943" t="s">
        <v>2</v>
      </c>
      <c r="E2164" s="945">
        <v>42</v>
      </c>
      <c r="F2164" s="945">
        <v>1</v>
      </c>
      <c r="G2164" s="946">
        <v>2350</v>
      </c>
      <c r="H2164" s="946">
        <v>2297.31</v>
      </c>
    </row>
    <row r="2165" spans="1:9" s="26" customFormat="1">
      <c r="A2165" s="947">
        <v>5</v>
      </c>
      <c r="B2165" s="948">
        <v>223.1</v>
      </c>
      <c r="C2165" s="948" t="s">
        <v>184</v>
      </c>
      <c r="D2165" s="947" t="s">
        <v>2</v>
      </c>
      <c r="E2165" s="950">
        <v>279</v>
      </c>
      <c r="F2165" s="950">
        <v>4</v>
      </c>
      <c r="G2165" s="951">
        <v>200</v>
      </c>
      <c r="H2165" s="951">
        <v>211.6</v>
      </c>
      <c r="I2165" s="18"/>
    </row>
    <row r="2166" spans="1:9">
      <c r="A2166" s="943">
        <v>5</v>
      </c>
      <c r="B2166" s="944">
        <v>223.2</v>
      </c>
      <c r="C2166" s="944" t="s">
        <v>185</v>
      </c>
      <c r="D2166" s="943" t="s">
        <v>2</v>
      </c>
      <c r="E2166" s="952">
        <v>1870</v>
      </c>
      <c r="F2166" s="945">
        <v>12</v>
      </c>
      <c r="G2166" s="946">
        <v>150</v>
      </c>
      <c r="H2166" s="946">
        <v>150.88999999999999</v>
      </c>
    </row>
    <row r="2167" spans="1:9" s="26" customFormat="1">
      <c r="A2167" s="947">
        <v>5</v>
      </c>
      <c r="B2167" s="948">
        <v>224.1</v>
      </c>
      <c r="C2167" s="948" t="s">
        <v>186</v>
      </c>
      <c r="D2167" s="947" t="s">
        <v>2</v>
      </c>
      <c r="E2167" s="950">
        <v>88</v>
      </c>
      <c r="F2167" s="950">
        <v>4</v>
      </c>
      <c r="G2167" s="951">
        <v>690</v>
      </c>
      <c r="H2167" s="951">
        <v>688.85</v>
      </c>
      <c r="I2167" s="18"/>
    </row>
    <row r="2168" spans="1:9">
      <c r="A2168" s="943">
        <v>5</v>
      </c>
      <c r="B2168" s="944">
        <v>224.12</v>
      </c>
      <c r="C2168" s="944" t="s">
        <v>187</v>
      </c>
      <c r="D2168" s="943" t="s">
        <v>2</v>
      </c>
      <c r="E2168" s="945">
        <v>390</v>
      </c>
      <c r="F2168" s="945">
        <v>5</v>
      </c>
      <c r="G2168" s="946">
        <v>750</v>
      </c>
      <c r="H2168" s="946">
        <v>693.8</v>
      </c>
    </row>
    <row r="2169" spans="1:9" s="26" customFormat="1">
      <c r="A2169" s="947">
        <v>5</v>
      </c>
      <c r="B2169" s="948">
        <v>227.3</v>
      </c>
      <c r="C2169" s="948" t="s">
        <v>189</v>
      </c>
      <c r="D2169" s="947" t="s">
        <v>4</v>
      </c>
      <c r="E2169" s="949">
        <v>2370</v>
      </c>
      <c r="F2169" s="950">
        <v>15</v>
      </c>
      <c r="G2169" s="951">
        <v>400</v>
      </c>
      <c r="H2169" s="951">
        <v>383.58</v>
      </c>
      <c r="I2169" s="18"/>
    </row>
    <row r="2170" spans="1:9">
      <c r="A2170" s="943">
        <v>5</v>
      </c>
      <c r="B2170" s="944">
        <v>227.31</v>
      </c>
      <c r="C2170" s="944" t="s">
        <v>190</v>
      </c>
      <c r="D2170" s="943" t="s">
        <v>17</v>
      </c>
      <c r="E2170" s="952">
        <v>73815</v>
      </c>
      <c r="F2170" s="945">
        <v>12</v>
      </c>
      <c r="G2170" s="946">
        <v>12</v>
      </c>
      <c r="H2170" s="946">
        <v>11.27</v>
      </c>
    </row>
    <row r="2171" spans="1:9" s="26" customFormat="1">
      <c r="A2171" s="947">
        <v>5</v>
      </c>
      <c r="B2171" s="948">
        <v>227.4</v>
      </c>
      <c r="C2171" s="948" t="s">
        <v>191</v>
      </c>
      <c r="D2171" s="947" t="s">
        <v>3</v>
      </c>
      <c r="E2171" s="950">
        <v>220</v>
      </c>
      <c r="F2171" s="950">
        <v>6</v>
      </c>
      <c r="G2171" s="951">
        <v>152</v>
      </c>
      <c r="H2171" s="951">
        <v>127.85</v>
      </c>
      <c r="I2171" s="18"/>
    </row>
    <row r="2172" spans="1:9">
      <c r="A2172" s="943">
        <v>5</v>
      </c>
      <c r="B2172" s="944">
        <v>234.12</v>
      </c>
      <c r="C2172" s="944" t="s">
        <v>195</v>
      </c>
      <c r="D2172" s="943" t="s">
        <v>17</v>
      </c>
      <c r="E2172" s="952">
        <v>10255</v>
      </c>
      <c r="F2172" s="945">
        <v>5</v>
      </c>
      <c r="G2172" s="946">
        <v>200</v>
      </c>
      <c r="H2172" s="946">
        <v>204.72</v>
      </c>
    </row>
    <row r="2173" spans="1:9" s="26" customFormat="1">
      <c r="A2173" s="947">
        <v>5</v>
      </c>
      <c r="B2173" s="948">
        <v>234.15</v>
      </c>
      <c r="C2173" s="948" t="s">
        <v>196</v>
      </c>
      <c r="D2173" s="947" t="s">
        <v>17</v>
      </c>
      <c r="E2173" s="950">
        <v>550</v>
      </c>
      <c r="F2173" s="950">
        <v>2</v>
      </c>
      <c r="G2173" s="951">
        <v>200</v>
      </c>
      <c r="H2173" s="951">
        <v>201.6</v>
      </c>
      <c r="I2173" s="18"/>
    </row>
    <row r="2174" spans="1:9">
      <c r="A2174" s="943">
        <v>5</v>
      </c>
      <c r="B2174" s="944">
        <v>234.18</v>
      </c>
      <c r="C2174" s="944" t="s">
        <v>197</v>
      </c>
      <c r="D2174" s="943" t="s">
        <v>17</v>
      </c>
      <c r="E2174" s="952">
        <v>2220</v>
      </c>
      <c r="F2174" s="945">
        <v>4</v>
      </c>
      <c r="G2174" s="946">
        <v>200</v>
      </c>
      <c r="H2174" s="946">
        <v>201.57</v>
      </c>
    </row>
    <row r="2175" spans="1:9" s="26" customFormat="1">
      <c r="A2175" s="947">
        <v>5</v>
      </c>
      <c r="B2175" s="948">
        <v>234.24</v>
      </c>
      <c r="C2175" s="948" t="s">
        <v>198</v>
      </c>
      <c r="D2175" s="947" t="s">
        <v>17</v>
      </c>
      <c r="E2175" s="949">
        <v>4420</v>
      </c>
      <c r="F2175" s="950">
        <v>4</v>
      </c>
      <c r="G2175" s="951">
        <v>225</v>
      </c>
      <c r="H2175" s="951">
        <v>224.53</v>
      </c>
      <c r="I2175" s="18"/>
    </row>
    <row r="2176" spans="1:9">
      <c r="A2176" s="943">
        <v>5</v>
      </c>
      <c r="B2176" s="944">
        <v>234.3</v>
      </c>
      <c r="C2176" s="944" t="s">
        <v>199</v>
      </c>
      <c r="D2176" s="943" t="s">
        <v>17</v>
      </c>
      <c r="E2176" s="945">
        <v>760</v>
      </c>
      <c r="F2176" s="945">
        <v>1</v>
      </c>
      <c r="G2176" s="946">
        <v>313.5</v>
      </c>
      <c r="H2176" s="946">
        <v>306.75</v>
      </c>
    </row>
    <row r="2177" spans="1:9" s="26" customFormat="1">
      <c r="A2177" s="947">
        <v>5</v>
      </c>
      <c r="B2177" s="948">
        <v>235.12</v>
      </c>
      <c r="C2177" s="948" t="s">
        <v>201</v>
      </c>
      <c r="D2177" s="947" t="s">
        <v>2</v>
      </c>
      <c r="E2177" s="950">
        <v>28</v>
      </c>
      <c r="F2177" s="950">
        <v>3</v>
      </c>
      <c r="G2177" s="951">
        <v>1500</v>
      </c>
      <c r="H2177" s="951">
        <v>3568.25</v>
      </c>
      <c r="I2177" s="18"/>
    </row>
    <row r="2178" spans="1:9">
      <c r="A2178" s="943">
        <v>5</v>
      </c>
      <c r="B2178" s="944">
        <v>235.18</v>
      </c>
      <c r="C2178" s="944" t="s">
        <v>203</v>
      </c>
      <c r="D2178" s="943" t="s">
        <v>2</v>
      </c>
      <c r="E2178" s="945">
        <v>8</v>
      </c>
      <c r="F2178" s="945">
        <v>3</v>
      </c>
      <c r="G2178" s="946">
        <v>2000</v>
      </c>
      <c r="H2178" s="946">
        <v>2085.75</v>
      </c>
    </row>
    <row r="2179" spans="1:9" s="26" customFormat="1">
      <c r="A2179" s="947">
        <v>5</v>
      </c>
      <c r="B2179" s="948">
        <v>235.24</v>
      </c>
      <c r="C2179" s="948" t="s">
        <v>204</v>
      </c>
      <c r="D2179" s="947" t="s">
        <v>2</v>
      </c>
      <c r="E2179" s="950">
        <v>3</v>
      </c>
      <c r="F2179" s="950">
        <v>2</v>
      </c>
      <c r="G2179" s="951">
        <v>2200</v>
      </c>
      <c r="H2179" s="951">
        <v>2483.33</v>
      </c>
      <c r="I2179" s="18"/>
    </row>
    <row r="2180" spans="1:9">
      <c r="A2180" s="943">
        <v>5</v>
      </c>
      <c r="B2180" s="944">
        <v>235.3</v>
      </c>
      <c r="C2180" s="944" t="s">
        <v>205</v>
      </c>
      <c r="D2180" s="943" t="s">
        <v>2</v>
      </c>
      <c r="E2180" s="945">
        <v>5</v>
      </c>
      <c r="F2180" s="945">
        <v>1</v>
      </c>
      <c r="G2180" s="946">
        <v>3614.5</v>
      </c>
      <c r="H2180" s="946">
        <v>3605.8</v>
      </c>
    </row>
    <row r="2181" spans="1:9" s="26" customFormat="1">
      <c r="A2181" s="947">
        <v>5</v>
      </c>
      <c r="B2181" s="948">
        <v>238.06</v>
      </c>
      <c r="C2181" s="948" t="s">
        <v>2138</v>
      </c>
      <c r="D2181" s="947" t="s">
        <v>17</v>
      </c>
      <c r="E2181" s="950">
        <v>250</v>
      </c>
      <c r="F2181" s="950">
        <v>1</v>
      </c>
      <c r="G2181" s="951">
        <v>160</v>
      </c>
      <c r="H2181" s="951">
        <v>147.6</v>
      </c>
      <c r="I2181" s="18"/>
    </row>
    <row r="2182" spans="1:9">
      <c r="A2182" s="943">
        <v>5</v>
      </c>
      <c r="B2182" s="944">
        <v>238.1</v>
      </c>
      <c r="C2182" s="944" t="s">
        <v>207</v>
      </c>
      <c r="D2182" s="943" t="s">
        <v>17</v>
      </c>
      <c r="E2182" s="952">
        <v>2645</v>
      </c>
      <c r="F2182" s="945">
        <v>8</v>
      </c>
      <c r="G2182" s="946">
        <v>272.5</v>
      </c>
      <c r="H2182" s="946">
        <v>263.29000000000002</v>
      </c>
    </row>
    <row r="2183" spans="1:9" s="26" customFormat="1">
      <c r="A2183" s="947">
        <v>5</v>
      </c>
      <c r="B2183" s="948">
        <v>238.12</v>
      </c>
      <c r="C2183" s="948" t="s">
        <v>208</v>
      </c>
      <c r="D2183" s="947" t="s">
        <v>17</v>
      </c>
      <c r="E2183" s="949">
        <v>1770</v>
      </c>
      <c r="F2183" s="950">
        <v>6</v>
      </c>
      <c r="G2183" s="951">
        <v>297.5</v>
      </c>
      <c r="H2183" s="951">
        <v>274.25</v>
      </c>
      <c r="I2183" s="18"/>
    </row>
    <row r="2184" spans="1:9">
      <c r="A2184" s="943">
        <v>5</v>
      </c>
      <c r="B2184" s="944">
        <v>238.16</v>
      </c>
      <c r="C2184" s="944" t="s">
        <v>209</v>
      </c>
      <c r="D2184" s="943" t="s">
        <v>17</v>
      </c>
      <c r="E2184" s="945">
        <v>60</v>
      </c>
      <c r="F2184" s="945">
        <v>1</v>
      </c>
      <c r="G2184" s="946">
        <v>275</v>
      </c>
      <c r="H2184" s="946">
        <v>275</v>
      </c>
    </row>
    <row r="2185" spans="1:9" s="26" customFormat="1">
      <c r="A2185" s="947">
        <v>5</v>
      </c>
      <c r="B2185" s="948">
        <v>238.24</v>
      </c>
      <c r="C2185" s="948" t="s">
        <v>210</v>
      </c>
      <c r="D2185" s="947" t="s">
        <v>17</v>
      </c>
      <c r="E2185" s="950">
        <v>12</v>
      </c>
      <c r="F2185" s="950">
        <v>1</v>
      </c>
      <c r="G2185" s="951">
        <v>410</v>
      </c>
      <c r="H2185" s="951">
        <v>410</v>
      </c>
      <c r="I2185" s="18"/>
    </row>
    <row r="2186" spans="1:9">
      <c r="A2186" s="943">
        <v>5</v>
      </c>
      <c r="B2186" s="944">
        <v>241.12</v>
      </c>
      <c r="C2186" s="944" t="s">
        <v>3996</v>
      </c>
      <c r="D2186" s="943" t="s">
        <v>17</v>
      </c>
      <c r="E2186" s="952">
        <v>12565</v>
      </c>
      <c r="F2186" s="945">
        <v>8</v>
      </c>
      <c r="G2186" s="946">
        <v>185.61</v>
      </c>
      <c r="H2186" s="946">
        <v>177.01</v>
      </c>
    </row>
    <row r="2187" spans="1:9" s="26" customFormat="1">
      <c r="A2187" s="947">
        <v>5</v>
      </c>
      <c r="B2187" s="948">
        <v>241.15</v>
      </c>
      <c r="C2187" s="948" t="s">
        <v>3997</v>
      </c>
      <c r="D2187" s="947" t="s">
        <v>17</v>
      </c>
      <c r="E2187" s="950">
        <v>850</v>
      </c>
      <c r="F2187" s="950">
        <v>4</v>
      </c>
      <c r="G2187" s="951">
        <v>185</v>
      </c>
      <c r="H2187" s="951">
        <v>172.71</v>
      </c>
      <c r="I2187" s="18"/>
    </row>
    <row r="2188" spans="1:9">
      <c r="A2188" s="943">
        <v>5</v>
      </c>
      <c r="B2188" s="944">
        <v>241.18</v>
      </c>
      <c r="C2188" s="944" t="s">
        <v>3998</v>
      </c>
      <c r="D2188" s="943" t="s">
        <v>17</v>
      </c>
      <c r="E2188" s="945">
        <v>728</v>
      </c>
      <c r="F2188" s="945">
        <v>4</v>
      </c>
      <c r="G2188" s="946">
        <v>190</v>
      </c>
      <c r="H2188" s="946">
        <v>168.52</v>
      </c>
    </row>
    <row r="2189" spans="1:9" s="26" customFormat="1">
      <c r="A2189" s="947">
        <v>5</v>
      </c>
      <c r="B2189" s="948">
        <v>241.42</v>
      </c>
      <c r="C2189" s="948" t="s">
        <v>4032</v>
      </c>
      <c r="D2189" s="947" t="s">
        <v>17</v>
      </c>
      <c r="E2189" s="950">
        <v>630</v>
      </c>
      <c r="F2189" s="950">
        <v>1</v>
      </c>
      <c r="G2189" s="951">
        <v>260</v>
      </c>
      <c r="H2189" s="951">
        <v>277.52</v>
      </c>
      <c r="I2189" s="18"/>
    </row>
    <row r="2190" spans="1:9">
      <c r="A2190" s="943">
        <v>5</v>
      </c>
      <c r="B2190" s="944">
        <v>242.12</v>
      </c>
      <c r="C2190" s="944" t="s">
        <v>219</v>
      </c>
      <c r="D2190" s="943" t="s">
        <v>2</v>
      </c>
      <c r="E2190" s="945">
        <v>41</v>
      </c>
      <c r="F2190" s="945">
        <v>3</v>
      </c>
      <c r="G2190" s="946">
        <v>1951.02</v>
      </c>
      <c r="H2190" s="946">
        <v>2039.43</v>
      </c>
    </row>
    <row r="2191" spans="1:9" s="26" customFormat="1">
      <c r="A2191" s="947">
        <v>5</v>
      </c>
      <c r="B2191" s="948">
        <v>242.18</v>
      </c>
      <c r="C2191" s="948" t="s">
        <v>221</v>
      </c>
      <c r="D2191" s="947" t="s">
        <v>2</v>
      </c>
      <c r="E2191" s="950">
        <v>10</v>
      </c>
      <c r="F2191" s="950">
        <v>2</v>
      </c>
      <c r="G2191" s="951">
        <v>2023.77</v>
      </c>
      <c r="H2191" s="951">
        <v>2182.38</v>
      </c>
      <c r="I2191" s="18"/>
    </row>
    <row r="2192" spans="1:9">
      <c r="A2192" s="943">
        <v>5</v>
      </c>
      <c r="B2192" s="944">
        <v>242.42</v>
      </c>
      <c r="C2192" s="944" t="s">
        <v>1310</v>
      </c>
      <c r="D2192" s="943" t="s">
        <v>2</v>
      </c>
      <c r="E2192" s="945">
        <v>6</v>
      </c>
      <c r="F2192" s="945">
        <v>1</v>
      </c>
      <c r="G2192" s="946">
        <v>3750</v>
      </c>
      <c r="H2192" s="946">
        <v>3831.49</v>
      </c>
    </row>
    <row r="2193" spans="1:9" s="26" customFormat="1">
      <c r="A2193" s="947">
        <v>5</v>
      </c>
      <c r="B2193" s="948">
        <v>243.12</v>
      </c>
      <c r="C2193" s="948" t="s">
        <v>226</v>
      </c>
      <c r="D2193" s="947" t="s">
        <v>17</v>
      </c>
      <c r="E2193" s="950">
        <v>120</v>
      </c>
      <c r="F2193" s="950">
        <v>1</v>
      </c>
      <c r="G2193" s="951">
        <v>146.38999999999999</v>
      </c>
      <c r="H2193" s="951">
        <v>138.56</v>
      </c>
      <c r="I2193" s="18"/>
    </row>
    <row r="2194" spans="1:9">
      <c r="A2194" s="943">
        <v>5</v>
      </c>
      <c r="B2194" s="944">
        <v>244.12</v>
      </c>
      <c r="C2194" s="944" t="s">
        <v>229</v>
      </c>
      <c r="D2194" s="943" t="s">
        <v>17</v>
      </c>
      <c r="E2194" s="952">
        <v>4865</v>
      </c>
      <c r="F2194" s="945">
        <v>4</v>
      </c>
      <c r="G2194" s="946">
        <v>241</v>
      </c>
      <c r="H2194" s="946">
        <v>215.2</v>
      </c>
    </row>
    <row r="2195" spans="1:9" s="26" customFormat="1">
      <c r="A2195" s="947">
        <v>5</v>
      </c>
      <c r="B2195" s="948">
        <v>244.15</v>
      </c>
      <c r="C2195" s="948" t="s">
        <v>230</v>
      </c>
      <c r="D2195" s="947" t="s">
        <v>17</v>
      </c>
      <c r="E2195" s="950">
        <v>60</v>
      </c>
      <c r="F2195" s="950">
        <v>1</v>
      </c>
      <c r="G2195" s="951">
        <v>124</v>
      </c>
      <c r="H2195" s="951">
        <v>124</v>
      </c>
      <c r="I2195" s="18"/>
    </row>
    <row r="2196" spans="1:9">
      <c r="A2196" s="943">
        <v>5</v>
      </c>
      <c r="B2196" s="944">
        <v>250.06</v>
      </c>
      <c r="C2196" s="944" t="s">
        <v>235</v>
      </c>
      <c r="D2196" s="943" t="s">
        <v>17</v>
      </c>
      <c r="E2196" s="952">
        <v>1455</v>
      </c>
      <c r="F2196" s="945">
        <v>1</v>
      </c>
      <c r="G2196" s="946">
        <v>287.75</v>
      </c>
      <c r="H2196" s="946">
        <v>255.51</v>
      </c>
    </row>
    <row r="2197" spans="1:9" s="26" customFormat="1">
      <c r="A2197" s="947">
        <v>5</v>
      </c>
      <c r="B2197" s="948">
        <v>250.08</v>
      </c>
      <c r="C2197" s="948" t="s">
        <v>236</v>
      </c>
      <c r="D2197" s="947" t="s">
        <v>17</v>
      </c>
      <c r="E2197" s="950">
        <v>135</v>
      </c>
      <c r="F2197" s="950">
        <v>1</v>
      </c>
      <c r="G2197" s="951">
        <v>418.75</v>
      </c>
      <c r="H2197" s="951">
        <v>445.83</v>
      </c>
      <c r="I2197" s="18"/>
    </row>
    <row r="2198" spans="1:9">
      <c r="A2198" s="943">
        <v>5</v>
      </c>
      <c r="B2198" s="944">
        <v>250.12</v>
      </c>
      <c r="C2198" s="944" t="s">
        <v>2186</v>
      </c>
      <c r="D2198" s="943" t="s">
        <v>17</v>
      </c>
      <c r="E2198" s="952">
        <v>9300</v>
      </c>
      <c r="F2198" s="945">
        <v>1</v>
      </c>
      <c r="G2198" s="946">
        <v>359.75</v>
      </c>
      <c r="H2198" s="946">
        <v>383.06</v>
      </c>
    </row>
    <row r="2199" spans="1:9" s="26" customFormat="1">
      <c r="A2199" s="947">
        <v>5</v>
      </c>
      <c r="B2199" s="948">
        <v>258</v>
      </c>
      <c r="C2199" s="948" t="s">
        <v>238</v>
      </c>
      <c r="D2199" s="947" t="s">
        <v>1</v>
      </c>
      <c r="E2199" s="949">
        <v>1404</v>
      </c>
      <c r="F2199" s="950">
        <v>7</v>
      </c>
      <c r="G2199" s="951">
        <v>100</v>
      </c>
      <c r="H2199" s="951">
        <v>110.23</v>
      </c>
      <c r="I2199" s="18"/>
    </row>
    <row r="2200" spans="1:9">
      <c r="A2200" s="943">
        <v>5</v>
      </c>
      <c r="B2200" s="944">
        <v>269.10000000000002</v>
      </c>
      <c r="C2200" s="944" t="s">
        <v>242</v>
      </c>
      <c r="D2200" s="943" t="s">
        <v>17</v>
      </c>
      <c r="E2200" s="945">
        <v>20</v>
      </c>
      <c r="F2200" s="945">
        <v>1</v>
      </c>
      <c r="G2200" s="946">
        <v>123.5</v>
      </c>
      <c r="H2200" s="946">
        <v>123.5</v>
      </c>
    </row>
    <row r="2201" spans="1:9" s="26" customFormat="1">
      <c r="A2201" s="947">
        <v>5</v>
      </c>
      <c r="B2201" s="948">
        <v>271.12</v>
      </c>
      <c r="C2201" s="948" t="s">
        <v>243</v>
      </c>
      <c r="D2201" s="947" t="s">
        <v>17</v>
      </c>
      <c r="E2201" s="950">
        <v>195</v>
      </c>
      <c r="F2201" s="950">
        <v>1</v>
      </c>
      <c r="G2201" s="951">
        <v>40</v>
      </c>
      <c r="H2201" s="951">
        <v>35.06</v>
      </c>
      <c r="I2201" s="18"/>
    </row>
    <row r="2202" spans="1:9">
      <c r="A2202" s="943">
        <v>5</v>
      </c>
      <c r="B2202" s="944">
        <v>271.14999999999998</v>
      </c>
      <c r="C2202" s="944" t="s">
        <v>2242</v>
      </c>
      <c r="D2202" s="943" t="s">
        <v>17</v>
      </c>
      <c r="E2202" s="945">
        <v>285</v>
      </c>
      <c r="F2202" s="945">
        <v>1</v>
      </c>
      <c r="G2202" s="946">
        <v>42.5</v>
      </c>
      <c r="H2202" s="946">
        <v>36.94</v>
      </c>
    </row>
    <row r="2203" spans="1:9" s="26" customFormat="1">
      <c r="A2203" s="947">
        <v>5</v>
      </c>
      <c r="B2203" s="948">
        <v>271.18</v>
      </c>
      <c r="C2203" s="948" t="s">
        <v>2243</v>
      </c>
      <c r="D2203" s="947" t="s">
        <v>17</v>
      </c>
      <c r="E2203" s="950">
        <v>200</v>
      </c>
      <c r="F2203" s="950">
        <v>1</v>
      </c>
      <c r="G2203" s="951">
        <v>55</v>
      </c>
      <c r="H2203" s="951">
        <v>54.43</v>
      </c>
      <c r="I2203" s="18"/>
    </row>
    <row r="2204" spans="1:9">
      <c r="A2204" s="943">
        <v>5</v>
      </c>
      <c r="B2204" s="944">
        <v>280.10000000000002</v>
      </c>
      <c r="C2204" s="944" t="s">
        <v>244</v>
      </c>
      <c r="D2204" s="943" t="s">
        <v>7</v>
      </c>
      <c r="E2204" s="952">
        <v>1200</v>
      </c>
      <c r="F2204" s="945">
        <v>2</v>
      </c>
      <c r="G2204" s="946">
        <v>331</v>
      </c>
      <c r="H2204" s="946">
        <v>380</v>
      </c>
    </row>
    <row r="2205" spans="1:9" s="26" customFormat="1">
      <c r="A2205" s="947">
        <v>5</v>
      </c>
      <c r="B2205" s="948">
        <v>281</v>
      </c>
      <c r="C2205" s="948" t="s">
        <v>245</v>
      </c>
      <c r="D2205" s="947" t="s">
        <v>1</v>
      </c>
      <c r="E2205" s="950">
        <v>30</v>
      </c>
      <c r="F2205" s="950">
        <v>1</v>
      </c>
      <c r="G2205" s="951">
        <v>500</v>
      </c>
      <c r="H2205" s="951">
        <v>473.33</v>
      </c>
      <c r="I2205" s="18"/>
    </row>
    <row r="2206" spans="1:9">
      <c r="A2206" s="943">
        <v>5</v>
      </c>
      <c r="B2206" s="944">
        <v>302.06</v>
      </c>
      <c r="C2206" s="944" t="s">
        <v>247</v>
      </c>
      <c r="D2206" s="943" t="s">
        <v>17</v>
      </c>
      <c r="E2206" s="945">
        <v>200</v>
      </c>
      <c r="F2206" s="945">
        <v>1</v>
      </c>
      <c r="G2206" s="946">
        <v>225</v>
      </c>
      <c r="H2206" s="946">
        <v>211.8</v>
      </c>
    </row>
    <row r="2207" spans="1:9" s="26" customFormat="1">
      <c r="A2207" s="947">
        <v>5</v>
      </c>
      <c r="B2207" s="948">
        <v>302.08</v>
      </c>
      <c r="C2207" s="948" t="s">
        <v>248</v>
      </c>
      <c r="D2207" s="947" t="s">
        <v>17</v>
      </c>
      <c r="E2207" s="950">
        <v>140</v>
      </c>
      <c r="F2207" s="950">
        <v>1</v>
      </c>
      <c r="G2207" s="951">
        <v>238.5</v>
      </c>
      <c r="H2207" s="951">
        <v>235.4</v>
      </c>
      <c r="I2207" s="18"/>
    </row>
    <row r="2208" spans="1:9">
      <c r="A2208" s="943">
        <v>5</v>
      </c>
      <c r="B2208" s="944">
        <v>303.06</v>
      </c>
      <c r="C2208" s="944" t="s">
        <v>251</v>
      </c>
      <c r="D2208" s="943" t="s">
        <v>17</v>
      </c>
      <c r="E2208" s="945">
        <v>740</v>
      </c>
      <c r="F2208" s="945">
        <v>6</v>
      </c>
      <c r="G2208" s="946">
        <v>300</v>
      </c>
      <c r="H2208" s="946">
        <v>301.64</v>
      </c>
    </row>
    <row r="2209" spans="1:9" s="26" customFormat="1">
      <c r="A2209" s="947">
        <v>5</v>
      </c>
      <c r="B2209" s="948">
        <v>303.08</v>
      </c>
      <c r="C2209" s="948" t="s">
        <v>252</v>
      </c>
      <c r="D2209" s="947" t="s">
        <v>17</v>
      </c>
      <c r="E2209" s="950">
        <v>690</v>
      </c>
      <c r="F2209" s="950">
        <v>1</v>
      </c>
      <c r="G2209" s="951">
        <v>246.11</v>
      </c>
      <c r="H2209" s="951">
        <v>210.07</v>
      </c>
      <c r="I2209" s="18"/>
    </row>
    <row r="2210" spans="1:9">
      <c r="A2210" s="943">
        <v>5</v>
      </c>
      <c r="B2210" s="944">
        <v>303.12</v>
      </c>
      <c r="C2210" s="944" t="s">
        <v>254</v>
      </c>
      <c r="D2210" s="943" t="s">
        <v>17</v>
      </c>
      <c r="E2210" s="945">
        <v>890</v>
      </c>
      <c r="F2210" s="945">
        <v>2</v>
      </c>
      <c r="G2210" s="946">
        <v>325</v>
      </c>
      <c r="H2210" s="946">
        <v>335.5</v>
      </c>
    </row>
    <row r="2211" spans="1:9" s="26" customFormat="1">
      <c r="A2211" s="947">
        <v>5</v>
      </c>
      <c r="B2211" s="948">
        <v>309</v>
      </c>
      <c r="C2211" s="948" t="s">
        <v>256</v>
      </c>
      <c r="D2211" s="947" t="s">
        <v>100</v>
      </c>
      <c r="E2211" s="949">
        <v>13260</v>
      </c>
      <c r="F2211" s="950">
        <v>7</v>
      </c>
      <c r="G2211" s="951">
        <v>11</v>
      </c>
      <c r="H2211" s="951">
        <v>11.08</v>
      </c>
      <c r="I2211" s="18"/>
    </row>
    <row r="2212" spans="1:9">
      <c r="A2212" s="943">
        <v>5</v>
      </c>
      <c r="B2212" s="944">
        <v>315.08</v>
      </c>
      <c r="C2212" s="944" t="s">
        <v>1324</v>
      </c>
      <c r="D2212" s="943" t="s">
        <v>17</v>
      </c>
      <c r="E2212" s="945">
        <v>60</v>
      </c>
      <c r="F2212" s="945">
        <v>1</v>
      </c>
      <c r="G2212" s="946">
        <v>75</v>
      </c>
      <c r="H2212" s="946">
        <v>62.5</v>
      </c>
    </row>
    <row r="2213" spans="1:9" s="26" customFormat="1">
      <c r="A2213" s="947">
        <v>5</v>
      </c>
      <c r="B2213" s="948">
        <v>315.10000000000002</v>
      </c>
      <c r="C2213" s="948" t="s">
        <v>2264</v>
      </c>
      <c r="D2213" s="947" t="s">
        <v>17</v>
      </c>
      <c r="E2213" s="950">
        <v>40</v>
      </c>
      <c r="F2213" s="950">
        <v>1</v>
      </c>
      <c r="G2213" s="951">
        <v>75</v>
      </c>
      <c r="H2213" s="951">
        <v>62.5</v>
      </c>
      <c r="I2213" s="18"/>
    </row>
    <row r="2214" spans="1:9">
      <c r="A2214" s="943">
        <v>5</v>
      </c>
      <c r="B2214" s="944">
        <v>336.1</v>
      </c>
      <c r="C2214" s="944" t="s">
        <v>258</v>
      </c>
      <c r="D2214" s="943" t="s">
        <v>17</v>
      </c>
      <c r="E2214" s="945">
        <v>170</v>
      </c>
      <c r="F2214" s="945">
        <v>2</v>
      </c>
      <c r="G2214" s="946">
        <v>130</v>
      </c>
      <c r="H2214" s="946">
        <v>127.83</v>
      </c>
    </row>
    <row r="2215" spans="1:9" s="26" customFormat="1">
      <c r="A2215" s="947">
        <v>5</v>
      </c>
      <c r="B2215" s="948">
        <v>347.1</v>
      </c>
      <c r="C2215" s="948" t="s">
        <v>260</v>
      </c>
      <c r="D2215" s="947" t="s">
        <v>17</v>
      </c>
      <c r="E2215" s="949">
        <v>1350</v>
      </c>
      <c r="F2215" s="950">
        <v>3</v>
      </c>
      <c r="G2215" s="951">
        <v>150</v>
      </c>
      <c r="H2215" s="951">
        <v>135.56</v>
      </c>
      <c r="I2215" s="18"/>
    </row>
    <row r="2216" spans="1:9">
      <c r="A2216" s="943">
        <v>5</v>
      </c>
      <c r="B2216" s="944">
        <v>347.2</v>
      </c>
      <c r="C2216" s="944" t="s">
        <v>261</v>
      </c>
      <c r="D2216" s="943" t="s">
        <v>17</v>
      </c>
      <c r="E2216" s="952">
        <v>1000</v>
      </c>
      <c r="F2216" s="945">
        <v>1</v>
      </c>
      <c r="G2216" s="946">
        <v>125</v>
      </c>
      <c r="H2216" s="946">
        <v>107.5</v>
      </c>
    </row>
    <row r="2217" spans="1:9" s="26" customFormat="1">
      <c r="A2217" s="947">
        <v>5</v>
      </c>
      <c r="B2217" s="948">
        <v>350.06</v>
      </c>
      <c r="C2217" s="948" t="s">
        <v>264</v>
      </c>
      <c r="D2217" s="947" t="s">
        <v>2</v>
      </c>
      <c r="E2217" s="950">
        <v>32</v>
      </c>
      <c r="F2217" s="950">
        <v>3</v>
      </c>
      <c r="G2217" s="951">
        <v>3400</v>
      </c>
      <c r="H2217" s="951">
        <v>3298.71</v>
      </c>
      <c r="I2217" s="18"/>
    </row>
    <row r="2218" spans="1:9">
      <c r="A2218" s="943">
        <v>5</v>
      </c>
      <c r="B2218" s="944">
        <v>350.08</v>
      </c>
      <c r="C2218" s="944" t="s">
        <v>265</v>
      </c>
      <c r="D2218" s="943" t="s">
        <v>2</v>
      </c>
      <c r="E2218" s="945">
        <v>12</v>
      </c>
      <c r="F2218" s="945">
        <v>1</v>
      </c>
      <c r="G2218" s="946">
        <v>4877.79</v>
      </c>
      <c r="H2218" s="946">
        <v>4481.8599999999997</v>
      </c>
    </row>
    <row r="2219" spans="1:9" s="26" customFormat="1">
      <c r="A2219" s="947">
        <v>5</v>
      </c>
      <c r="B2219" s="948">
        <v>350.1</v>
      </c>
      <c r="C2219" s="948" t="s">
        <v>266</v>
      </c>
      <c r="D2219" s="947" t="s">
        <v>2</v>
      </c>
      <c r="E2219" s="950">
        <v>20</v>
      </c>
      <c r="F2219" s="950">
        <v>1</v>
      </c>
      <c r="G2219" s="951">
        <v>8750</v>
      </c>
      <c r="H2219" s="951">
        <v>8095.4</v>
      </c>
      <c r="I2219" s="18"/>
    </row>
    <row r="2220" spans="1:9">
      <c r="A2220" s="943">
        <v>5</v>
      </c>
      <c r="B2220" s="944">
        <v>350.12</v>
      </c>
      <c r="C2220" s="944" t="s">
        <v>267</v>
      </c>
      <c r="D2220" s="943" t="s">
        <v>2</v>
      </c>
      <c r="E2220" s="945">
        <v>8</v>
      </c>
      <c r="F2220" s="945">
        <v>1</v>
      </c>
      <c r="G2220" s="946">
        <v>11376</v>
      </c>
      <c r="H2220" s="946">
        <v>10444</v>
      </c>
    </row>
    <row r="2221" spans="1:9" s="26" customFormat="1">
      <c r="A2221" s="947">
        <v>5</v>
      </c>
      <c r="B2221" s="948">
        <v>354.12</v>
      </c>
      <c r="C2221" s="948" t="s">
        <v>2303</v>
      </c>
      <c r="D2221" s="947" t="s">
        <v>2</v>
      </c>
      <c r="E2221" s="950">
        <v>4</v>
      </c>
      <c r="F2221" s="950">
        <v>1</v>
      </c>
      <c r="G2221" s="951">
        <v>715</v>
      </c>
      <c r="H2221" s="951">
        <v>657.5</v>
      </c>
      <c r="I2221" s="18"/>
    </row>
    <row r="2222" spans="1:9">
      <c r="A2222" s="943">
        <v>5</v>
      </c>
      <c r="B2222" s="944">
        <v>355.08</v>
      </c>
      <c r="C2222" s="944" t="s">
        <v>1335</v>
      </c>
      <c r="D2222" s="943" t="s">
        <v>2</v>
      </c>
      <c r="E2222" s="945">
        <v>3</v>
      </c>
      <c r="F2222" s="945">
        <v>1</v>
      </c>
      <c r="G2222" s="946">
        <v>1360</v>
      </c>
      <c r="H2222" s="946">
        <v>1286.67</v>
      </c>
    </row>
    <row r="2223" spans="1:9" s="26" customFormat="1">
      <c r="A2223" s="947">
        <v>5</v>
      </c>
      <c r="B2223" s="948">
        <v>355.1</v>
      </c>
      <c r="C2223" s="948" t="s">
        <v>2308</v>
      </c>
      <c r="D2223" s="947" t="s">
        <v>2</v>
      </c>
      <c r="E2223" s="950">
        <v>6</v>
      </c>
      <c r="F2223" s="950">
        <v>1</v>
      </c>
      <c r="G2223" s="951">
        <v>1500</v>
      </c>
      <c r="H2223" s="951">
        <v>1433.33</v>
      </c>
      <c r="I2223" s="18"/>
    </row>
    <row r="2224" spans="1:9">
      <c r="A2224" s="943">
        <v>5</v>
      </c>
      <c r="B2224" s="944">
        <v>357.06</v>
      </c>
      <c r="C2224" s="944" t="s">
        <v>268</v>
      </c>
      <c r="D2224" s="943" t="s">
        <v>2</v>
      </c>
      <c r="E2224" s="945">
        <v>36</v>
      </c>
      <c r="F2224" s="945">
        <v>4</v>
      </c>
      <c r="G2224" s="946">
        <v>650</v>
      </c>
      <c r="H2224" s="946">
        <v>595.75</v>
      </c>
    </row>
    <row r="2225" spans="1:9" s="26" customFormat="1">
      <c r="A2225" s="947">
        <v>5</v>
      </c>
      <c r="B2225" s="948">
        <v>357.08</v>
      </c>
      <c r="C2225" s="948" t="s">
        <v>269</v>
      </c>
      <c r="D2225" s="947" t="s">
        <v>2</v>
      </c>
      <c r="E2225" s="950">
        <v>12</v>
      </c>
      <c r="F2225" s="950">
        <v>4</v>
      </c>
      <c r="G2225" s="951">
        <v>700</v>
      </c>
      <c r="H2225" s="951">
        <v>661.89</v>
      </c>
      <c r="I2225" s="18"/>
    </row>
    <row r="2226" spans="1:9">
      <c r="A2226" s="943">
        <v>5</v>
      </c>
      <c r="B2226" s="944">
        <v>357.1</v>
      </c>
      <c r="C2226" s="944" t="s">
        <v>270</v>
      </c>
      <c r="D2226" s="943" t="s">
        <v>2</v>
      </c>
      <c r="E2226" s="945">
        <v>6</v>
      </c>
      <c r="F2226" s="945">
        <v>1</v>
      </c>
      <c r="G2226" s="946">
        <v>422</v>
      </c>
      <c r="H2226" s="946">
        <v>338</v>
      </c>
    </row>
    <row r="2227" spans="1:9" s="26" customFormat="1">
      <c r="A2227" s="947">
        <v>5</v>
      </c>
      <c r="B2227" s="948">
        <v>357.12</v>
      </c>
      <c r="C2227" s="948" t="s">
        <v>271</v>
      </c>
      <c r="D2227" s="947" t="s">
        <v>2</v>
      </c>
      <c r="E2227" s="950">
        <v>32</v>
      </c>
      <c r="F2227" s="950">
        <v>5</v>
      </c>
      <c r="G2227" s="951">
        <v>810</v>
      </c>
      <c r="H2227" s="951">
        <v>730.08</v>
      </c>
      <c r="I2227" s="18"/>
    </row>
    <row r="2228" spans="1:9">
      <c r="A2228" s="943">
        <v>5</v>
      </c>
      <c r="B2228" s="944">
        <v>357.16</v>
      </c>
      <c r="C2228" s="944" t="s">
        <v>272</v>
      </c>
      <c r="D2228" s="943" t="s">
        <v>2</v>
      </c>
      <c r="E2228" s="945">
        <v>6</v>
      </c>
      <c r="F2228" s="945">
        <v>2</v>
      </c>
      <c r="G2228" s="946">
        <v>775</v>
      </c>
      <c r="H2228" s="946">
        <v>556.5</v>
      </c>
    </row>
    <row r="2229" spans="1:9" s="26" customFormat="1">
      <c r="A2229" s="947">
        <v>5</v>
      </c>
      <c r="B2229" s="948">
        <v>357.2</v>
      </c>
      <c r="C2229" s="948" t="s">
        <v>2314</v>
      </c>
      <c r="D2229" s="947" t="s">
        <v>2</v>
      </c>
      <c r="E2229" s="950">
        <v>22</v>
      </c>
      <c r="F2229" s="950">
        <v>2</v>
      </c>
      <c r="G2229" s="951">
        <v>625</v>
      </c>
      <c r="H2229" s="951">
        <v>676.67</v>
      </c>
      <c r="I2229" s="18"/>
    </row>
    <row r="2230" spans="1:9">
      <c r="A2230" s="943">
        <v>5</v>
      </c>
      <c r="B2230" s="944">
        <v>358</v>
      </c>
      <c r="C2230" s="944" t="s">
        <v>274</v>
      </c>
      <c r="D2230" s="943" t="s">
        <v>2</v>
      </c>
      <c r="E2230" s="952">
        <v>1195</v>
      </c>
      <c r="F2230" s="945">
        <v>11</v>
      </c>
      <c r="G2230" s="946">
        <v>318.5</v>
      </c>
      <c r="H2230" s="946">
        <v>321.85000000000002</v>
      </c>
    </row>
    <row r="2231" spans="1:9" s="26" customFormat="1">
      <c r="A2231" s="947">
        <v>5</v>
      </c>
      <c r="B2231" s="948">
        <v>358.1</v>
      </c>
      <c r="C2231" s="948" t="s">
        <v>275</v>
      </c>
      <c r="D2231" s="947" t="s">
        <v>2</v>
      </c>
      <c r="E2231" s="950">
        <v>23</v>
      </c>
      <c r="F2231" s="950">
        <v>3</v>
      </c>
      <c r="G2231" s="951">
        <v>250</v>
      </c>
      <c r="H2231" s="951">
        <v>210.13</v>
      </c>
      <c r="I2231" s="18"/>
    </row>
    <row r="2232" spans="1:9">
      <c r="A2232" s="943">
        <v>5</v>
      </c>
      <c r="B2232" s="944">
        <v>363.1</v>
      </c>
      <c r="C2232" s="944" t="s">
        <v>276</v>
      </c>
      <c r="D2232" s="943" t="s">
        <v>2</v>
      </c>
      <c r="E2232" s="945">
        <v>55</v>
      </c>
      <c r="F2232" s="945">
        <v>4</v>
      </c>
      <c r="G2232" s="946">
        <v>1260</v>
      </c>
      <c r="H2232" s="946">
        <v>1230</v>
      </c>
    </row>
    <row r="2233" spans="1:9" s="26" customFormat="1">
      <c r="A2233" s="947">
        <v>5</v>
      </c>
      <c r="B2233" s="948">
        <v>363.2</v>
      </c>
      <c r="C2233" s="948" t="s">
        <v>277</v>
      </c>
      <c r="D2233" s="947" t="s">
        <v>2</v>
      </c>
      <c r="E2233" s="950">
        <v>41</v>
      </c>
      <c r="F2233" s="950">
        <v>2</v>
      </c>
      <c r="G2233" s="951">
        <v>1750</v>
      </c>
      <c r="H2233" s="951">
        <v>2066.67</v>
      </c>
      <c r="I2233" s="18"/>
    </row>
    <row r="2234" spans="1:9">
      <c r="A2234" s="943">
        <v>5</v>
      </c>
      <c r="B2234" s="944">
        <v>367.06</v>
      </c>
      <c r="C2234" s="944" t="s">
        <v>278</v>
      </c>
      <c r="D2234" s="943" t="s">
        <v>2</v>
      </c>
      <c r="E2234" s="945">
        <v>22</v>
      </c>
      <c r="F2234" s="945">
        <v>3</v>
      </c>
      <c r="G2234" s="946">
        <v>775</v>
      </c>
      <c r="H2234" s="946">
        <v>818.33</v>
      </c>
    </row>
    <row r="2235" spans="1:9" s="26" customFormat="1">
      <c r="A2235" s="947">
        <v>5</v>
      </c>
      <c r="B2235" s="948">
        <v>369.06</v>
      </c>
      <c r="C2235" s="948" t="s">
        <v>2322</v>
      </c>
      <c r="D2235" s="947" t="s">
        <v>2</v>
      </c>
      <c r="E2235" s="950">
        <v>9</v>
      </c>
      <c r="F2235" s="950">
        <v>1</v>
      </c>
      <c r="G2235" s="951">
        <v>19000</v>
      </c>
      <c r="H2235" s="951">
        <v>16333.33</v>
      </c>
      <c r="I2235" s="18"/>
    </row>
    <row r="2236" spans="1:9">
      <c r="A2236" s="943">
        <v>5</v>
      </c>
      <c r="B2236" s="944">
        <v>370.1</v>
      </c>
      <c r="C2236" s="944" t="s">
        <v>282</v>
      </c>
      <c r="D2236" s="943" t="s">
        <v>2</v>
      </c>
      <c r="E2236" s="945">
        <v>3</v>
      </c>
      <c r="F2236" s="945">
        <v>1</v>
      </c>
      <c r="G2236" s="946">
        <v>20000</v>
      </c>
      <c r="H2236" s="946">
        <v>17166.669999999998</v>
      </c>
    </row>
    <row r="2237" spans="1:9" s="26" customFormat="1">
      <c r="A2237" s="947">
        <v>5</v>
      </c>
      <c r="B2237" s="948">
        <v>370.2</v>
      </c>
      <c r="C2237" s="948" t="s">
        <v>1343</v>
      </c>
      <c r="D2237" s="947" t="s">
        <v>2</v>
      </c>
      <c r="E2237" s="950">
        <v>6</v>
      </c>
      <c r="F2237" s="950">
        <v>1</v>
      </c>
      <c r="G2237" s="951">
        <v>7100</v>
      </c>
      <c r="H2237" s="951">
        <v>7288.33</v>
      </c>
      <c r="I2237" s="18"/>
    </row>
    <row r="2238" spans="1:9">
      <c r="A2238" s="943">
        <v>5</v>
      </c>
      <c r="B2238" s="944">
        <v>370.4</v>
      </c>
      <c r="C2238" s="944" t="s">
        <v>283</v>
      </c>
      <c r="D2238" s="943" t="s">
        <v>2</v>
      </c>
      <c r="E2238" s="945">
        <v>10</v>
      </c>
      <c r="F2238" s="945">
        <v>3</v>
      </c>
      <c r="G2238" s="946">
        <v>20000</v>
      </c>
      <c r="H2238" s="946">
        <v>21739.3</v>
      </c>
    </row>
    <row r="2239" spans="1:9" s="26" customFormat="1">
      <c r="A2239" s="947">
        <v>5</v>
      </c>
      <c r="B2239" s="948">
        <v>371.06</v>
      </c>
      <c r="C2239" s="948" t="s">
        <v>285</v>
      </c>
      <c r="D2239" s="947" t="s">
        <v>2</v>
      </c>
      <c r="E2239" s="950">
        <v>6</v>
      </c>
      <c r="F2239" s="950">
        <v>2</v>
      </c>
      <c r="G2239" s="951">
        <v>1190</v>
      </c>
      <c r="H2239" s="951">
        <v>1091.25</v>
      </c>
      <c r="I2239" s="18"/>
    </row>
    <row r="2240" spans="1:9">
      <c r="A2240" s="943">
        <v>5</v>
      </c>
      <c r="B2240" s="944">
        <v>371.12</v>
      </c>
      <c r="C2240" s="944" t="s">
        <v>287</v>
      </c>
      <c r="D2240" s="943" t="s">
        <v>2</v>
      </c>
      <c r="E2240" s="945">
        <v>2</v>
      </c>
      <c r="F2240" s="945">
        <v>1</v>
      </c>
      <c r="G2240" s="946">
        <v>11395</v>
      </c>
      <c r="H2240" s="946">
        <v>10697.5</v>
      </c>
    </row>
    <row r="2241" spans="1:9" s="26" customFormat="1">
      <c r="A2241" s="947">
        <v>5</v>
      </c>
      <c r="B2241" s="948">
        <v>376.1</v>
      </c>
      <c r="C2241" s="948" t="s">
        <v>291</v>
      </c>
      <c r="D2241" s="947" t="s">
        <v>2</v>
      </c>
      <c r="E2241" s="950">
        <v>36</v>
      </c>
      <c r="F2241" s="950">
        <v>3</v>
      </c>
      <c r="G2241" s="951">
        <v>5000</v>
      </c>
      <c r="H2241" s="951">
        <v>5258</v>
      </c>
      <c r="I2241" s="18"/>
    </row>
    <row r="2242" spans="1:9">
      <c r="A2242" s="943">
        <v>5</v>
      </c>
      <c r="B2242" s="944">
        <v>376.2</v>
      </c>
      <c r="C2242" s="944" t="s">
        <v>292</v>
      </c>
      <c r="D2242" s="943" t="s">
        <v>2</v>
      </c>
      <c r="E2242" s="945">
        <v>52</v>
      </c>
      <c r="F2242" s="945">
        <v>6</v>
      </c>
      <c r="G2242" s="946">
        <v>5000</v>
      </c>
      <c r="H2242" s="946">
        <v>4962.5</v>
      </c>
    </row>
    <row r="2243" spans="1:9" s="26" customFormat="1">
      <c r="A2243" s="947">
        <v>5</v>
      </c>
      <c r="B2243" s="948">
        <v>376.3</v>
      </c>
      <c r="C2243" s="948" t="s">
        <v>293</v>
      </c>
      <c r="D2243" s="947" t="s">
        <v>2</v>
      </c>
      <c r="E2243" s="950">
        <v>12</v>
      </c>
      <c r="F2243" s="950">
        <v>2</v>
      </c>
      <c r="G2243" s="951">
        <v>2000</v>
      </c>
      <c r="H2243" s="951">
        <v>2075</v>
      </c>
      <c r="I2243" s="18"/>
    </row>
    <row r="2244" spans="1:9">
      <c r="A2244" s="943">
        <v>5</v>
      </c>
      <c r="B2244" s="944">
        <v>376.5</v>
      </c>
      <c r="C2244" s="944" t="s">
        <v>294</v>
      </c>
      <c r="D2244" s="943" t="s">
        <v>2</v>
      </c>
      <c r="E2244" s="945">
        <v>41</v>
      </c>
      <c r="F2244" s="945">
        <v>3</v>
      </c>
      <c r="G2244" s="946">
        <v>2000</v>
      </c>
      <c r="H2244" s="946">
        <v>2107.5</v>
      </c>
    </row>
    <row r="2245" spans="1:9" s="26" customFormat="1">
      <c r="A2245" s="947">
        <v>5</v>
      </c>
      <c r="B2245" s="948">
        <v>381</v>
      </c>
      <c r="C2245" s="948" t="s">
        <v>295</v>
      </c>
      <c r="D2245" s="947" t="s">
        <v>2</v>
      </c>
      <c r="E2245" s="950">
        <v>94</v>
      </c>
      <c r="F2245" s="950">
        <v>6</v>
      </c>
      <c r="G2245" s="951">
        <v>500</v>
      </c>
      <c r="H2245" s="951">
        <v>509.68</v>
      </c>
      <c r="I2245" s="18"/>
    </row>
    <row r="2246" spans="1:9">
      <c r="A2246" s="943">
        <v>5</v>
      </c>
      <c r="B2246" s="944">
        <v>381.01</v>
      </c>
      <c r="C2246" s="944" t="s">
        <v>296</v>
      </c>
      <c r="D2246" s="943" t="s">
        <v>2</v>
      </c>
      <c r="E2246" s="945">
        <v>10</v>
      </c>
      <c r="F2246" s="945">
        <v>1</v>
      </c>
      <c r="G2246" s="946">
        <v>550</v>
      </c>
      <c r="H2246" s="946">
        <v>425</v>
      </c>
    </row>
    <row r="2247" spans="1:9" s="26" customFormat="1">
      <c r="A2247" s="947">
        <v>5</v>
      </c>
      <c r="B2247" s="948">
        <v>381.1</v>
      </c>
      <c r="C2247" s="948" t="s">
        <v>39</v>
      </c>
      <c r="D2247" s="947" t="s">
        <v>2</v>
      </c>
      <c r="E2247" s="950">
        <v>17</v>
      </c>
      <c r="F2247" s="950">
        <v>2</v>
      </c>
      <c r="G2247" s="951">
        <v>400</v>
      </c>
      <c r="H2247" s="951">
        <v>420</v>
      </c>
      <c r="I2247" s="18"/>
    </row>
    <row r="2248" spans="1:9">
      <c r="A2248" s="943">
        <v>5</v>
      </c>
      <c r="B2248" s="944">
        <v>381.2</v>
      </c>
      <c r="C2248" s="944" t="s">
        <v>297</v>
      </c>
      <c r="D2248" s="943" t="s">
        <v>2</v>
      </c>
      <c r="E2248" s="945">
        <v>9</v>
      </c>
      <c r="F2248" s="945">
        <v>1</v>
      </c>
      <c r="G2248" s="946">
        <v>137.5</v>
      </c>
      <c r="H2248" s="946">
        <v>131.66999999999999</v>
      </c>
    </row>
    <row r="2249" spans="1:9" s="26" customFormat="1">
      <c r="A2249" s="947">
        <v>5</v>
      </c>
      <c r="B2249" s="948">
        <v>381.3</v>
      </c>
      <c r="C2249" s="948" t="s">
        <v>298</v>
      </c>
      <c r="D2249" s="947" t="s">
        <v>2</v>
      </c>
      <c r="E2249" s="950">
        <v>503</v>
      </c>
      <c r="F2249" s="950">
        <v>6</v>
      </c>
      <c r="G2249" s="951">
        <v>265</v>
      </c>
      <c r="H2249" s="951">
        <v>265.86</v>
      </c>
      <c r="I2249" s="18"/>
    </row>
    <row r="2250" spans="1:9">
      <c r="A2250" s="943">
        <v>5</v>
      </c>
      <c r="B2250" s="944">
        <v>384</v>
      </c>
      <c r="C2250" s="944" t="s">
        <v>299</v>
      </c>
      <c r="D2250" s="943" t="s">
        <v>2</v>
      </c>
      <c r="E2250" s="945">
        <v>122</v>
      </c>
      <c r="F2250" s="945">
        <v>5</v>
      </c>
      <c r="G2250" s="946">
        <v>1000</v>
      </c>
      <c r="H2250" s="946">
        <v>856.15</v>
      </c>
    </row>
    <row r="2251" spans="1:9" s="26" customFormat="1">
      <c r="A2251" s="947">
        <v>5</v>
      </c>
      <c r="B2251" s="948">
        <v>402</v>
      </c>
      <c r="C2251" s="948" t="s">
        <v>301</v>
      </c>
      <c r="D2251" s="947" t="s">
        <v>4</v>
      </c>
      <c r="E2251" s="949">
        <v>28089</v>
      </c>
      <c r="F2251" s="950">
        <v>10</v>
      </c>
      <c r="G2251" s="951">
        <v>96.5</v>
      </c>
      <c r="H2251" s="951">
        <v>96.57</v>
      </c>
      <c r="I2251" s="18"/>
    </row>
    <row r="2252" spans="1:9">
      <c r="A2252" s="943">
        <v>5</v>
      </c>
      <c r="B2252" s="944">
        <v>402.1</v>
      </c>
      <c r="C2252" s="944" t="s">
        <v>301</v>
      </c>
      <c r="D2252" s="943" t="s">
        <v>7</v>
      </c>
      <c r="E2252" s="945">
        <v>273</v>
      </c>
      <c r="F2252" s="945">
        <v>2</v>
      </c>
      <c r="G2252" s="946">
        <v>72</v>
      </c>
      <c r="H2252" s="946">
        <v>64.33</v>
      </c>
    </row>
    <row r="2253" spans="1:9" s="26" customFormat="1">
      <c r="A2253" s="947">
        <v>5</v>
      </c>
      <c r="B2253" s="948">
        <v>402.11</v>
      </c>
      <c r="C2253" s="948" t="s">
        <v>302</v>
      </c>
      <c r="D2253" s="947" t="s">
        <v>7</v>
      </c>
      <c r="E2253" s="949">
        <v>2150</v>
      </c>
      <c r="F2253" s="950">
        <v>3</v>
      </c>
      <c r="G2253" s="951">
        <v>120</v>
      </c>
      <c r="H2253" s="951">
        <v>146.13999999999999</v>
      </c>
      <c r="I2253" s="18"/>
    </row>
    <row r="2254" spans="1:9">
      <c r="A2254" s="943">
        <v>5</v>
      </c>
      <c r="B2254" s="944">
        <v>402.13</v>
      </c>
      <c r="C2254" s="944" t="s">
        <v>1359</v>
      </c>
      <c r="D2254" s="943" t="s">
        <v>17</v>
      </c>
      <c r="E2254" s="952">
        <v>35830</v>
      </c>
      <c r="F2254" s="945">
        <v>5</v>
      </c>
      <c r="G2254" s="946">
        <v>10.75</v>
      </c>
      <c r="H2254" s="946">
        <v>9.02</v>
      </c>
    </row>
    <row r="2255" spans="1:9" s="26" customFormat="1">
      <c r="A2255" s="947">
        <v>5</v>
      </c>
      <c r="B2255" s="948">
        <v>403</v>
      </c>
      <c r="C2255" s="948" t="s">
        <v>303</v>
      </c>
      <c r="D2255" s="947" t="s">
        <v>1</v>
      </c>
      <c r="E2255" s="949">
        <v>2170</v>
      </c>
      <c r="F2255" s="950">
        <v>1</v>
      </c>
      <c r="G2255" s="951">
        <v>10.5</v>
      </c>
      <c r="H2255" s="951">
        <v>10.5</v>
      </c>
      <c r="I2255" s="18"/>
    </row>
    <row r="2256" spans="1:9">
      <c r="A2256" s="943">
        <v>5</v>
      </c>
      <c r="B2256" s="944">
        <v>403.1</v>
      </c>
      <c r="C2256" s="944" t="s">
        <v>304</v>
      </c>
      <c r="D2256" s="943" t="s">
        <v>7</v>
      </c>
      <c r="E2256" s="945">
        <v>130</v>
      </c>
      <c r="F2256" s="945">
        <v>1</v>
      </c>
      <c r="G2256" s="946">
        <v>62</v>
      </c>
      <c r="H2256" s="946">
        <v>62</v>
      </c>
    </row>
    <row r="2257" spans="1:9" s="26" customFormat="1">
      <c r="A2257" s="947">
        <v>5</v>
      </c>
      <c r="B2257" s="948">
        <v>415.1</v>
      </c>
      <c r="C2257" s="948" t="s">
        <v>1360</v>
      </c>
      <c r="D2257" s="947" t="s">
        <v>1</v>
      </c>
      <c r="E2257" s="949">
        <v>102000</v>
      </c>
      <c r="F2257" s="950">
        <v>3</v>
      </c>
      <c r="G2257" s="951">
        <v>10.75</v>
      </c>
      <c r="H2257" s="951">
        <v>9.59</v>
      </c>
      <c r="I2257" s="18"/>
    </row>
    <row r="2258" spans="1:9">
      <c r="A2258" s="943">
        <v>5</v>
      </c>
      <c r="B2258" s="944">
        <v>415.2</v>
      </c>
      <c r="C2258" s="944" t="s">
        <v>1361</v>
      </c>
      <c r="D2258" s="943" t="s">
        <v>1</v>
      </c>
      <c r="E2258" s="952">
        <v>683475</v>
      </c>
      <c r="F2258" s="945">
        <v>9</v>
      </c>
      <c r="G2258" s="946">
        <v>9.5</v>
      </c>
      <c r="H2258" s="946">
        <v>8.15</v>
      </c>
    </row>
    <row r="2259" spans="1:9" s="26" customFormat="1">
      <c r="A2259" s="947">
        <v>5</v>
      </c>
      <c r="B2259" s="948">
        <v>415.3</v>
      </c>
      <c r="C2259" s="948" t="s">
        <v>1230</v>
      </c>
      <c r="D2259" s="947" t="s">
        <v>1</v>
      </c>
      <c r="E2259" s="949">
        <v>5910</v>
      </c>
      <c r="F2259" s="950">
        <v>1</v>
      </c>
      <c r="G2259" s="951">
        <v>43.5</v>
      </c>
      <c r="H2259" s="951">
        <v>43.17</v>
      </c>
      <c r="I2259" s="18"/>
    </row>
    <row r="2260" spans="1:9">
      <c r="A2260" s="943">
        <v>5</v>
      </c>
      <c r="B2260" s="944">
        <v>415.4</v>
      </c>
      <c r="C2260" s="944" t="s">
        <v>1362</v>
      </c>
      <c r="D2260" s="943" t="s">
        <v>1</v>
      </c>
      <c r="E2260" s="952">
        <v>88770</v>
      </c>
      <c r="F2260" s="945">
        <v>4</v>
      </c>
      <c r="G2260" s="946">
        <v>22</v>
      </c>
      <c r="H2260" s="946">
        <v>21.59</v>
      </c>
    </row>
    <row r="2261" spans="1:9" s="26" customFormat="1">
      <c r="A2261" s="947">
        <v>5</v>
      </c>
      <c r="B2261" s="948">
        <v>430</v>
      </c>
      <c r="C2261" s="948" t="s">
        <v>1363</v>
      </c>
      <c r="D2261" s="947" t="s">
        <v>1</v>
      </c>
      <c r="E2261" s="949">
        <v>1220</v>
      </c>
      <c r="F2261" s="950">
        <v>1</v>
      </c>
      <c r="G2261" s="951">
        <v>77</v>
      </c>
      <c r="H2261" s="951">
        <v>77</v>
      </c>
      <c r="I2261" s="18"/>
    </row>
    <row r="2262" spans="1:9">
      <c r="A2262" s="943">
        <v>5</v>
      </c>
      <c r="B2262" s="944">
        <v>431</v>
      </c>
      <c r="C2262" s="944" t="s">
        <v>27</v>
      </c>
      <c r="D2262" s="943" t="s">
        <v>1</v>
      </c>
      <c r="E2262" s="952">
        <v>6046</v>
      </c>
      <c r="F2262" s="945">
        <v>9</v>
      </c>
      <c r="G2262" s="946">
        <v>100</v>
      </c>
      <c r="H2262" s="946">
        <v>99.66</v>
      </c>
    </row>
    <row r="2263" spans="1:9" s="26" customFormat="1">
      <c r="A2263" s="947">
        <v>5</v>
      </c>
      <c r="B2263" s="948">
        <v>440</v>
      </c>
      <c r="C2263" s="948" t="s">
        <v>305</v>
      </c>
      <c r="D2263" s="947" t="s">
        <v>100</v>
      </c>
      <c r="E2263" s="949">
        <v>804220</v>
      </c>
      <c r="F2263" s="950">
        <v>14</v>
      </c>
      <c r="G2263" s="951">
        <v>0.5</v>
      </c>
      <c r="H2263" s="951">
        <v>0.47</v>
      </c>
      <c r="I2263" s="18"/>
    </row>
    <row r="2264" spans="1:9">
      <c r="A2264" s="943">
        <v>5</v>
      </c>
      <c r="B2264" s="944">
        <v>443</v>
      </c>
      <c r="C2264" s="944" t="s">
        <v>306</v>
      </c>
      <c r="D2264" s="943" t="s">
        <v>307</v>
      </c>
      <c r="E2264" s="945">
        <v>753</v>
      </c>
      <c r="F2264" s="945">
        <v>12</v>
      </c>
      <c r="G2264" s="946">
        <v>100</v>
      </c>
      <c r="H2264" s="946">
        <v>97.72</v>
      </c>
    </row>
    <row r="2265" spans="1:9" s="26" customFormat="1">
      <c r="A2265" s="947">
        <v>5</v>
      </c>
      <c r="B2265" s="948">
        <v>450.22</v>
      </c>
      <c r="C2265" s="948" t="s">
        <v>4033</v>
      </c>
      <c r="D2265" s="947" t="s">
        <v>7</v>
      </c>
      <c r="E2265" s="949">
        <v>3620</v>
      </c>
      <c r="F2265" s="950">
        <v>3</v>
      </c>
      <c r="G2265" s="951">
        <v>215</v>
      </c>
      <c r="H2265" s="951">
        <v>218.68</v>
      </c>
      <c r="I2265" s="18"/>
    </row>
    <row r="2266" spans="1:9">
      <c r="A2266" s="943">
        <v>5</v>
      </c>
      <c r="B2266" s="944">
        <v>450.221</v>
      </c>
      <c r="C2266" s="944" t="s">
        <v>4034</v>
      </c>
      <c r="D2266" s="943" t="s">
        <v>7</v>
      </c>
      <c r="E2266" s="952">
        <v>14280</v>
      </c>
      <c r="F2266" s="945">
        <v>1</v>
      </c>
      <c r="G2266" s="946">
        <v>170</v>
      </c>
      <c r="H2266" s="946">
        <v>175.29</v>
      </c>
    </row>
    <row r="2267" spans="1:9" s="26" customFormat="1">
      <c r="A2267" s="947">
        <v>5</v>
      </c>
      <c r="B2267" s="948">
        <v>450.23</v>
      </c>
      <c r="C2267" s="948" t="s">
        <v>308</v>
      </c>
      <c r="D2267" s="947" t="s">
        <v>7</v>
      </c>
      <c r="E2267" s="949">
        <v>20415</v>
      </c>
      <c r="F2267" s="950">
        <v>3</v>
      </c>
      <c r="G2267" s="951">
        <v>168.5</v>
      </c>
      <c r="H2267" s="951">
        <v>224.54</v>
      </c>
      <c r="I2267" s="18"/>
    </row>
    <row r="2268" spans="1:9">
      <c r="A2268" s="943">
        <v>5</v>
      </c>
      <c r="B2268" s="944">
        <v>450.23099999999999</v>
      </c>
      <c r="C2268" s="944" t="s">
        <v>1367</v>
      </c>
      <c r="D2268" s="943" t="s">
        <v>7</v>
      </c>
      <c r="E2268" s="952">
        <v>107400</v>
      </c>
      <c r="F2268" s="945">
        <v>7</v>
      </c>
      <c r="G2268" s="946">
        <v>180.5</v>
      </c>
      <c r="H2268" s="946">
        <v>186.76</v>
      </c>
    </row>
    <row r="2269" spans="1:9" s="26" customFormat="1">
      <c r="A2269" s="947">
        <v>5</v>
      </c>
      <c r="B2269" s="948">
        <v>450.31</v>
      </c>
      <c r="C2269" s="948" t="s">
        <v>53</v>
      </c>
      <c r="D2269" s="947" t="s">
        <v>7</v>
      </c>
      <c r="E2269" s="949">
        <v>18435</v>
      </c>
      <c r="F2269" s="950">
        <v>2</v>
      </c>
      <c r="G2269" s="951">
        <v>145</v>
      </c>
      <c r="H2269" s="951">
        <v>145.9</v>
      </c>
      <c r="I2269" s="18"/>
    </row>
    <row r="2270" spans="1:9">
      <c r="A2270" s="943">
        <v>5</v>
      </c>
      <c r="B2270" s="944">
        <v>450.32</v>
      </c>
      <c r="C2270" s="944" t="s">
        <v>309</v>
      </c>
      <c r="D2270" s="943" t="s">
        <v>7</v>
      </c>
      <c r="E2270" s="952">
        <v>57125</v>
      </c>
      <c r="F2270" s="945">
        <v>9</v>
      </c>
      <c r="G2270" s="946">
        <v>160</v>
      </c>
      <c r="H2270" s="946">
        <v>173.54</v>
      </c>
    </row>
    <row r="2271" spans="1:9" s="26" customFormat="1">
      <c r="A2271" s="947">
        <v>5</v>
      </c>
      <c r="B2271" s="948">
        <v>450.42</v>
      </c>
      <c r="C2271" s="948" t="s">
        <v>37</v>
      </c>
      <c r="D2271" s="947" t="s">
        <v>7</v>
      </c>
      <c r="E2271" s="949">
        <v>61255</v>
      </c>
      <c r="F2271" s="950">
        <v>11</v>
      </c>
      <c r="G2271" s="951">
        <v>145</v>
      </c>
      <c r="H2271" s="951">
        <v>152.37</v>
      </c>
      <c r="I2271" s="18"/>
    </row>
    <row r="2272" spans="1:9">
      <c r="A2272" s="943">
        <v>5</v>
      </c>
      <c r="B2272" s="944">
        <v>450.52</v>
      </c>
      <c r="C2272" s="944" t="s">
        <v>310</v>
      </c>
      <c r="D2272" s="943" t="s">
        <v>7</v>
      </c>
      <c r="E2272" s="952">
        <v>2310</v>
      </c>
      <c r="F2272" s="945">
        <v>2</v>
      </c>
      <c r="G2272" s="946">
        <v>195</v>
      </c>
      <c r="H2272" s="946">
        <v>215.14</v>
      </c>
    </row>
    <row r="2273" spans="1:9" s="26" customFormat="1">
      <c r="A2273" s="947">
        <v>5</v>
      </c>
      <c r="B2273" s="948">
        <v>450.6</v>
      </c>
      <c r="C2273" s="948" t="s">
        <v>311</v>
      </c>
      <c r="D2273" s="947" t="s">
        <v>7</v>
      </c>
      <c r="E2273" s="950">
        <v>722</v>
      </c>
      <c r="F2273" s="950">
        <v>3</v>
      </c>
      <c r="G2273" s="951">
        <v>259.5</v>
      </c>
      <c r="H2273" s="951">
        <v>256</v>
      </c>
      <c r="I2273" s="18"/>
    </row>
    <row r="2274" spans="1:9">
      <c r="A2274" s="943">
        <v>5</v>
      </c>
      <c r="B2274" s="944">
        <v>450.601</v>
      </c>
      <c r="C2274" s="944" t="s">
        <v>1373</v>
      </c>
      <c r="D2274" s="943" t="s">
        <v>7</v>
      </c>
      <c r="E2274" s="952">
        <v>7090</v>
      </c>
      <c r="F2274" s="945">
        <v>3</v>
      </c>
      <c r="G2274" s="946">
        <v>410</v>
      </c>
      <c r="H2274" s="946">
        <v>412.13</v>
      </c>
    </row>
    <row r="2275" spans="1:9" s="26" customFormat="1">
      <c r="A2275" s="947">
        <v>5</v>
      </c>
      <c r="B2275" s="948">
        <v>450.7</v>
      </c>
      <c r="C2275" s="948" t="s">
        <v>313</v>
      </c>
      <c r="D2275" s="947" t="s">
        <v>7</v>
      </c>
      <c r="E2275" s="949">
        <v>1053</v>
      </c>
      <c r="F2275" s="950">
        <v>3</v>
      </c>
      <c r="G2275" s="951">
        <v>288</v>
      </c>
      <c r="H2275" s="951">
        <v>281.93</v>
      </c>
      <c r="I2275" s="18"/>
    </row>
    <row r="2276" spans="1:9">
      <c r="A2276" s="943">
        <v>5</v>
      </c>
      <c r="B2276" s="944">
        <v>450.8</v>
      </c>
      <c r="C2276" s="944" t="s">
        <v>1377</v>
      </c>
      <c r="D2276" s="943" t="s">
        <v>7</v>
      </c>
      <c r="E2276" s="952">
        <v>16800</v>
      </c>
      <c r="F2276" s="945">
        <v>1</v>
      </c>
      <c r="G2276" s="946">
        <v>224.5</v>
      </c>
      <c r="H2276" s="946">
        <v>237.75</v>
      </c>
    </row>
    <row r="2277" spans="1:9" s="26" customFormat="1">
      <c r="A2277" s="947">
        <v>5</v>
      </c>
      <c r="B2277" s="948">
        <v>451</v>
      </c>
      <c r="C2277" s="948" t="s">
        <v>36</v>
      </c>
      <c r="D2277" s="947" t="s">
        <v>7</v>
      </c>
      <c r="E2277" s="949">
        <v>19747</v>
      </c>
      <c r="F2277" s="950">
        <v>19</v>
      </c>
      <c r="G2277" s="951">
        <v>345</v>
      </c>
      <c r="H2277" s="951">
        <v>326.29000000000002</v>
      </c>
      <c r="I2277" s="18"/>
    </row>
    <row r="2278" spans="1:9">
      <c r="A2278" s="943">
        <v>5</v>
      </c>
      <c r="B2278" s="944">
        <v>452</v>
      </c>
      <c r="C2278" s="944" t="s">
        <v>31</v>
      </c>
      <c r="D2278" s="943" t="s">
        <v>20</v>
      </c>
      <c r="E2278" s="952">
        <v>169840</v>
      </c>
      <c r="F2278" s="945">
        <v>20</v>
      </c>
      <c r="G2278" s="946">
        <v>10</v>
      </c>
      <c r="H2278" s="946">
        <v>9.92</v>
      </c>
    </row>
    <row r="2279" spans="1:9" s="26" customFormat="1">
      <c r="A2279" s="947">
        <v>5</v>
      </c>
      <c r="B2279" s="948">
        <v>453</v>
      </c>
      <c r="C2279" s="948" t="s">
        <v>3962</v>
      </c>
      <c r="D2279" s="947" t="s">
        <v>17</v>
      </c>
      <c r="E2279" s="949">
        <v>721350</v>
      </c>
      <c r="F2279" s="950">
        <v>17</v>
      </c>
      <c r="G2279" s="951">
        <v>1.55</v>
      </c>
      <c r="H2279" s="951">
        <v>1.41</v>
      </c>
      <c r="I2279" s="18"/>
    </row>
    <row r="2280" spans="1:9">
      <c r="A2280" s="943">
        <v>5</v>
      </c>
      <c r="B2280" s="944">
        <v>470</v>
      </c>
      <c r="C2280" s="944" t="s">
        <v>1382</v>
      </c>
      <c r="D2280" s="943" t="s">
        <v>7</v>
      </c>
      <c r="E2280" s="952">
        <v>1539</v>
      </c>
      <c r="F2280" s="945">
        <v>8</v>
      </c>
      <c r="G2280" s="946">
        <v>410.5</v>
      </c>
      <c r="H2280" s="946">
        <v>394.15</v>
      </c>
    </row>
    <row r="2281" spans="1:9" s="26" customFormat="1">
      <c r="A2281" s="947">
        <v>5</v>
      </c>
      <c r="B2281" s="948">
        <v>472</v>
      </c>
      <c r="C2281" s="948" t="s">
        <v>1383</v>
      </c>
      <c r="D2281" s="947" t="s">
        <v>7</v>
      </c>
      <c r="E2281" s="949">
        <v>14875</v>
      </c>
      <c r="F2281" s="950">
        <v>15</v>
      </c>
      <c r="G2281" s="951">
        <v>327.5</v>
      </c>
      <c r="H2281" s="951">
        <v>324.88</v>
      </c>
      <c r="I2281" s="18"/>
    </row>
    <row r="2282" spans="1:9">
      <c r="A2282" s="943">
        <v>5</v>
      </c>
      <c r="B2282" s="944">
        <v>476</v>
      </c>
      <c r="C2282" s="944" t="s">
        <v>316</v>
      </c>
      <c r="D2282" s="943" t="s">
        <v>1</v>
      </c>
      <c r="E2282" s="952">
        <v>2000</v>
      </c>
      <c r="F2282" s="945">
        <v>1</v>
      </c>
      <c r="G2282" s="946">
        <v>218</v>
      </c>
      <c r="H2282" s="946">
        <v>230.2</v>
      </c>
    </row>
    <row r="2283" spans="1:9" s="26" customFormat="1">
      <c r="A2283" s="947">
        <v>5</v>
      </c>
      <c r="B2283" s="948">
        <v>477</v>
      </c>
      <c r="C2283" s="948" t="s">
        <v>1384</v>
      </c>
      <c r="D2283" s="947" t="s">
        <v>17</v>
      </c>
      <c r="E2283" s="949">
        <v>12990</v>
      </c>
      <c r="F2283" s="950">
        <v>3</v>
      </c>
      <c r="G2283" s="951">
        <v>12.53</v>
      </c>
      <c r="H2283" s="951">
        <v>12.21</v>
      </c>
      <c r="I2283" s="18"/>
    </row>
    <row r="2284" spans="1:9">
      <c r="A2284" s="943">
        <v>5</v>
      </c>
      <c r="B2284" s="944">
        <v>477.1</v>
      </c>
      <c r="C2284" s="944" t="s">
        <v>1385</v>
      </c>
      <c r="D2284" s="943" t="s">
        <v>17</v>
      </c>
      <c r="E2284" s="952">
        <v>69000</v>
      </c>
      <c r="F2284" s="945">
        <v>1</v>
      </c>
      <c r="G2284" s="946">
        <v>0.71</v>
      </c>
      <c r="H2284" s="946">
        <v>0.8</v>
      </c>
    </row>
    <row r="2285" spans="1:9" s="26" customFormat="1">
      <c r="A2285" s="947">
        <v>5</v>
      </c>
      <c r="B2285" s="948">
        <v>477.2</v>
      </c>
      <c r="C2285" s="948" t="s">
        <v>1386</v>
      </c>
      <c r="D2285" s="947" t="s">
        <v>17</v>
      </c>
      <c r="E2285" s="949">
        <v>48920</v>
      </c>
      <c r="F2285" s="950">
        <v>5</v>
      </c>
      <c r="G2285" s="951">
        <v>12.08</v>
      </c>
      <c r="H2285" s="951">
        <v>8.0500000000000007</v>
      </c>
      <c r="I2285" s="18"/>
    </row>
    <row r="2286" spans="1:9">
      <c r="A2286" s="943">
        <v>5</v>
      </c>
      <c r="B2286" s="944">
        <v>480.1</v>
      </c>
      <c r="C2286" s="944" t="s">
        <v>4001</v>
      </c>
      <c r="D2286" s="943" t="s">
        <v>20</v>
      </c>
      <c r="E2286" s="945">
        <v>50</v>
      </c>
      <c r="F2286" s="945">
        <v>1</v>
      </c>
      <c r="G2286" s="946">
        <v>43</v>
      </c>
      <c r="H2286" s="946">
        <v>43</v>
      </c>
    </row>
    <row r="2287" spans="1:9" s="26" customFormat="1">
      <c r="A2287" s="947">
        <v>5</v>
      </c>
      <c r="B2287" s="948">
        <v>482.3</v>
      </c>
      <c r="C2287" s="948" t="s">
        <v>319</v>
      </c>
      <c r="D2287" s="947" t="s">
        <v>17</v>
      </c>
      <c r="E2287" s="949">
        <v>6105</v>
      </c>
      <c r="F2287" s="950">
        <v>2</v>
      </c>
      <c r="G2287" s="951">
        <v>5.38</v>
      </c>
      <c r="H2287" s="951">
        <v>5.74</v>
      </c>
      <c r="I2287" s="18"/>
    </row>
    <row r="2288" spans="1:9">
      <c r="A2288" s="943">
        <v>5</v>
      </c>
      <c r="B2288" s="944">
        <v>482.31</v>
      </c>
      <c r="C2288" s="944" t="s">
        <v>4038</v>
      </c>
      <c r="D2288" s="943" t="s">
        <v>17</v>
      </c>
      <c r="E2288" s="952">
        <v>7335</v>
      </c>
      <c r="F2288" s="945">
        <v>7</v>
      </c>
      <c r="G2288" s="946">
        <v>40</v>
      </c>
      <c r="H2288" s="946">
        <v>40.33</v>
      </c>
    </row>
    <row r="2289" spans="1:9" s="26" customFormat="1">
      <c r="A2289" s="947">
        <v>5</v>
      </c>
      <c r="B2289" s="948">
        <v>482.32</v>
      </c>
      <c r="C2289" s="948" t="s">
        <v>2381</v>
      </c>
      <c r="D2289" s="947" t="s">
        <v>17</v>
      </c>
      <c r="E2289" s="949">
        <v>14000</v>
      </c>
      <c r="F2289" s="950">
        <v>2</v>
      </c>
      <c r="G2289" s="951">
        <v>19.62</v>
      </c>
      <c r="H2289" s="951">
        <v>18.46</v>
      </c>
      <c r="I2289" s="18"/>
    </row>
    <row r="2290" spans="1:9">
      <c r="A2290" s="943">
        <v>5</v>
      </c>
      <c r="B2290" s="944">
        <v>482.4</v>
      </c>
      <c r="C2290" s="944" t="s">
        <v>321</v>
      </c>
      <c r="D2290" s="943" t="s">
        <v>17</v>
      </c>
      <c r="E2290" s="952">
        <v>18745</v>
      </c>
      <c r="F2290" s="945">
        <v>5</v>
      </c>
      <c r="G2290" s="946">
        <v>10</v>
      </c>
      <c r="H2290" s="946">
        <v>9.59</v>
      </c>
    </row>
    <row r="2291" spans="1:9" s="26" customFormat="1">
      <c r="A2291" s="947">
        <v>5</v>
      </c>
      <c r="B2291" s="948">
        <v>482.5</v>
      </c>
      <c r="C2291" s="948" t="s">
        <v>43</v>
      </c>
      <c r="D2291" s="947" t="s">
        <v>17</v>
      </c>
      <c r="E2291" s="949">
        <v>68195</v>
      </c>
      <c r="F2291" s="950">
        <v>8</v>
      </c>
      <c r="G2291" s="951">
        <v>5</v>
      </c>
      <c r="H2291" s="951">
        <v>6.39</v>
      </c>
      <c r="I2291" s="18"/>
    </row>
    <row r="2292" spans="1:9">
      <c r="A2292" s="943">
        <v>5</v>
      </c>
      <c r="B2292" s="944">
        <v>504</v>
      </c>
      <c r="C2292" s="944" t="s">
        <v>325</v>
      </c>
      <c r="D2292" s="943" t="s">
        <v>17</v>
      </c>
      <c r="E2292" s="952">
        <v>3500</v>
      </c>
      <c r="F2292" s="945">
        <v>5</v>
      </c>
      <c r="G2292" s="946">
        <v>65</v>
      </c>
      <c r="H2292" s="946">
        <v>67.89</v>
      </c>
    </row>
    <row r="2293" spans="1:9" s="26" customFormat="1">
      <c r="A2293" s="947">
        <v>5</v>
      </c>
      <c r="B2293" s="948">
        <v>504.1</v>
      </c>
      <c r="C2293" s="948" t="s">
        <v>326</v>
      </c>
      <c r="D2293" s="947" t="s">
        <v>17</v>
      </c>
      <c r="E2293" s="950">
        <v>440</v>
      </c>
      <c r="F2293" s="950">
        <v>3</v>
      </c>
      <c r="G2293" s="951">
        <v>93</v>
      </c>
      <c r="H2293" s="951">
        <v>98.6</v>
      </c>
      <c r="I2293" s="18"/>
    </row>
    <row r="2294" spans="1:9">
      <c r="A2294" s="943">
        <v>5</v>
      </c>
      <c r="B2294" s="944">
        <v>504.2</v>
      </c>
      <c r="C2294" s="944" t="s">
        <v>327</v>
      </c>
      <c r="D2294" s="943" t="s">
        <v>2</v>
      </c>
      <c r="E2294" s="945">
        <v>38</v>
      </c>
      <c r="F2294" s="945">
        <v>3</v>
      </c>
      <c r="G2294" s="946">
        <v>778.5</v>
      </c>
      <c r="H2294" s="946">
        <v>792.92</v>
      </c>
    </row>
    <row r="2295" spans="1:9" s="26" customFormat="1">
      <c r="A2295" s="947">
        <v>5</v>
      </c>
      <c r="B2295" s="948">
        <v>505</v>
      </c>
      <c r="C2295" s="948" t="s">
        <v>328</v>
      </c>
      <c r="D2295" s="947" t="s">
        <v>17</v>
      </c>
      <c r="E2295" s="950">
        <v>260</v>
      </c>
      <c r="F2295" s="950">
        <v>1</v>
      </c>
      <c r="G2295" s="951">
        <v>70</v>
      </c>
      <c r="H2295" s="951">
        <v>68.25</v>
      </c>
      <c r="I2295" s="18"/>
    </row>
    <row r="2296" spans="1:9">
      <c r="A2296" s="943">
        <v>5</v>
      </c>
      <c r="B2296" s="944">
        <v>505.1</v>
      </c>
      <c r="C2296" s="944" t="s">
        <v>329</v>
      </c>
      <c r="D2296" s="943" t="s">
        <v>17</v>
      </c>
      <c r="E2296" s="945">
        <v>200</v>
      </c>
      <c r="F2296" s="945">
        <v>1</v>
      </c>
      <c r="G2296" s="946">
        <v>85</v>
      </c>
      <c r="H2296" s="946">
        <v>88</v>
      </c>
    </row>
    <row r="2297" spans="1:9" s="26" customFormat="1">
      <c r="A2297" s="947">
        <v>5</v>
      </c>
      <c r="B2297" s="948">
        <v>506</v>
      </c>
      <c r="C2297" s="948" t="s">
        <v>40</v>
      </c>
      <c r="D2297" s="947" t="s">
        <v>17</v>
      </c>
      <c r="E2297" s="949">
        <v>69985</v>
      </c>
      <c r="F2297" s="950">
        <v>13</v>
      </c>
      <c r="G2297" s="951">
        <v>70.5</v>
      </c>
      <c r="H2297" s="951">
        <v>76.930000000000007</v>
      </c>
      <c r="I2297" s="18"/>
    </row>
    <row r="2298" spans="1:9">
      <c r="A2298" s="943">
        <v>5</v>
      </c>
      <c r="B2298" s="944">
        <v>506.1</v>
      </c>
      <c r="C2298" s="944" t="s">
        <v>41</v>
      </c>
      <c r="D2298" s="943" t="s">
        <v>17</v>
      </c>
      <c r="E2298" s="952">
        <v>22485</v>
      </c>
      <c r="F2298" s="945">
        <v>11</v>
      </c>
      <c r="G2298" s="946">
        <v>91</v>
      </c>
      <c r="H2298" s="946">
        <v>91.16</v>
      </c>
    </row>
    <row r="2299" spans="1:9" s="26" customFormat="1">
      <c r="A2299" s="947">
        <v>5</v>
      </c>
      <c r="B2299" s="948">
        <v>509</v>
      </c>
      <c r="C2299" s="948" t="s">
        <v>1394</v>
      </c>
      <c r="D2299" s="947" t="s">
        <v>17</v>
      </c>
      <c r="E2299" s="949">
        <v>19614</v>
      </c>
      <c r="F2299" s="950">
        <v>13</v>
      </c>
      <c r="G2299" s="951">
        <v>85</v>
      </c>
      <c r="H2299" s="951">
        <v>83.79</v>
      </c>
      <c r="I2299" s="18"/>
    </row>
    <row r="2300" spans="1:9">
      <c r="A2300" s="943">
        <v>5</v>
      </c>
      <c r="B2300" s="944">
        <v>509.1</v>
      </c>
      <c r="C2300" s="944" t="s">
        <v>1395</v>
      </c>
      <c r="D2300" s="943" t="s">
        <v>17</v>
      </c>
      <c r="E2300" s="952">
        <v>12135</v>
      </c>
      <c r="F2300" s="945">
        <v>11</v>
      </c>
      <c r="G2300" s="946">
        <v>95</v>
      </c>
      <c r="H2300" s="946">
        <v>92.6</v>
      </c>
    </row>
    <row r="2301" spans="1:9" s="26" customFormat="1">
      <c r="A2301" s="947">
        <v>5</v>
      </c>
      <c r="B2301" s="948">
        <v>510</v>
      </c>
      <c r="C2301" s="948" t="s">
        <v>330</v>
      </c>
      <c r="D2301" s="947" t="s">
        <v>17</v>
      </c>
      <c r="E2301" s="949">
        <v>3380</v>
      </c>
      <c r="F2301" s="950">
        <v>3</v>
      </c>
      <c r="G2301" s="951">
        <v>64</v>
      </c>
      <c r="H2301" s="951">
        <v>59.55</v>
      </c>
      <c r="I2301" s="18"/>
    </row>
    <row r="2302" spans="1:9">
      <c r="A2302" s="943">
        <v>5</v>
      </c>
      <c r="B2302" s="944">
        <v>510.1</v>
      </c>
      <c r="C2302" s="944" t="s">
        <v>331</v>
      </c>
      <c r="D2302" s="943" t="s">
        <v>17</v>
      </c>
      <c r="E2302" s="945">
        <v>400</v>
      </c>
      <c r="F2302" s="945">
        <v>3</v>
      </c>
      <c r="G2302" s="946">
        <v>82</v>
      </c>
      <c r="H2302" s="946">
        <v>86.46</v>
      </c>
    </row>
    <row r="2303" spans="1:9" s="26" customFormat="1">
      <c r="A2303" s="947">
        <v>5</v>
      </c>
      <c r="B2303" s="948">
        <v>511.1</v>
      </c>
      <c r="C2303" s="948" t="s">
        <v>332</v>
      </c>
      <c r="D2303" s="947" t="s">
        <v>17</v>
      </c>
      <c r="E2303" s="949">
        <v>21800</v>
      </c>
      <c r="F2303" s="950">
        <v>5</v>
      </c>
      <c r="G2303" s="951">
        <v>46</v>
      </c>
      <c r="H2303" s="951">
        <v>53.07</v>
      </c>
      <c r="I2303" s="18"/>
    </row>
    <row r="2304" spans="1:9">
      <c r="A2304" s="943">
        <v>5</v>
      </c>
      <c r="B2304" s="944">
        <v>512.1</v>
      </c>
      <c r="C2304" s="944" t="s">
        <v>333</v>
      </c>
      <c r="D2304" s="943" t="s">
        <v>17</v>
      </c>
      <c r="E2304" s="945">
        <v>310</v>
      </c>
      <c r="F2304" s="945">
        <v>3</v>
      </c>
      <c r="G2304" s="946">
        <v>63</v>
      </c>
      <c r="H2304" s="946">
        <v>61.37</v>
      </c>
    </row>
    <row r="2305" spans="1:9" s="26" customFormat="1">
      <c r="A2305" s="947">
        <v>5</v>
      </c>
      <c r="B2305" s="948">
        <v>514</v>
      </c>
      <c r="C2305" s="948" t="s">
        <v>38</v>
      </c>
      <c r="D2305" s="947" t="s">
        <v>2</v>
      </c>
      <c r="E2305" s="950">
        <v>713</v>
      </c>
      <c r="F2305" s="950">
        <v>13</v>
      </c>
      <c r="G2305" s="951">
        <v>715</v>
      </c>
      <c r="H2305" s="951">
        <v>738.88</v>
      </c>
      <c r="I2305" s="18"/>
    </row>
    <row r="2306" spans="1:9">
      <c r="A2306" s="943">
        <v>5</v>
      </c>
      <c r="B2306" s="944">
        <v>515</v>
      </c>
      <c r="C2306" s="944" t="s">
        <v>45</v>
      </c>
      <c r="D2306" s="943" t="s">
        <v>2</v>
      </c>
      <c r="E2306" s="945">
        <v>62</v>
      </c>
      <c r="F2306" s="945">
        <v>8</v>
      </c>
      <c r="G2306" s="946">
        <v>908.5</v>
      </c>
      <c r="H2306" s="946">
        <v>923.05</v>
      </c>
    </row>
    <row r="2307" spans="1:9" s="26" customFormat="1">
      <c r="A2307" s="947">
        <v>5</v>
      </c>
      <c r="B2307" s="948">
        <v>516</v>
      </c>
      <c r="C2307" s="948" t="s">
        <v>47</v>
      </c>
      <c r="D2307" s="947" t="s">
        <v>2</v>
      </c>
      <c r="E2307" s="950">
        <v>13</v>
      </c>
      <c r="F2307" s="950">
        <v>2</v>
      </c>
      <c r="G2307" s="951">
        <v>610</v>
      </c>
      <c r="H2307" s="951">
        <v>596</v>
      </c>
      <c r="I2307" s="18"/>
    </row>
    <row r="2308" spans="1:9">
      <c r="A2308" s="943">
        <v>5</v>
      </c>
      <c r="B2308" s="944">
        <v>517</v>
      </c>
      <c r="C2308" s="944" t="s">
        <v>334</v>
      </c>
      <c r="D2308" s="943" t="s">
        <v>2</v>
      </c>
      <c r="E2308" s="945">
        <v>6</v>
      </c>
      <c r="F2308" s="945">
        <v>1</v>
      </c>
      <c r="G2308" s="946">
        <v>1100</v>
      </c>
      <c r="H2308" s="946">
        <v>1016.67</v>
      </c>
    </row>
    <row r="2309" spans="1:9" s="26" customFormat="1">
      <c r="A2309" s="947">
        <v>5</v>
      </c>
      <c r="B2309" s="948">
        <v>517.01</v>
      </c>
      <c r="C2309" s="948" t="s">
        <v>335</v>
      </c>
      <c r="D2309" s="947" t="s">
        <v>2</v>
      </c>
      <c r="E2309" s="950">
        <v>20</v>
      </c>
      <c r="F2309" s="950">
        <v>1</v>
      </c>
      <c r="G2309" s="951">
        <v>1120</v>
      </c>
      <c r="H2309" s="951">
        <v>1118</v>
      </c>
      <c r="I2309" s="18"/>
    </row>
    <row r="2310" spans="1:9">
      <c r="A2310" s="943">
        <v>5</v>
      </c>
      <c r="B2310" s="944">
        <v>520</v>
      </c>
      <c r="C2310" s="944" t="s">
        <v>336</v>
      </c>
      <c r="D2310" s="943" t="s">
        <v>17</v>
      </c>
      <c r="E2310" s="945">
        <v>30</v>
      </c>
      <c r="F2310" s="945">
        <v>1</v>
      </c>
      <c r="G2310" s="946">
        <v>55</v>
      </c>
      <c r="H2310" s="946">
        <v>55</v>
      </c>
    </row>
    <row r="2311" spans="1:9" s="26" customFormat="1">
      <c r="A2311" s="947">
        <v>5</v>
      </c>
      <c r="B2311" s="948">
        <v>570.20000000000005</v>
      </c>
      <c r="C2311" s="948" t="s">
        <v>338</v>
      </c>
      <c r="D2311" s="947" t="s">
        <v>17</v>
      </c>
      <c r="E2311" s="949">
        <v>1740</v>
      </c>
      <c r="F2311" s="950">
        <v>1</v>
      </c>
      <c r="G2311" s="951">
        <v>31</v>
      </c>
      <c r="H2311" s="951">
        <v>31.87</v>
      </c>
      <c r="I2311" s="18"/>
    </row>
    <row r="2312" spans="1:9">
      <c r="A2312" s="943">
        <v>5</v>
      </c>
      <c r="B2312" s="944">
        <v>570.29999999999995</v>
      </c>
      <c r="C2312" s="944" t="s">
        <v>339</v>
      </c>
      <c r="D2312" s="943" t="s">
        <v>17</v>
      </c>
      <c r="E2312" s="945">
        <v>165</v>
      </c>
      <c r="F2312" s="945">
        <v>2</v>
      </c>
      <c r="G2312" s="946">
        <v>44</v>
      </c>
      <c r="H2312" s="946">
        <v>37.67</v>
      </c>
    </row>
    <row r="2313" spans="1:9" s="26" customFormat="1">
      <c r="A2313" s="947">
        <v>5</v>
      </c>
      <c r="B2313" s="948">
        <v>580</v>
      </c>
      <c r="C2313" s="948" t="s">
        <v>56</v>
      </c>
      <c r="D2313" s="947" t="s">
        <v>17</v>
      </c>
      <c r="E2313" s="949">
        <v>95807</v>
      </c>
      <c r="F2313" s="950">
        <v>11</v>
      </c>
      <c r="G2313" s="951">
        <v>50.5</v>
      </c>
      <c r="H2313" s="951">
        <v>52.79</v>
      </c>
      <c r="I2313" s="18"/>
    </row>
    <row r="2314" spans="1:9">
      <c r="A2314" s="943">
        <v>5</v>
      </c>
      <c r="B2314" s="944">
        <v>581</v>
      </c>
      <c r="C2314" s="944" t="s">
        <v>340</v>
      </c>
      <c r="D2314" s="943" t="s">
        <v>2</v>
      </c>
      <c r="E2314" s="945">
        <v>130</v>
      </c>
      <c r="F2314" s="945">
        <v>6</v>
      </c>
      <c r="G2314" s="946">
        <v>350</v>
      </c>
      <c r="H2314" s="946">
        <v>270.69</v>
      </c>
    </row>
    <row r="2315" spans="1:9" s="26" customFormat="1">
      <c r="A2315" s="947">
        <v>5</v>
      </c>
      <c r="B2315" s="948">
        <v>582</v>
      </c>
      <c r="C2315" s="948" t="s">
        <v>341</v>
      </c>
      <c r="D2315" s="947" t="s">
        <v>2</v>
      </c>
      <c r="E2315" s="950">
        <v>3</v>
      </c>
      <c r="F2315" s="950">
        <v>1</v>
      </c>
      <c r="G2315" s="951">
        <v>153</v>
      </c>
      <c r="H2315" s="951">
        <v>153</v>
      </c>
      <c r="I2315" s="18"/>
    </row>
    <row r="2316" spans="1:9">
      <c r="A2316" s="943">
        <v>5</v>
      </c>
      <c r="B2316" s="944">
        <v>583</v>
      </c>
      <c r="C2316" s="944" t="s">
        <v>342</v>
      </c>
      <c r="D2316" s="943" t="s">
        <v>17</v>
      </c>
      <c r="E2316" s="952">
        <v>8975</v>
      </c>
      <c r="F2316" s="945">
        <v>8</v>
      </c>
      <c r="G2316" s="946">
        <v>48</v>
      </c>
      <c r="H2316" s="946">
        <v>47.15</v>
      </c>
    </row>
    <row r="2317" spans="1:9" s="26" customFormat="1">
      <c r="A2317" s="947">
        <v>5</v>
      </c>
      <c r="B2317" s="948">
        <v>590</v>
      </c>
      <c r="C2317" s="948" t="s">
        <v>343</v>
      </c>
      <c r="D2317" s="947" t="s">
        <v>17</v>
      </c>
      <c r="E2317" s="949">
        <v>6860</v>
      </c>
      <c r="F2317" s="950">
        <v>2</v>
      </c>
      <c r="G2317" s="951">
        <v>15</v>
      </c>
      <c r="H2317" s="951">
        <v>13.63</v>
      </c>
      <c r="I2317" s="18"/>
    </row>
    <row r="2318" spans="1:9">
      <c r="A2318" s="943">
        <v>5</v>
      </c>
      <c r="B2318" s="944">
        <v>591</v>
      </c>
      <c r="C2318" s="944" t="s">
        <v>344</v>
      </c>
      <c r="D2318" s="943" t="s">
        <v>2</v>
      </c>
      <c r="E2318" s="945">
        <v>90</v>
      </c>
      <c r="F2318" s="945">
        <v>1</v>
      </c>
      <c r="G2318" s="946">
        <v>90</v>
      </c>
      <c r="H2318" s="946">
        <v>80</v>
      </c>
    </row>
    <row r="2319" spans="1:9" s="26" customFormat="1">
      <c r="A2319" s="947">
        <v>5</v>
      </c>
      <c r="B2319" s="948">
        <v>592</v>
      </c>
      <c r="C2319" s="948" t="s">
        <v>345</v>
      </c>
      <c r="D2319" s="947" t="s">
        <v>2</v>
      </c>
      <c r="E2319" s="950">
        <v>2</v>
      </c>
      <c r="F2319" s="950">
        <v>1</v>
      </c>
      <c r="G2319" s="951">
        <v>68.75</v>
      </c>
      <c r="H2319" s="951">
        <v>68.75</v>
      </c>
      <c r="I2319" s="18"/>
    </row>
    <row r="2320" spans="1:9">
      <c r="A2320" s="943">
        <v>5</v>
      </c>
      <c r="B2320" s="944">
        <v>594</v>
      </c>
      <c r="C2320" s="944" t="s">
        <v>346</v>
      </c>
      <c r="D2320" s="943" t="s">
        <v>17</v>
      </c>
      <c r="E2320" s="952">
        <v>39960</v>
      </c>
      <c r="F2320" s="945">
        <v>12</v>
      </c>
      <c r="G2320" s="946">
        <v>11</v>
      </c>
      <c r="H2320" s="946">
        <v>11.22</v>
      </c>
    </row>
    <row r="2321" spans="1:9" s="26" customFormat="1">
      <c r="A2321" s="947">
        <v>5</v>
      </c>
      <c r="B2321" s="948">
        <v>595</v>
      </c>
      <c r="C2321" s="948" t="s">
        <v>347</v>
      </c>
      <c r="D2321" s="947" t="s">
        <v>2</v>
      </c>
      <c r="E2321" s="950">
        <v>295</v>
      </c>
      <c r="F2321" s="950">
        <v>6</v>
      </c>
      <c r="G2321" s="951">
        <v>80</v>
      </c>
      <c r="H2321" s="951">
        <v>89.75</v>
      </c>
      <c r="I2321" s="18"/>
    </row>
    <row r="2322" spans="1:9">
      <c r="A2322" s="943">
        <v>5</v>
      </c>
      <c r="B2322" s="944">
        <v>596</v>
      </c>
      <c r="C2322" s="944" t="s">
        <v>348</v>
      </c>
      <c r="D2322" s="943" t="s">
        <v>2</v>
      </c>
      <c r="E2322" s="945">
        <v>10</v>
      </c>
      <c r="F2322" s="945">
        <v>2</v>
      </c>
      <c r="G2322" s="946">
        <v>80</v>
      </c>
      <c r="H2322" s="946">
        <v>76.67</v>
      </c>
    </row>
    <row r="2323" spans="1:9" s="26" customFormat="1">
      <c r="A2323" s="947">
        <v>5</v>
      </c>
      <c r="B2323" s="948">
        <v>597</v>
      </c>
      <c r="C2323" s="948" t="s">
        <v>349</v>
      </c>
      <c r="D2323" s="947" t="s">
        <v>17</v>
      </c>
      <c r="E2323" s="949">
        <v>32540</v>
      </c>
      <c r="F2323" s="950">
        <v>7</v>
      </c>
      <c r="G2323" s="951">
        <v>8</v>
      </c>
      <c r="H2323" s="951">
        <v>8.0500000000000007</v>
      </c>
      <c r="I2323" s="18"/>
    </row>
    <row r="2324" spans="1:9">
      <c r="A2324" s="943">
        <v>5</v>
      </c>
      <c r="B2324" s="944">
        <v>620.12</v>
      </c>
      <c r="C2324" s="944" t="s">
        <v>1252</v>
      </c>
      <c r="D2324" s="943" t="s">
        <v>17</v>
      </c>
      <c r="E2324" s="952">
        <v>13061</v>
      </c>
      <c r="F2324" s="945">
        <v>6</v>
      </c>
      <c r="G2324" s="946">
        <v>38.700000000000003</v>
      </c>
      <c r="H2324" s="946">
        <v>39.58</v>
      </c>
    </row>
    <row r="2325" spans="1:9" s="26" customFormat="1">
      <c r="A2325" s="947">
        <v>5</v>
      </c>
      <c r="B2325" s="948">
        <v>620.13</v>
      </c>
      <c r="C2325" s="948" t="s">
        <v>1398</v>
      </c>
      <c r="D2325" s="947" t="s">
        <v>17</v>
      </c>
      <c r="E2325" s="949">
        <v>39699</v>
      </c>
      <c r="F2325" s="950">
        <v>9</v>
      </c>
      <c r="G2325" s="951">
        <v>45</v>
      </c>
      <c r="H2325" s="951">
        <v>45.52</v>
      </c>
      <c r="I2325" s="18"/>
    </row>
    <row r="2326" spans="1:9">
      <c r="A2326" s="943">
        <v>5</v>
      </c>
      <c r="B2326" s="944">
        <v>620.13099999999997</v>
      </c>
      <c r="C2326" s="944" t="s">
        <v>1399</v>
      </c>
      <c r="D2326" s="943" t="s">
        <v>17</v>
      </c>
      <c r="E2326" s="945">
        <v>455</v>
      </c>
      <c r="F2326" s="945">
        <v>2</v>
      </c>
      <c r="G2326" s="946">
        <v>71</v>
      </c>
      <c r="H2326" s="946">
        <v>71</v>
      </c>
    </row>
    <row r="2327" spans="1:9" s="26" customFormat="1">
      <c r="A2327" s="947">
        <v>5</v>
      </c>
      <c r="B2327" s="948">
        <v>620.32000000000005</v>
      </c>
      <c r="C2327" s="948" t="s">
        <v>1253</v>
      </c>
      <c r="D2327" s="947" t="s">
        <v>17</v>
      </c>
      <c r="E2327" s="949">
        <v>2096</v>
      </c>
      <c r="F2327" s="950">
        <v>2</v>
      </c>
      <c r="G2327" s="951">
        <v>50</v>
      </c>
      <c r="H2327" s="951">
        <v>50.33</v>
      </c>
      <c r="I2327" s="18"/>
    </row>
    <row r="2328" spans="1:9">
      <c r="A2328" s="943">
        <v>5</v>
      </c>
      <c r="B2328" s="944">
        <v>620.33000000000004</v>
      </c>
      <c r="C2328" s="944" t="s">
        <v>1400</v>
      </c>
      <c r="D2328" s="943" t="s">
        <v>17</v>
      </c>
      <c r="E2328" s="945">
        <v>540</v>
      </c>
      <c r="F2328" s="945">
        <v>2</v>
      </c>
      <c r="G2328" s="946">
        <v>78</v>
      </c>
      <c r="H2328" s="946">
        <v>78</v>
      </c>
    </row>
    <row r="2329" spans="1:9" s="26" customFormat="1">
      <c r="A2329" s="947">
        <v>5</v>
      </c>
      <c r="B2329" s="948">
        <v>627.1</v>
      </c>
      <c r="C2329" s="948" t="s">
        <v>1403</v>
      </c>
      <c r="D2329" s="947" t="s">
        <v>2</v>
      </c>
      <c r="E2329" s="950">
        <v>154</v>
      </c>
      <c r="F2329" s="950">
        <v>9</v>
      </c>
      <c r="G2329" s="951">
        <v>2556.0100000000002</v>
      </c>
      <c r="H2329" s="951">
        <v>2695.92</v>
      </c>
      <c r="I2329" s="18"/>
    </row>
    <row r="2330" spans="1:9">
      <c r="A2330" s="943">
        <v>5</v>
      </c>
      <c r="B2330" s="944">
        <v>627.72</v>
      </c>
      <c r="C2330" s="944" t="s">
        <v>1404</v>
      </c>
      <c r="D2330" s="943" t="s">
        <v>2</v>
      </c>
      <c r="E2330" s="945">
        <v>1</v>
      </c>
      <c r="F2330" s="945">
        <v>1</v>
      </c>
      <c r="G2330" s="946">
        <v>7260</v>
      </c>
      <c r="H2330" s="946">
        <v>7260</v>
      </c>
    </row>
    <row r="2331" spans="1:9" s="26" customFormat="1">
      <c r="A2331" s="947">
        <v>5</v>
      </c>
      <c r="B2331" s="948">
        <v>627.73</v>
      </c>
      <c r="C2331" s="948" t="s">
        <v>1405</v>
      </c>
      <c r="D2331" s="947" t="s">
        <v>2</v>
      </c>
      <c r="E2331" s="950">
        <v>1</v>
      </c>
      <c r="F2331" s="950">
        <v>1</v>
      </c>
      <c r="G2331" s="951">
        <v>7885</v>
      </c>
      <c r="H2331" s="951">
        <v>7885</v>
      </c>
      <c r="I2331" s="18"/>
    </row>
    <row r="2332" spans="1:9">
      <c r="A2332" s="943">
        <v>5</v>
      </c>
      <c r="B2332" s="944">
        <v>627.82000000000005</v>
      </c>
      <c r="C2332" s="944" t="s">
        <v>1406</v>
      </c>
      <c r="D2332" s="943" t="s">
        <v>2</v>
      </c>
      <c r="E2332" s="945">
        <v>55</v>
      </c>
      <c r="F2332" s="945">
        <v>6</v>
      </c>
      <c r="G2332" s="946">
        <v>5550</v>
      </c>
      <c r="H2332" s="946">
        <v>5667.55</v>
      </c>
    </row>
    <row r="2333" spans="1:9" s="26" customFormat="1">
      <c r="A2333" s="947">
        <v>5</v>
      </c>
      <c r="B2333" s="948">
        <v>627.83000000000004</v>
      </c>
      <c r="C2333" s="948" t="s">
        <v>1407</v>
      </c>
      <c r="D2333" s="947" t="s">
        <v>2</v>
      </c>
      <c r="E2333" s="950">
        <v>230</v>
      </c>
      <c r="F2333" s="950">
        <v>8</v>
      </c>
      <c r="G2333" s="951">
        <v>5900</v>
      </c>
      <c r="H2333" s="951">
        <v>6165.63</v>
      </c>
      <c r="I2333" s="18"/>
    </row>
    <row r="2334" spans="1:9">
      <c r="A2334" s="943">
        <v>5</v>
      </c>
      <c r="B2334" s="944">
        <v>627.91999999999996</v>
      </c>
      <c r="C2334" s="944" t="s">
        <v>1408</v>
      </c>
      <c r="D2334" s="943" t="s">
        <v>2</v>
      </c>
      <c r="E2334" s="945">
        <v>1</v>
      </c>
      <c r="F2334" s="945">
        <v>1</v>
      </c>
      <c r="G2334" s="946">
        <v>3675</v>
      </c>
      <c r="H2334" s="946">
        <v>3675</v>
      </c>
    </row>
    <row r="2335" spans="1:9" s="26" customFormat="1">
      <c r="A2335" s="947">
        <v>5</v>
      </c>
      <c r="B2335" s="948">
        <v>627.92999999999995</v>
      </c>
      <c r="C2335" s="948" t="s">
        <v>1409</v>
      </c>
      <c r="D2335" s="947" t="s">
        <v>2</v>
      </c>
      <c r="E2335" s="950">
        <v>21</v>
      </c>
      <c r="F2335" s="950">
        <v>1</v>
      </c>
      <c r="G2335" s="951">
        <v>4950</v>
      </c>
      <c r="H2335" s="951">
        <v>4950</v>
      </c>
      <c r="I2335" s="18"/>
    </row>
    <row r="2336" spans="1:9">
      <c r="A2336" s="943">
        <v>5</v>
      </c>
      <c r="B2336" s="944">
        <v>628.21</v>
      </c>
      <c r="C2336" s="944" t="s">
        <v>1410</v>
      </c>
      <c r="D2336" s="943" t="s">
        <v>2</v>
      </c>
      <c r="E2336" s="945">
        <v>108</v>
      </c>
      <c r="F2336" s="945">
        <v>6</v>
      </c>
      <c r="G2336" s="946">
        <v>2110.65</v>
      </c>
      <c r="H2336" s="946">
        <v>2168.5100000000002</v>
      </c>
    </row>
    <row r="2337" spans="1:9" s="26" customFormat="1">
      <c r="A2337" s="947">
        <v>5</v>
      </c>
      <c r="B2337" s="948">
        <v>628.22</v>
      </c>
      <c r="C2337" s="948" t="s">
        <v>1411</v>
      </c>
      <c r="D2337" s="947" t="s">
        <v>2</v>
      </c>
      <c r="E2337" s="950">
        <v>7</v>
      </c>
      <c r="F2337" s="950">
        <v>2</v>
      </c>
      <c r="G2337" s="951">
        <v>6400</v>
      </c>
      <c r="H2337" s="951">
        <v>6561.45</v>
      </c>
      <c r="I2337" s="18"/>
    </row>
    <row r="2338" spans="1:9">
      <c r="A2338" s="943">
        <v>5</v>
      </c>
      <c r="B2338" s="944">
        <v>628.23</v>
      </c>
      <c r="C2338" s="944" t="s">
        <v>1412</v>
      </c>
      <c r="D2338" s="943" t="s">
        <v>2</v>
      </c>
      <c r="E2338" s="945">
        <v>1</v>
      </c>
      <c r="F2338" s="945">
        <v>1</v>
      </c>
      <c r="G2338" s="946">
        <v>4900</v>
      </c>
      <c r="H2338" s="946">
        <v>4900</v>
      </c>
    </row>
    <row r="2339" spans="1:9" s="26" customFormat="1">
      <c r="A2339" s="947">
        <v>5</v>
      </c>
      <c r="B2339" s="948">
        <v>628.24</v>
      </c>
      <c r="C2339" s="948" t="s">
        <v>1413</v>
      </c>
      <c r="D2339" s="947" t="s">
        <v>2</v>
      </c>
      <c r="E2339" s="950">
        <v>71</v>
      </c>
      <c r="F2339" s="950">
        <v>5</v>
      </c>
      <c r="G2339" s="951">
        <v>6650</v>
      </c>
      <c r="H2339" s="951">
        <v>6879.57</v>
      </c>
      <c r="I2339" s="18"/>
    </row>
    <row r="2340" spans="1:9">
      <c r="A2340" s="943">
        <v>5</v>
      </c>
      <c r="B2340" s="944">
        <v>628.25</v>
      </c>
      <c r="C2340" s="944" t="s">
        <v>1414</v>
      </c>
      <c r="D2340" s="943" t="s">
        <v>2</v>
      </c>
      <c r="E2340" s="945">
        <v>11</v>
      </c>
      <c r="F2340" s="945">
        <v>2</v>
      </c>
      <c r="G2340" s="946">
        <v>385</v>
      </c>
      <c r="H2340" s="946">
        <v>421.67</v>
      </c>
    </row>
    <row r="2341" spans="1:9" s="26" customFormat="1">
      <c r="A2341" s="947">
        <v>5</v>
      </c>
      <c r="B2341" s="948">
        <v>628.30399999999997</v>
      </c>
      <c r="C2341" s="948" t="s">
        <v>2412</v>
      </c>
      <c r="D2341" s="947" t="s">
        <v>2</v>
      </c>
      <c r="E2341" s="950">
        <v>5</v>
      </c>
      <c r="F2341" s="950">
        <v>1</v>
      </c>
      <c r="G2341" s="951">
        <v>8425</v>
      </c>
      <c r="H2341" s="951">
        <v>7980</v>
      </c>
      <c r="I2341" s="18"/>
    </row>
    <row r="2342" spans="1:9">
      <c r="A2342" s="943">
        <v>5</v>
      </c>
      <c r="B2342" s="944">
        <v>628.30499999999995</v>
      </c>
      <c r="C2342" s="944" t="s">
        <v>2413</v>
      </c>
      <c r="D2342" s="943" t="s">
        <v>2</v>
      </c>
      <c r="E2342" s="945">
        <v>39</v>
      </c>
      <c r="F2342" s="945">
        <v>5</v>
      </c>
      <c r="G2342" s="946">
        <v>8650</v>
      </c>
      <c r="H2342" s="946">
        <v>8200.33</v>
      </c>
    </row>
    <row r="2343" spans="1:9" s="26" customFormat="1">
      <c r="A2343" s="947">
        <v>5</v>
      </c>
      <c r="B2343" s="948">
        <v>628.31399999999996</v>
      </c>
      <c r="C2343" s="948" t="s">
        <v>2416</v>
      </c>
      <c r="D2343" s="947" t="s">
        <v>2</v>
      </c>
      <c r="E2343" s="950">
        <v>20</v>
      </c>
      <c r="F2343" s="950">
        <v>1</v>
      </c>
      <c r="G2343" s="951">
        <v>6000</v>
      </c>
      <c r="H2343" s="951">
        <v>6180</v>
      </c>
      <c r="I2343" s="18"/>
    </row>
    <row r="2344" spans="1:9">
      <c r="A2344" s="943">
        <v>5</v>
      </c>
      <c r="B2344" s="944">
        <v>628.31500000000005</v>
      </c>
      <c r="C2344" s="944" t="s">
        <v>2417</v>
      </c>
      <c r="D2344" s="943" t="s">
        <v>2</v>
      </c>
      <c r="E2344" s="945">
        <v>22</v>
      </c>
      <c r="F2344" s="945">
        <v>3</v>
      </c>
      <c r="G2344" s="946">
        <v>6500</v>
      </c>
      <c r="H2344" s="946">
        <v>7142.86</v>
      </c>
    </row>
    <row r="2345" spans="1:9" s="26" customFormat="1">
      <c r="A2345" s="947">
        <v>5</v>
      </c>
      <c r="B2345" s="948">
        <v>628.4</v>
      </c>
      <c r="C2345" s="948" t="s">
        <v>3901</v>
      </c>
      <c r="D2345" s="947" t="s">
        <v>2</v>
      </c>
      <c r="E2345" s="950">
        <v>93</v>
      </c>
      <c r="F2345" s="950">
        <v>7</v>
      </c>
      <c r="G2345" s="951">
        <v>2000</v>
      </c>
      <c r="H2345" s="951">
        <v>2046.09</v>
      </c>
      <c r="I2345" s="18"/>
    </row>
    <row r="2346" spans="1:9">
      <c r="A2346" s="943">
        <v>5</v>
      </c>
      <c r="B2346" s="944">
        <v>629.1</v>
      </c>
      <c r="C2346" s="944" t="s">
        <v>353</v>
      </c>
      <c r="D2346" s="943" t="s">
        <v>17</v>
      </c>
      <c r="E2346" s="945">
        <v>780</v>
      </c>
      <c r="F2346" s="945">
        <v>1</v>
      </c>
      <c r="G2346" s="946">
        <v>338.23</v>
      </c>
      <c r="H2346" s="946">
        <v>341.91</v>
      </c>
    </row>
    <row r="2347" spans="1:9" s="26" customFormat="1">
      <c r="A2347" s="947">
        <v>5</v>
      </c>
      <c r="B2347" s="948">
        <v>630</v>
      </c>
      <c r="C2347" s="948" t="s">
        <v>356</v>
      </c>
      <c r="D2347" s="947" t="s">
        <v>17</v>
      </c>
      <c r="E2347" s="954">
        <v>2112.5</v>
      </c>
      <c r="F2347" s="950">
        <v>5</v>
      </c>
      <c r="G2347" s="951">
        <v>50</v>
      </c>
      <c r="H2347" s="951">
        <v>47.33</v>
      </c>
      <c r="I2347" s="18"/>
    </row>
    <row r="2348" spans="1:9">
      <c r="A2348" s="943">
        <v>5</v>
      </c>
      <c r="B2348" s="944">
        <v>630.20000000000005</v>
      </c>
      <c r="C2348" s="944" t="s">
        <v>358</v>
      </c>
      <c r="D2348" s="943" t="s">
        <v>17</v>
      </c>
      <c r="E2348" s="952">
        <v>63440</v>
      </c>
      <c r="F2348" s="945">
        <v>9</v>
      </c>
      <c r="G2348" s="946">
        <v>8</v>
      </c>
      <c r="H2348" s="946">
        <v>7.57</v>
      </c>
    </row>
    <row r="2349" spans="1:9" s="26" customFormat="1">
      <c r="A2349" s="947">
        <v>5</v>
      </c>
      <c r="B2349" s="948">
        <v>632</v>
      </c>
      <c r="C2349" s="948" t="s">
        <v>359</v>
      </c>
      <c r="D2349" s="947" t="s">
        <v>2</v>
      </c>
      <c r="E2349" s="950">
        <v>125</v>
      </c>
      <c r="F2349" s="950">
        <v>1</v>
      </c>
      <c r="G2349" s="951">
        <v>110</v>
      </c>
      <c r="H2349" s="951">
        <v>110</v>
      </c>
      <c r="I2349" s="18"/>
    </row>
    <row r="2350" spans="1:9">
      <c r="A2350" s="943">
        <v>5</v>
      </c>
      <c r="B2350" s="944">
        <v>632.1</v>
      </c>
      <c r="C2350" s="944" t="s">
        <v>360</v>
      </c>
      <c r="D2350" s="943" t="s">
        <v>2</v>
      </c>
      <c r="E2350" s="945">
        <v>5</v>
      </c>
      <c r="F2350" s="945">
        <v>1</v>
      </c>
      <c r="G2350" s="946">
        <v>100</v>
      </c>
      <c r="H2350" s="946">
        <v>100</v>
      </c>
    </row>
    <row r="2351" spans="1:9" s="26" customFormat="1">
      <c r="A2351" s="947">
        <v>5</v>
      </c>
      <c r="B2351" s="948">
        <v>632.20000000000005</v>
      </c>
      <c r="C2351" s="948" t="s">
        <v>1418</v>
      </c>
      <c r="D2351" s="947" t="s">
        <v>2</v>
      </c>
      <c r="E2351" s="950">
        <v>12</v>
      </c>
      <c r="F2351" s="950">
        <v>1</v>
      </c>
      <c r="G2351" s="951">
        <v>30</v>
      </c>
      <c r="H2351" s="951">
        <v>30</v>
      </c>
      <c r="I2351" s="18"/>
    </row>
    <row r="2352" spans="1:9">
      <c r="A2352" s="943">
        <v>5</v>
      </c>
      <c r="B2352" s="944">
        <v>632.29999999999995</v>
      </c>
      <c r="C2352" s="944" t="s">
        <v>2424</v>
      </c>
      <c r="D2352" s="943" t="s">
        <v>2</v>
      </c>
      <c r="E2352" s="945">
        <v>12</v>
      </c>
      <c r="F2352" s="945">
        <v>1</v>
      </c>
      <c r="G2352" s="946">
        <v>525</v>
      </c>
      <c r="H2352" s="946">
        <v>510</v>
      </c>
    </row>
    <row r="2353" spans="1:9" s="26" customFormat="1">
      <c r="A2353" s="947">
        <v>5</v>
      </c>
      <c r="B2353" s="948">
        <v>632.4</v>
      </c>
      <c r="C2353" s="948" t="s">
        <v>361</v>
      </c>
      <c r="D2353" s="947" t="s">
        <v>2</v>
      </c>
      <c r="E2353" s="950">
        <v>194</v>
      </c>
      <c r="F2353" s="950">
        <v>2</v>
      </c>
      <c r="G2353" s="951">
        <v>30</v>
      </c>
      <c r="H2353" s="951">
        <v>28.6</v>
      </c>
      <c r="I2353" s="18"/>
    </row>
    <row r="2354" spans="1:9">
      <c r="A2354" s="943">
        <v>5</v>
      </c>
      <c r="B2354" s="944">
        <v>633</v>
      </c>
      <c r="C2354" s="944" t="s">
        <v>362</v>
      </c>
      <c r="D2354" s="943" t="s">
        <v>2</v>
      </c>
      <c r="E2354" s="945">
        <v>313</v>
      </c>
      <c r="F2354" s="945">
        <v>1</v>
      </c>
      <c r="G2354" s="946">
        <v>12</v>
      </c>
      <c r="H2354" s="946">
        <v>12</v>
      </c>
    </row>
    <row r="2355" spans="1:9" s="26" customFormat="1">
      <c r="A2355" s="947">
        <v>5</v>
      </c>
      <c r="B2355" s="948">
        <v>633.1</v>
      </c>
      <c r="C2355" s="948" t="s">
        <v>363</v>
      </c>
      <c r="D2355" s="947" t="s">
        <v>2</v>
      </c>
      <c r="E2355" s="950">
        <v>120</v>
      </c>
      <c r="F2355" s="950">
        <v>1</v>
      </c>
      <c r="G2355" s="951">
        <v>15</v>
      </c>
      <c r="H2355" s="951">
        <v>15</v>
      </c>
      <c r="I2355" s="18"/>
    </row>
    <row r="2356" spans="1:9">
      <c r="A2356" s="943">
        <v>5</v>
      </c>
      <c r="B2356" s="944">
        <v>634</v>
      </c>
      <c r="C2356" s="944" t="s">
        <v>364</v>
      </c>
      <c r="D2356" s="943" t="s">
        <v>2</v>
      </c>
      <c r="E2356" s="945">
        <v>250</v>
      </c>
      <c r="F2356" s="945">
        <v>1</v>
      </c>
      <c r="G2356" s="946">
        <v>230</v>
      </c>
      <c r="H2356" s="946">
        <v>230</v>
      </c>
    </row>
    <row r="2357" spans="1:9" s="26" customFormat="1">
      <c r="A2357" s="947">
        <v>5</v>
      </c>
      <c r="B2357" s="948">
        <v>634.1</v>
      </c>
      <c r="C2357" s="948" t="s">
        <v>365</v>
      </c>
      <c r="D2357" s="947" t="s">
        <v>2</v>
      </c>
      <c r="E2357" s="950">
        <v>50</v>
      </c>
      <c r="F2357" s="950">
        <v>1</v>
      </c>
      <c r="G2357" s="951">
        <v>420</v>
      </c>
      <c r="H2357" s="951">
        <v>420</v>
      </c>
      <c r="I2357" s="18"/>
    </row>
    <row r="2358" spans="1:9">
      <c r="A2358" s="943">
        <v>5</v>
      </c>
      <c r="B2358" s="944">
        <v>638.1</v>
      </c>
      <c r="C2358" s="944" t="s">
        <v>366</v>
      </c>
      <c r="D2358" s="943" t="s">
        <v>17</v>
      </c>
      <c r="E2358" s="945">
        <v>82.5</v>
      </c>
      <c r="F2358" s="945">
        <v>1</v>
      </c>
      <c r="G2358" s="946">
        <v>450</v>
      </c>
      <c r="H2358" s="946">
        <v>441</v>
      </c>
    </row>
    <row r="2359" spans="1:9" s="26" customFormat="1">
      <c r="A2359" s="947">
        <v>5</v>
      </c>
      <c r="B2359" s="948">
        <v>645.048</v>
      </c>
      <c r="C2359" s="948" t="s">
        <v>373</v>
      </c>
      <c r="D2359" s="947" t="s">
        <v>17</v>
      </c>
      <c r="E2359" s="949">
        <v>3300</v>
      </c>
      <c r="F2359" s="950">
        <v>1</v>
      </c>
      <c r="G2359" s="951">
        <v>70</v>
      </c>
      <c r="H2359" s="951">
        <v>64.08</v>
      </c>
      <c r="I2359" s="18"/>
    </row>
    <row r="2360" spans="1:9">
      <c r="A2360" s="943">
        <v>5</v>
      </c>
      <c r="B2360" s="944">
        <v>645.14800000000002</v>
      </c>
      <c r="C2360" s="944" t="s">
        <v>375</v>
      </c>
      <c r="D2360" s="943" t="s">
        <v>17</v>
      </c>
      <c r="E2360" s="952">
        <v>5105</v>
      </c>
      <c r="F2360" s="945">
        <v>3</v>
      </c>
      <c r="G2360" s="946">
        <v>79</v>
      </c>
      <c r="H2360" s="946">
        <v>78.349999999999994</v>
      </c>
    </row>
    <row r="2361" spans="1:9" s="26" customFormat="1">
      <c r="A2361" s="947">
        <v>5</v>
      </c>
      <c r="B2361" s="948">
        <v>650.048</v>
      </c>
      <c r="C2361" s="948" t="s">
        <v>377</v>
      </c>
      <c r="D2361" s="947" t="s">
        <v>17</v>
      </c>
      <c r="E2361" s="950">
        <v>50</v>
      </c>
      <c r="F2361" s="950">
        <v>1</v>
      </c>
      <c r="G2361" s="951">
        <v>550</v>
      </c>
      <c r="H2361" s="951">
        <v>625</v>
      </c>
      <c r="I2361" s="18"/>
    </row>
    <row r="2362" spans="1:9">
      <c r="A2362" s="943">
        <v>5</v>
      </c>
      <c r="B2362" s="944">
        <v>652.048</v>
      </c>
      <c r="C2362" s="944" t="s">
        <v>380</v>
      </c>
      <c r="D2362" s="943" t="s">
        <v>2</v>
      </c>
      <c r="E2362" s="945">
        <v>56</v>
      </c>
      <c r="F2362" s="945">
        <v>3</v>
      </c>
      <c r="G2362" s="946">
        <v>450</v>
      </c>
      <c r="H2362" s="946">
        <v>447.82</v>
      </c>
    </row>
    <row r="2363" spans="1:9" s="26" customFormat="1">
      <c r="A2363" s="947">
        <v>5</v>
      </c>
      <c r="B2363" s="948">
        <v>653.048</v>
      </c>
      <c r="C2363" s="948" t="s">
        <v>382</v>
      </c>
      <c r="D2363" s="947" t="s">
        <v>2</v>
      </c>
      <c r="E2363" s="950">
        <v>12</v>
      </c>
      <c r="F2363" s="950">
        <v>2</v>
      </c>
      <c r="G2363" s="951">
        <v>635</v>
      </c>
      <c r="H2363" s="951">
        <v>602.76</v>
      </c>
      <c r="I2363" s="18"/>
    </row>
    <row r="2364" spans="1:9">
      <c r="A2364" s="943">
        <v>5</v>
      </c>
      <c r="B2364" s="944">
        <v>655</v>
      </c>
      <c r="C2364" s="944" t="s">
        <v>386</v>
      </c>
      <c r="D2364" s="943" t="s">
        <v>17</v>
      </c>
      <c r="E2364" s="945">
        <v>800</v>
      </c>
      <c r="F2364" s="945">
        <v>1</v>
      </c>
      <c r="G2364" s="946">
        <v>93</v>
      </c>
      <c r="H2364" s="946">
        <v>105.25</v>
      </c>
    </row>
    <row r="2365" spans="1:9" s="26" customFormat="1">
      <c r="A2365" s="947">
        <v>5</v>
      </c>
      <c r="B2365" s="948">
        <v>655.20000000000005</v>
      </c>
      <c r="C2365" s="948" t="s">
        <v>2492</v>
      </c>
      <c r="D2365" s="947" t="s">
        <v>17</v>
      </c>
      <c r="E2365" s="950">
        <v>120</v>
      </c>
      <c r="F2365" s="950">
        <v>1</v>
      </c>
      <c r="G2365" s="951">
        <v>500</v>
      </c>
      <c r="H2365" s="951">
        <v>535</v>
      </c>
      <c r="I2365" s="18"/>
    </row>
    <row r="2366" spans="1:9">
      <c r="A2366" s="943">
        <v>5</v>
      </c>
      <c r="B2366" s="944">
        <v>657</v>
      </c>
      <c r="C2366" s="944" t="s">
        <v>387</v>
      </c>
      <c r="D2366" s="943" t="s">
        <v>17</v>
      </c>
      <c r="E2366" s="952">
        <v>4700</v>
      </c>
      <c r="F2366" s="945">
        <v>3</v>
      </c>
      <c r="G2366" s="946">
        <v>38.5</v>
      </c>
      <c r="H2366" s="946">
        <v>39.78</v>
      </c>
    </row>
    <row r="2367" spans="1:9" s="26" customFormat="1">
      <c r="A2367" s="947">
        <v>5</v>
      </c>
      <c r="B2367" s="948">
        <v>657.5</v>
      </c>
      <c r="C2367" s="948" t="s">
        <v>388</v>
      </c>
      <c r="D2367" s="947" t="s">
        <v>17</v>
      </c>
      <c r="E2367" s="950">
        <v>200</v>
      </c>
      <c r="F2367" s="950">
        <v>1</v>
      </c>
      <c r="G2367" s="951">
        <v>26</v>
      </c>
      <c r="H2367" s="951">
        <v>23.75</v>
      </c>
      <c r="I2367" s="18"/>
    </row>
    <row r="2368" spans="1:9">
      <c r="A2368" s="943">
        <v>5</v>
      </c>
      <c r="B2368" s="944">
        <v>665</v>
      </c>
      <c r="C2368" s="944" t="s">
        <v>390</v>
      </c>
      <c r="D2368" s="943" t="s">
        <v>17</v>
      </c>
      <c r="E2368" s="945">
        <v>700</v>
      </c>
      <c r="F2368" s="945">
        <v>1</v>
      </c>
      <c r="G2368" s="946">
        <v>45</v>
      </c>
      <c r="H2368" s="946">
        <v>47</v>
      </c>
    </row>
    <row r="2369" spans="1:9" s="26" customFormat="1">
      <c r="A2369" s="947">
        <v>5</v>
      </c>
      <c r="B2369" s="948">
        <v>666</v>
      </c>
      <c r="C2369" s="948" t="s">
        <v>391</v>
      </c>
      <c r="D2369" s="947" t="s">
        <v>17</v>
      </c>
      <c r="E2369" s="950">
        <v>50</v>
      </c>
      <c r="F2369" s="950">
        <v>1</v>
      </c>
      <c r="G2369" s="951">
        <v>75</v>
      </c>
      <c r="H2369" s="951">
        <v>75</v>
      </c>
      <c r="I2369" s="18"/>
    </row>
    <row r="2370" spans="1:9">
      <c r="A2370" s="943">
        <v>5</v>
      </c>
      <c r="B2370" s="944">
        <v>667</v>
      </c>
      <c r="C2370" s="944" t="s">
        <v>4039</v>
      </c>
      <c r="D2370" s="943" t="s">
        <v>2</v>
      </c>
      <c r="E2370" s="945">
        <v>27</v>
      </c>
      <c r="F2370" s="945">
        <v>1</v>
      </c>
      <c r="G2370" s="946">
        <v>1175</v>
      </c>
      <c r="H2370" s="946">
        <v>1141.67</v>
      </c>
    </row>
    <row r="2371" spans="1:9" s="26" customFormat="1">
      <c r="A2371" s="947">
        <v>5</v>
      </c>
      <c r="B2371" s="948">
        <v>669</v>
      </c>
      <c r="C2371" s="948" t="s">
        <v>393</v>
      </c>
      <c r="D2371" s="947" t="s">
        <v>17</v>
      </c>
      <c r="E2371" s="949">
        <v>1320</v>
      </c>
      <c r="F2371" s="950">
        <v>4</v>
      </c>
      <c r="G2371" s="951">
        <v>35</v>
      </c>
      <c r="H2371" s="951">
        <v>34.18</v>
      </c>
      <c r="I2371" s="18"/>
    </row>
    <row r="2372" spans="1:9">
      <c r="A2372" s="943">
        <v>5</v>
      </c>
      <c r="B2372" s="944">
        <v>670</v>
      </c>
      <c r="C2372" s="944" t="s">
        <v>394</v>
      </c>
      <c r="D2372" s="943" t="s">
        <v>17</v>
      </c>
      <c r="E2372" s="945">
        <v>770</v>
      </c>
      <c r="F2372" s="945">
        <v>3</v>
      </c>
      <c r="G2372" s="946">
        <v>95</v>
      </c>
      <c r="H2372" s="946">
        <v>88.13</v>
      </c>
    </row>
    <row r="2373" spans="1:9" s="26" customFormat="1">
      <c r="A2373" s="947">
        <v>5</v>
      </c>
      <c r="B2373" s="948">
        <v>672</v>
      </c>
      <c r="C2373" s="948" t="s">
        <v>395</v>
      </c>
      <c r="D2373" s="947" t="s">
        <v>2</v>
      </c>
      <c r="E2373" s="950">
        <v>7</v>
      </c>
      <c r="F2373" s="950">
        <v>2</v>
      </c>
      <c r="G2373" s="951">
        <v>2890</v>
      </c>
      <c r="H2373" s="951">
        <v>3522.5</v>
      </c>
      <c r="I2373" s="18"/>
    </row>
    <row r="2374" spans="1:9">
      <c r="A2374" s="943">
        <v>5</v>
      </c>
      <c r="B2374" s="944">
        <v>685</v>
      </c>
      <c r="C2374" s="944" t="s">
        <v>396</v>
      </c>
      <c r="D2374" s="943" t="s">
        <v>4</v>
      </c>
      <c r="E2374" s="952">
        <v>3280</v>
      </c>
      <c r="F2374" s="945">
        <v>3</v>
      </c>
      <c r="G2374" s="946">
        <v>1500</v>
      </c>
      <c r="H2374" s="946">
        <v>1481.11</v>
      </c>
    </row>
    <row r="2375" spans="1:9" s="26" customFormat="1">
      <c r="A2375" s="947">
        <v>5</v>
      </c>
      <c r="B2375" s="948">
        <v>685.2</v>
      </c>
      <c r="C2375" s="948" t="s">
        <v>2507</v>
      </c>
      <c r="D2375" s="947" t="s">
        <v>2</v>
      </c>
      <c r="E2375" s="950">
        <v>12</v>
      </c>
      <c r="F2375" s="950">
        <v>1</v>
      </c>
      <c r="G2375" s="951">
        <v>2000</v>
      </c>
      <c r="H2375" s="951">
        <v>2033.33</v>
      </c>
      <c r="I2375" s="18"/>
    </row>
    <row r="2376" spans="1:9">
      <c r="A2376" s="943">
        <v>5</v>
      </c>
      <c r="B2376" s="944">
        <v>690</v>
      </c>
      <c r="C2376" s="944" t="s">
        <v>397</v>
      </c>
      <c r="D2376" s="943" t="s">
        <v>4</v>
      </c>
      <c r="E2376" s="952">
        <v>2515</v>
      </c>
      <c r="F2376" s="945">
        <v>3</v>
      </c>
      <c r="G2376" s="946">
        <v>1250</v>
      </c>
      <c r="H2376" s="946">
        <v>1270.3800000000001</v>
      </c>
    </row>
    <row r="2377" spans="1:9" s="26" customFormat="1">
      <c r="A2377" s="947">
        <v>5</v>
      </c>
      <c r="B2377" s="948">
        <v>691</v>
      </c>
      <c r="C2377" s="948" t="s">
        <v>399</v>
      </c>
      <c r="D2377" s="947" t="s">
        <v>17</v>
      </c>
      <c r="E2377" s="950">
        <v>180</v>
      </c>
      <c r="F2377" s="950">
        <v>1</v>
      </c>
      <c r="G2377" s="951">
        <v>435</v>
      </c>
      <c r="H2377" s="951">
        <v>435</v>
      </c>
      <c r="I2377" s="18"/>
    </row>
    <row r="2378" spans="1:9">
      <c r="A2378" s="943">
        <v>5</v>
      </c>
      <c r="B2378" s="944">
        <v>697</v>
      </c>
      <c r="C2378" s="944" t="s">
        <v>400</v>
      </c>
      <c r="D2378" s="943" t="s">
        <v>17</v>
      </c>
      <c r="E2378" s="952">
        <v>1250</v>
      </c>
      <c r="F2378" s="945">
        <v>1</v>
      </c>
      <c r="G2378" s="946">
        <v>12</v>
      </c>
      <c r="H2378" s="946">
        <v>12.6</v>
      </c>
    </row>
    <row r="2379" spans="1:9" s="26" customFormat="1">
      <c r="A2379" s="947">
        <v>5</v>
      </c>
      <c r="B2379" s="948">
        <v>697.1</v>
      </c>
      <c r="C2379" s="948" t="s">
        <v>401</v>
      </c>
      <c r="D2379" s="947" t="s">
        <v>2</v>
      </c>
      <c r="E2379" s="949">
        <v>2725</v>
      </c>
      <c r="F2379" s="950">
        <v>16</v>
      </c>
      <c r="G2379" s="951">
        <v>230</v>
      </c>
      <c r="H2379" s="951">
        <v>225.99</v>
      </c>
      <c r="I2379" s="18"/>
    </row>
    <row r="2380" spans="1:9">
      <c r="A2380" s="943">
        <v>5</v>
      </c>
      <c r="B2380" s="944">
        <v>697.2</v>
      </c>
      <c r="C2380" s="944" t="s">
        <v>402</v>
      </c>
      <c r="D2380" s="943" t="s">
        <v>17</v>
      </c>
      <c r="E2380" s="952">
        <v>1210</v>
      </c>
      <c r="F2380" s="945">
        <v>2</v>
      </c>
      <c r="G2380" s="946">
        <v>65</v>
      </c>
      <c r="H2380" s="946">
        <v>64.97</v>
      </c>
    </row>
    <row r="2381" spans="1:9" s="26" customFormat="1">
      <c r="A2381" s="947">
        <v>5</v>
      </c>
      <c r="B2381" s="948">
        <v>698.1</v>
      </c>
      <c r="C2381" s="948" t="s">
        <v>403</v>
      </c>
      <c r="D2381" s="947" t="s">
        <v>1</v>
      </c>
      <c r="E2381" s="950">
        <v>180</v>
      </c>
      <c r="F2381" s="950">
        <v>1</v>
      </c>
      <c r="G2381" s="951">
        <v>16</v>
      </c>
      <c r="H2381" s="951">
        <v>14</v>
      </c>
      <c r="I2381" s="18"/>
    </row>
    <row r="2382" spans="1:9">
      <c r="A2382" s="943">
        <v>5</v>
      </c>
      <c r="B2382" s="944">
        <v>698.3</v>
      </c>
      <c r="C2382" s="944" t="s">
        <v>404</v>
      </c>
      <c r="D2382" s="943" t="s">
        <v>1</v>
      </c>
      <c r="E2382" s="952">
        <v>5568</v>
      </c>
      <c r="F2382" s="945">
        <v>7</v>
      </c>
      <c r="G2382" s="946">
        <v>10</v>
      </c>
      <c r="H2382" s="946">
        <v>11.35</v>
      </c>
    </row>
    <row r="2383" spans="1:9" s="26" customFormat="1">
      <c r="A2383" s="947">
        <v>5</v>
      </c>
      <c r="B2383" s="948">
        <v>698.4</v>
      </c>
      <c r="C2383" s="948" t="s">
        <v>405</v>
      </c>
      <c r="D2383" s="947" t="s">
        <v>1</v>
      </c>
      <c r="E2383" s="949">
        <v>9000</v>
      </c>
      <c r="F2383" s="950">
        <v>3</v>
      </c>
      <c r="G2383" s="951">
        <v>10</v>
      </c>
      <c r="H2383" s="951">
        <v>10.77</v>
      </c>
      <c r="I2383" s="18"/>
    </row>
    <row r="2384" spans="1:9">
      <c r="A2384" s="943">
        <v>5</v>
      </c>
      <c r="B2384" s="944">
        <v>701</v>
      </c>
      <c r="C2384" s="944" t="s">
        <v>406</v>
      </c>
      <c r="D2384" s="943" t="s">
        <v>1</v>
      </c>
      <c r="E2384" s="952">
        <v>46505</v>
      </c>
      <c r="F2384" s="945">
        <v>14</v>
      </c>
      <c r="G2384" s="946">
        <v>106</v>
      </c>
      <c r="H2384" s="946">
        <v>108.53</v>
      </c>
    </row>
    <row r="2385" spans="1:9" s="26" customFormat="1">
      <c r="A2385" s="947">
        <v>5</v>
      </c>
      <c r="B2385" s="948">
        <v>701.1</v>
      </c>
      <c r="C2385" s="948" t="s">
        <v>407</v>
      </c>
      <c r="D2385" s="947" t="s">
        <v>1</v>
      </c>
      <c r="E2385" s="949">
        <v>10425</v>
      </c>
      <c r="F2385" s="950">
        <v>5</v>
      </c>
      <c r="G2385" s="951">
        <v>127.5</v>
      </c>
      <c r="H2385" s="951">
        <v>127.53</v>
      </c>
      <c r="I2385" s="18"/>
    </row>
    <row r="2386" spans="1:9">
      <c r="A2386" s="943">
        <v>5</v>
      </c>
      <c r="B2386" s="944">
        <v>701.2</v>
      </c>
      <c r="C2386" s="944" t="s">
        <v>1422</v>
      </c>
      <c r="D2386" s="943" t="s">
        <v>1</v>
      </c>
      <c r="E2386" s="952">
        <v>14595</v>
      </c>
      <c r="F2386" s="945">
        <v>11</v>
      </c>
      <c r="G2386" s="946">
        <v>140</v>
      </c>
      <c r="H2386" s="946">
        <v>129.6</v>
      </c>
    </row>
    <row r="2387" spans="1:9" s="26" customFormat="1">
      <c r="A2387" s="947">
        <v>5</v>
      </c>
      <c r="B2387" s="948">
        <v>702</v>
      </c>
      <c r="C2387" s="948" t="s">
        <v>1423</v>
      </c>
      <c r="D2387" s="947" t="s">
        <v>7</v>
      </c>
      <c r="E2387" s="949">
        <v>27736</v>
      </c>
      <c r="F2387" s="950">
        <v>16</v>
      </c>
      <c r="G2387" s="951">
        <v>285</v>
      </c>
      <c r="H2387" s="951">
        <v>276.27999999999997</v>
      </c>
      <c r="I2387" s="18"/>
    </row>
    <row r="2388" spans="1:9">
      <c r="A2388" s="943">
        <v>5</v>
      </c>
      <c r="B2388" s="944">
        <v>703.1</v>
      </c>
      <c r="C2388" s="944" t="s">
        <v>408</v>
      </c>
      <c r="D2388" s="943" t="s">
        <v>2</v>
      </c>
      <c r="E2388" s="945">
        <v>12</v>
      </c>
      <c r="F2388" s="945">
        <v>1</v>
      </c>
      <c r="G2388" s="946">
        <v>500</v>
      </c>
      <c r="H2388" s="946">
        <v>483.33</v>
      </c>
    </row>
    <row r="2389" spans="1:9" s="26" customFormat="1">
      <c r="A2389" s="947">
        <v>5</v>
      </c>
      <c r="B2389" s="948">
        <v>705.1</v>
      </c>
      <c r="C2389" s="948" t="s">
        <v>409</v>
      </c>
      <c r="D2389" s="947" t="s">
        <v>1</v>
      </c>
      <c r="E2389" s="950">
        <v>38</v>
      </c>
      <c r="F2389" s="950">
        <v>2</v>
      </c>
      <c r="G2389" s="951">
        <v>500</v>
      </c>
      <c r="H2389" s="951">
        <v>500</v>
      </c>
      <c r="I2389" s="18"/>
    </row>
    <row r="2390" spans="1:9">
      <c r="A2390" s="943">
        <v>5</v>
      </c>
      <c r="B2390" s="944">
        <v>706.1</v>
      </c>
      <c r="C2390" s="944" t="s">
        <v>411</v>
      </c>
      <c r="D2390" s="943" t="s">
        <v>1</v>
      </c>
      <c r="E2390" s="945">
        <v>63</v>
      </c>
      <c r="F2390" s="945">
        <v>2</v>
      </c>
      <c r="G2390" s="946">
        <v>450</v>
      </c>
      <c r="H2390" s="946">
        <v>425</v>
      </c>
    </row>
    <row r="2391" spans="1:9" s="26" customFormat="1">
      <c r="A2391" s="947">
        <v>5</v>
      </c>
      <c r="B2391" s="948">
        <v>707.1</v>
      </c>
      <c r="C2391" s="948" t="s">
        <v>60</v>
      </c>
      <c r="D2391" s="947" t="s">
        <v>2</v>
      </c>
      <c r="E2391" s="950">
        <v>6</v>
      </c>
      <c r="F2391" s="950">
        <v>1</v>
      </c>
      <c r="G2391" s="951">
        <v>4530</v>
      </c>
      <c r="H2391" s="951">
        <v>4098.6499999999996</v>
      </c>
      <c r="I2391" s="18"/>
    </row>
    <row r="2392" spans="1:9">
      <c r="A2392" s="943">
        <v>5</v>
      </c>
      <c r="B2392" s="944">
        <v>707.15</v>
      </c>
      <c r="C2392" s="944" t="s">
        <v>414</v>
      </c>
      <c r="D2392" s="943" t="s">
        <v>2</v>
      </c>
      <c r="E2392" s="945">
        <v>3</v>
      </c>
      <c r="F2392" s="945">
        <v>1</v>
      </c>
      <c r="G2392" s="946">
        <v>1850</v>
      </c>
      <c r="H2392" s="946">
        <v>1600</v>
      </c>
    </row>
    <row r="2393" spans="1:9" s="26" customFormat="1">
      <c r="A2393" s="947">
        <v>5</v>
      </c>
      <c r="B2393" s="948">
        <v>707.8</v>
      </c>
      <c r="C2393" s="948" t="s">
        <v>416</v>
      </c>
      <c r="D2393" s="947" t="s">
        <v>2</v>
      </c>
      <c r="E2393" s="950">
        <v>4</v>
      </c>
      <c r="F2393" s="950">
        <v>1</v>
      </c>
      <c r="G2393" s="951">
        <v>1500</v>
      </c>
      <c r="H2393" s="951">
        <v>1500</v>
      </c>
      <c r="I2393" s="18"/>
    </row>
    <row r="2394" spans="1:9">
      <c r="A2394" s="943">
        <v>5</v>
      </c>
      <c r="B2394" s="944">
        <v>710.3</v>
      </c>
      <c r="C2394" s="944" t="s">
        <v>48</v>
      </c>
      <c r="D2394" s="943" t="s">
        <v>2</v>
      </c>
      <c r="E2394" s="945">
        <v>396</v>
      </c>
      <c r="F2394" s="945">
        <v>4</v>
      </c>
      <c r="G2394" s="946">
        <v>780</v>
      </c>
      <c r="H2394" s="946">
        <v>751.07</v>
      </c>
    </row>
    <row r="2395" spans="1:9" s="26" customFormat="1">
      <c r="A2395" s="947">
        <v>5</v>
      </c>
      <c r="B2395" s="948">
        <v>710.4</v>
      </c>
      <c r="C2395" s="948" t="s">
        <v>417</v>
      </c>
      <c r="D2395" s="947" t="s">
        <v>2</v>
      </c>
      <c r="E2395" s="950">
        <v>176</v>
      </c>
      <c r="F2395" s="950">
        <v>5</v>
      </c>
      <c r="G2395" s="951">
        <v>840</v>
      </c>
      <c r="H2395" s="951">
        <v>871.5</v>
      </c>
      <c r="I2395" s="18"/>
    </row>
    <row r="2396" spans="1:9">
      <c r="A2396" s="943">
        <v>5</v>
      </c>
      <c r="B2396" s="944">
        <v>711</v>
      </c>
      <c r="C2396" s="944" t="s">
        <v>418</v>
      </c>
      <c r="D2396" s="943" t="s">
        <v>2</v>
      </c>
      <c r="E2396" s="945">
        <v>76</v>
      </c>
      <c r="F2396" s="945">
        <v>7</v>
      </c>
      <c r="G2396" s="946">
        <v>700</v>
      </c>
      <c r="H2396" s="946">
        <v>694.52</v>
      </c>
    </row>
    <row r="2397" spans="1:9" s="26" customFormat="1">
      <c r="A2397" s="947">
        <v>5</v>
      </c>
      <c r="B2397" s="948">
        <v>712</v>
      </c>
      <c r="C2397" s="948" t="s">
        <v>44</v>
      </c>
      <c r="D2397" s="947" t="s">
        <v>2</v>
      </c>
      <c r="E2397" s="950">
        <v>12</v>
      </c>
      <c r="F2397" s="950">
        <v>2</v>
      </c>
      <c r="G2397" s="951">
        <v>307.5</v>
      </c>
      <c r="H2397" s="951">
        <v>307.5</v>
      </c>
      <c r="I2397" s="18"/>
    </row>
    <row r="2398" spans="1:9">
      <c r="A2398" s="943">
        <v>5</v>
      </c>
      <c r="B2398" s="944">
        <v>714</v>
      </c>
      <c r="C2398" s="944" t="s">
        <v>420</v>
      </c>
      <c r="D2398" s="943" t="s">
        <v>2</v>
      </c>
      <c r="E2398" s="945">
        <v>1</v>
      </c>
      <c r="F2398" s="945">
        <v>1</v>
      </c>
      <c r="G2398" s="946">
        <v>2500</v>
      </c>
      <c r="H2398" s="946">
        <v>2500</v>
      </c>
    </row>
    <row r="2399" spans="1:9" s="26" customFormat="1">
      <c r="A2399" s="947">
        <v>5</v>
      </c>
      <c r="B2399" s="948">
        <v>715</v>
      </c>
      <c r="C2399" s="948" t="s">
        <v>422</v>
      </c>
      <c r="D2399" s="947" t="s">
        <v>2</v>
      </c>
      <c r="E2399" s="950">
        <v>58</v>
      </c>
      <c r="F2399" s="950">
        <v>4</v>
      </c>
      <c r="G2399" s="951">
        <v>325</v>
      </c>
      <c r="H2399" s="951">
        <v>312.17</v>
      </c>
      <c r="I2399" s="18"/>
    </row>
    <row r="2400" spans="1:9">
      <c r="A2400" s="943">
        <v>5</v>
      </c>
      <c r="B2400" s="944">
        <v>718.1</v>
      </c>
      <c r="C2400" s="944" t="s">
        <v>425</v>
      </c>
      <c r="D2400" s="943" t="s">
        <v>22</v>
      </c>
      <c r="E2400" s="945">
        <v>4</v>
      </c>
      <c r="F2400" s="945">
        <v>1</v>
      </c>
      <c r="G2400" s="946">
        <v>5800</v>
      </c>
      <c r="H2400" s="946">
        <v>4703.75</v>
      </c>
    </row>
    <row r="2401" spans="1:9" s="26" customFormat="1">
      <c r="A2401" s="947">
        <v>5</v>
      </c>
      <c r="B2401" s="948">
        <v>740</v>
      </c>
      <c r="C2401" s="948" t="s">
        <v>4023</v>
      </c>
      <c r="D2401" s="947" t="s">
        <v>428</v>
      </c>
      <c r="E2401" s="949">
        <v>2388</v>
      </c>
      <c r="F2401" s="950">
        <v>22</v>
      </c>
      <c r="G2401" s="951">
        <v>3450</v>
      </c>
      <c r="H2401" s="951">
        <v>3397.54</v>
      </c>
      <c r="I2401" s="18"/>
    </row>
    <row r="2402" spans="1:9">
      <c r="A2402" s="943">
        <v>5</v>
      </c>
      <c r="B2402" s="944">
        <v>741</v>
      </c>
      <c r="C2402" s="944" t="s">
        <v>2524</v>
      </c>
      <c r="D2402" s="943" t="s">
        <v>428</v>
      </c>
      <c r="E2402" s="945">
        <v>24</v>
      </c>
      <c r="F2402" s="945">
        <v>1</v>
      </c>
      <c r="G2402" s="946">
        <v>2800</v>
      </c>
      <c r="H2402" s="946">
        <v>2800</v>
      </c>
    </row>
    <row r="2403" spans="1:9" s="26" customFormat="1">
      <c r="A2403" s="947">
        <v>5</v>
      </c>
      <c r="B2403" s="948">
        <v>747</v>
      </c>
      <c r="C2403" s="948" t="s">
        <v>429</v>
      </c>
      <c r="D2403" s="947" t="s">
        <v>22</v>
      </c>
      <c r="E2403" s="950">
        <v>3</v>
      </c>
      <c r="F2403" s="950">
        <v>3</v>
      </c>
      <c r="G2403" s="951">
        <v>13750</v>
      </c>
      <c r="H2403" s="951">
        <v>15933.33</v>
      </c>
      <c r="I2403" s="18"/>
    </row>
    <row r="2404" spans="1:9">
      <c r="A2404" s="943">
        <v>5</v>
      </c>
      <c r="B2404" s="944">
        <v>748</v>
      </c>
      <c r="C2404" s="944" t="s">
        <v>430</v>
      </c>
      <c r="D2404" s="943" t="s">
        <v>22</v>
      </c>
      <c r="E2404" s="945">
        <v>45</v>
      </c>
      <c r="F2404" s="945">
        <v>17</v>
      </c>
      <c r="G2404" s="946">
        <v>120000</v>
      </c>
      <c r="H2404" s="946">
        <v>108124.6</v>
      </c>
    </row>
    <row r="2405" spans="1:9" s="26" customFormat="1">
      <c r="A2405" s="947">
        <v>5</v>
      </c>
      <c r="B2405" s="948">
        <v>748.1</v>
      </c>
      <c r="C2405" s="948" t="s">
        <v>431</v>
      </c>
      <c r="D2405" s="947" t="s">
        <v>2</v>
      </c>
      <c r="E2405" s="950">
        <v>258</v>
      </c>
      <c r="F2405" s="950">
        <v>7</v>
      </c>
      <c r="G2405" s="951">
        <v>350</v>
      </c>
      <c r="H2405" s="951">
        <v>727.22</v>
      </c>
      <c r="I2405" s="18"/>
    </row>
    <row r="2406" spans="1:9">
      <c r="A2406" s="943">
        <v>5</v>
      </c>
      <c r="B2406" s="944">
        <v>751</v>
      </c>
      <c r="C2406" s="944" t="s">
        <v>3902</v>
      </c>
      <c r="D2406" s="943" t="s">
        <v>4</v>
      </c>
      <c r="E2406" s="952">
        <v>32365</v>
      </c>
      <c r="F2406" s="945">
        <v>17</v>
      </c>
      <c r="G2406" s="946">
        <v>80</v>
      </c>
      <c r="H2406" s="946">
        <v>82.07</v>
      </c>
    </row>
    <row r="2407" spans="1:9" s="26" customFormat="1">
      <c r="A2407" s="947">
        <v>5</v>
      </c>
      <c r="B2407" s="948">
        <v>751.1</v>
      </c>
      <c r="C2407" s="948" t="s">
        <v>4004</v>
      </c>
      <c r="D2407" s="947" t="s">
        <v>4</v>
      </c>
      <c r="E2407" s="949">
        <v>9830</v>
      </c>
      <c r="F2407" s="950">
        <v>7</v>
      </c>
      <c r="G2407" s="951">
        <v>87</v>
      </c>
      <c r="H2407" s="951">
        <v>86.21</v>
      </c>
      <c r="I2407" s="18"/>
    </row>
    <row r="2408" spans="1:9">
      <c r="A2408" s="943">
        <v>5</v>
      </c>
      <c r="B2408" s="944">
        <v>751.7</v>
      </c>
      <c r="C2408" s="944" t="s">
        <v>4005</v>
      </c>
      <c r="D2408" s="943" t="s">
        <v>4</v>
      </c>
      <c r="E2408" s="952">
        <v>1895</v>
      </c>
      <c r="F2408" s="945">
        <v>4</v>
      </c>
      <c r="G2408" s="946">
        <v>95</v>
      </c>
      <c r="H2408" s="946">
        <v>90.53</v>
      </c>
    </row>
    <row r="2409" spans="1:9" s="26" customFormat="1">
      <c r="A2409" s="947">
        <v>5</v>
      </c>
      <c r="B2409" s="948">
        <v>755.35</v>
      </c>
      <c r="C2409" s="948" t="s">
        <v>1428</v>
      </c>
      <c r="D2409" s="947" t="s">
        <v>22</v>
      </c>
      <c r="E2409" s="950">
        <v>5</v>
      </c>
      <c r="F2409" s="950">
        <v>1</v>
      </c>
      <c r="G2409" s="951">
        <v>11475</v>
      </c>
      <c r="H2409" s="951">
        <v>8590</v>
      </c>
      <c r="I2409" s="18"/>
    </row>
    <row r="2410" spans="1:9">
      <c r="A2410" s="943">
        <v>5</v>
      </c>
      <c r="B2410" s="944">
        <v>755.45</v>
      </c>
      <c r="C2410" s="944" t="s">
        <v>1429</v>
      </c>
      <c r="D2410" s="943" t="s">
        <v>1</v>
      </c>
      <c r="E2410" s="945">
        <v>255</v>
      </c>
      <c r="F2410" s="945">
        <v>2</v>
      </c>
      <c r="G2410" s="946">
        <v>100</v>
      </c>
      <c r="H2410" s="946">
        <v>101.43</v>
      </c>
    </row>
    <row r="2411" spans="1:9" s="26" customFormat="1">
      <c r="A2411" s="947">
        <v>5</v>
      </c>
      <c r="B2411" s="948">
        <v>755.75</v>
      </c>
      <c r="C2411" s="948" t="s">
        <v>1430</v>
      </c>
      <c r="D2411" s="947" t="s">
        <v>24</v>
      </c>
      <c r="E2411" s="950">
        <v>803</v>
      </c>
      <c r="F2411" s="950">
        <v>2</v>
      </c>
      <c r="G2411" s="951">
        <v>275</v>
      </c>
      <c r="H2411" s="951">
        <v>210</v>
      </c>
      <c r="I2411" s="18"/>
    </row>
    <row r="2412" spans="1:9">
      <c r="A2412" s="943">
        <v>5</v>
      </c>
      <c r="B2412" s="944">
        <v>755.76</v>
      </c>
      <c r="C2412" s="944" t="s">
        <v>1431</v>
      </c>
      <c r="D2412" s="943" t="s">
        <v>22</v>
      </c>
      <c r="E2412" s="945">
        <v>9</v>
      </c>
      <c r="F2412" s="945">
        <v>2</v>
      </c>
      <c r="G2412" s="946">
        <v>8750</v>
      </c>
      <c r="H2412" s="946">
        <v>8777.7800000000007</v>
      </c>
    </row>
    <row r="2413" spans="1:9" s="26" customFormat="1">
      <c r="A2413" s="947">
        <v>5</v>
      </c>
      <c r="B2413" s="948">
        <v>756</v>
      </c>
      <c r="C2413" s="948" t="s">
        <v>432</v>
      </c>
      <c r="D2413" s="947" t="s">
        <v>22</v>
      </c>
      <c r="E2413" s="950">
        <v>37</v>
      </c>
      <c r="F2413" s="950">
        <v>12</v>
      </c>
      <c r="G2413" s="951">
        <v>10000</v>
      </c>
      <c r="H2413" s="951">
        <v>9172.7800000000007</v>
      </c>
      <c r="I2413" s="18"/>
    </row>
    <row r="2414" spans="1:9">
      <c r="A2414" s="943">
        <v>5</v>
      </c>
      <c r="B2414" s="944">
        <v>760</v>
      </c>
      <c r="C2414" s="944" t="s">
        <v>433</v>
      </c>
      <c r="D2414" s="943" t="s">
        <v>4</v>
      </c>
      <c r="E2414" s="952">
        <v>1440</v>
      </c>
      <c r="F2414" s="945">
        <v>1</v>
      </c>
      <c r="G2414" s="946">
        <v>100</v>
      </c>
      <c r="H2414" s="946">
        <v>105.75</v>
      </c>
    </row>
    <row r="2415" spans="1:9" s="26" customFormat="1">
      <c r="A2415" s="947">
        <v>5</v>
      </c>
      <c r="B2415" s="948">
        <v>765</v>
      </c>
      <c r="C2415" s="948" t="s">
        <v>34</v>
      </c>
      <c r="D2415" s="947" t="s">
        <v>1</v>
      </c>
      <c r="E2415" s="949">
        <v>208585</v>
      </c>
      <c r="F2415" s="950">
        <v>15</v>
      </c>
      <c r="G2415" s="951">
        <v>3.5</v>
      </c>
      <c r="H2415" s="951">
        <v>3.38</v>
      </c>
      <c r="I2415" s="18"/>
    </row>
    <row r="2416" spans="1:9">
      <c r="A2416" s="943">
        <v>5</v>
      </c>
      <c r="B2416" s="944">
        <v>767.12099999999998</v>
      </c>
      <c r="C2416" s="944" t="s">
        <v>1436</v>
      </c>
      <c r="D2416" s="943" t="s">
        <v>17</v>
      </c>
      <c r="E2416" s="952">
        <v>128890</v>
      </c>
      <c r="F2416" s="945">
        <v>16</v>
      </c>
      <c r="G2416" s="946">
        <v>8.18</v>
      </c>
      <c r="H2416" s="946">
        <v>8.5399999999999991</v>
      </c>
    </row>
    <row r="2417" spans="1:9" s="26" customFormat="1">
      <c r="A2417" s="947">
        <v>5</v>
      </c>
      <c r="B2417" s="948">
        <v>767.2</v>
      </c>
      <c r="C2417" s="948" t="s">
        <v>438</v>
      </c>
      <c r="D2417" s="947" t="s">
        <v>1</v>
      </c>
      <c r="E2417" s="950">
        <v>675</v>
      </c>
      <c r="F2417" s="950">
        <v>1</v>
      </c>
      <c r="G2417" s="951">
        <v>3</v>
      </c>
      <c r="H2417" s="951">
        <v>2.67</v>
      </c>
      <c r="I2417" s="18"/>
    </row>
    <row r="2418" spans="1:9">
      <c r="A2418" s="943">
        <v>5</v>
      </c>
      <c r="B2418" s="944">
        <v>767.6</v>
      </c>
      <c r="C2418" s="944" t="s">
        <v>441</v>
      </c>
      <c r="D2418" s="943" t="s">
        <v>4</v>
      </c>
      <c r="E2418" s="952">
        <v>1287</v>
      </c>
      <c r="F2418" s="945">
        <v>9</v>
      </c>
      <c r="G2418" s="946">
        <v>100</v>
      </c>
      <c r="H2418" s="946">
        <v>103.66</v>
      </c>
    </row>
    <row r="2419" spans="1:9" s="26" customFormat="1">
      <c r="A2419" s="947">
        <v>5</v>
      </c>
      <c r="B2419" s="948">
        <v>767.9</v>
      </c>
      <c r="C2419" s="948" t="s">
        <v>1437</v>
      </c>
      <c r="D2419" s="947" t="s">
        <v>1</v>
      </c>
      <c r="E2419" s="949">
        <v>2400</v>
      </c>
      <c r="F2419" s="950">
        <v>1</v>
      </c>
      <c r="G2419" s="951">
        <v>6.5</v>
      </c>
      <c r="H2419" s="951">
        <v>6.2</v>
      </c>
      <c r="I2419" s="18"/>
    </row>
    <row r="2420" spans="1:9">
      <c r="A2420" s="943">
        <v>5</v>
      </c>
      <c r="B2420" s="944">
        <v>769</v>
      </c>
      <c r="C2420" s="944" t="s">
        <v>443</v>
      </c>
      <c r="D2420" s="943" t="s">
        <v>17</v>
      </c>
      <c r="E2420" s="952">
        <v>100080</v>
      </c>
      <c r="F2420" s="945">
        <v>8</v>
      </c>
      <c r="G2420" s="946">
        <v>10</v>
      </c>
      <c r="H2420" s="946">
        <v>10.31</v>
      </c>
    </row>
    <row r="2421" spans="1:9" s="26" customFormat="1">
      <c r="A2421" s="947">
        <v>5</v>
      </c>
      <c r="B2421" s="948">
        <v>773.22400000000005</v>
      </c>
      <c r="C2421" s="948" t="s">
        <v>1471</v>
      </c>
      <c r="D2421" s="947" t="s">
        <v>2</v>
      </c>
      <c r="E2421" s="950">
        <v>6</v>
      </c>
      <c r="F2421" s="950">
        <v>1</v>
      </c>
      <c r="G2421" s="951">
        <v>660</v>
      </c>
      <c r="H2421" s="951">
        <v>660</v>
      </c>
      <c r="I2421" s="18"/>
    </row>
    <row r="2422" spans="1:9">
      <c r="A2422" s="943">
        <v>5</v>
      </c>
      <c r="B2422" s="944">
        <v>775.43700000000001</v>
      </c>
      <c r="C2422" s="944" t="s">
        <v>4070</v>
      </c>
      <c r="D2422" s="943" t="s">
        <v>2</v>
      </c>
      <c r="E2422" s="945">
        <v>18</v>
      </c>
      <c r="F2422" s="945">
        <v>1</v>
      </c>
      <c r="G2422" s="946">
        <v>850</v>
      </c>
      <c r="H2422" s="946">
        <v>862.5</v>
      </c>
    </row>
    <row r="2423" spans="1:9" s="26" customFormat="1">
      <c r="A2423" s="947">
        <v>5</v>
      </c>
      <c r="B2423" s="948">
        <v>776.52300000000002</v>
      </c>
      <c r="C2423" s="948" t="s">
        <v>4012</v>
      </c>
      <c r="D2423" s="947" t="s">
        <v>2</v>
      </c>
      <c r="E2423" s="950">
        <v>62</v>
      </c>
      <c r="F2423" s="950">
        <v>2</v>
      </c>
      <c r="G2423" s="951">
        <v>850</v>
      </c>
      <c r="H2423" s="951">
        <v>794.75</v>
      </c>
      <c r="I2423" s="18"/>
    </row>
    <row r="2424" spans="1:9">
      <c r="A2424" s="943">
        <v>5</v>
      </c>
      <c r="B2424" s="944">
        <v>776.524</v>
      </c>
      <c r="C2424" s="944" t="s">
        <v>4071</v>
      </c>
      <c r="D2424" s="943" t="s">
        <v>2</v>
      </c>
      <c r="E2424" s="945">
        <v>51</v>
      </c>
      <c r="F2424" s="945">
        <v>1</v>
      </c>
      <c r="G2424" s="946">
        <v>825</v>
      </c>
      <c r="H2424" s="946">
        <v>825</v>
      </c>
    </row>
    <row r="2425" spans="1:9" s="26" customFormat="1">
      <c r="A2425" s="947">
        <v>5</v>
      </c>
      <c r="B2425" s="948">
        <v>776.54300000000001</v>
      </c>
      <c r="C2425" s="948" t="s">
        <v>4072</v>
      </c>
      <c r="D2425" s="947" t="s">
        <v>2</v>
      </c>
      <c r="E2425" s="950">
        <v>13</v>
      </c>
      <c r="F2425" s="950">
        <v>2</v>
      </c>
      <c r="G2425" s="951">
        <v>900</v>
      </c>
      <c r="H2425" s="951">
        <v>925</v>
      </c>
      <c r="I2425" s="18"/>
    </row>
    <row r="2426" spans="1:9">
      <c r="A2426" s="943">
        <v>5</v>
      </c>
      <c r="B2426" s="944">
        <v>777.32799999999997</v>
      </c>
      <c r="C2426" s="944" t="s">
        <v>4046</v>
      </c>
      <c r="D2426" s="943" t="s">
        <v>2</v>
      </c>
      <c r="E2426" s="945">
        <v>55</v>
      </c>
      <c r="F2426" s="945">
        <v>3</v>
      </c>
      <c r="G2426" s="946">
        <v>1138</v>
      </c>
      <c r="H2426" s="946">
        <v>1228.46</v>
      </c>
    </row>
    <row r="2427" spans="1:9" s="26" customFormat="1">
      <c r="A2427" s="947">
        <v>5</v>
      </c>
      <c r="B2427" s="948">
        <v>777.44200000000001</v>
      </c>
      <c r="C2427" s="948" t="s">
        <v>1480</v>
      </c>
      <c r="D2427" s="947" t="s">
        <v>2</v>
      </c>
      <c r="E2427" s="950">
        <v>20</v>
      </c>
      <c r="F2427" s="950">
        <v>1</v>
      </c>
      <c r="G2427" s="951">
        <v>660</v>
      </c>
      <c r="H2427" s="951">
        <v>695.25</v>
      </c>
      <c r="I2427" s="18"/>
    </row>
    <row r="2428" spans="1:9">
      <c r="A2428" s="943">
        <v>5</v>
      </c>
      <c r="B2428" s="944">
        <v>777.673</v>
      </c>
      <c r="C2428" s="944" t="s">
        <v>4006</v>
      </c>
      <c r="D2428" s="943" t="s">
        <v>2</v>
      </c>
      <c r="E2428" s="945">
        <v>3</v>
      </c>
      <c r="F2428" s="945">
        <v>1</v>
      </c>
      <c r="G2428" s="946">
        <v>1150</v>
      </c>
      <c r="H2428" s="946">
        <v>1150</v>
      </c>
    </row>
    <row r="2429" spans="1:9" s="26" customFormat="1">
      <c r="A2429" s="947">
        <v>5</v>
      </c>
      <c r="B2429" s="948">
        <v>778.16</v>
      </c>
      <c r="C2429" s="948" t="s">
        <v>4048</v>
      </c>
      <c r="D2429" s="947" t="s">
        <v>2</v>
      </c>
      <c r="E2429" s="950">
        <v>24</v>
      </c>
      <c r="F2429" s="950">
        <v>1</v>
      </c>
      <c r="G2429" s="951">
        <v>200</v>
      </c>
      <c r="H2429" s="951">
        <v>216.67</v>
      </c>
      <c r="I2429" s="18"/>
    </row>
    <row r="2430" spans="1:9">
      <c r="A2430" s="943">
        <v>5</v>
      </c>
      <c r="B2430" s="944">
        <v>781.28399999999999</v>
      </c>
      <c r="C2430" s="944" t="s">
        <v>4024</v>
      </c>
      <c r="D2430" s="943" t="s">
        <v>2</v>
      </c>
      <c r="E2430" s="945">
        <v>36</v>
      </c>
      <c r="F2430" s="945">
        <v>1</v>
      </c>
      <c r="G2430" s="946">
        <v>550</v>
      </c>
      <c r="H2430" s="946">
        <v>478.13</v>
      </c>
    </row>
    <row r="2431" spans="1:9" s="26" customFormat="1">
      <c r="A2431" s="947">
        <v>5</v>
      </c>
      <c r="B2431" s="948">
        <v>783.03599999999994</v>
      </c>
      <c r="C2431" s="948" t="s">
        <v>4054</v>
      </c>
      <c r="D2431" s="947" t="s">
        <v>2</v>
      </c>
      <c r="E2431" s="950">
        <v>9</v>
      </c>
      <c r="F2431" s="950">
        <v>1</v>
      </c>
      <c r="G2431" s="951">
        <v>500</v>
      </c>
      <c r="H2431" s="951">
        <v>536.66999999999996</v>
      </c>
      <c r="I2431" s="18"/>
    </row>
    <row r="2432" spans="1:9">
      <c r="A2432" s="943">
        <v>5</v>
      </c>
      <c r="B2432" s="944">
        <v>783.03899999999999</v>
      </c>
      <c r="C2432" s="944" t="s">
        <v>4055</v>
      </c>
      <c r="D2432" s="943" t="s">
        <v>2</v>
      </c>
      <c r="E2432" s="945">
        <v>8</v>
      </c>
      <c r="F2432" s="945">
        <v>2</v>
      </c>
      <c r="G2432" s="946">
        <v>1270</v>
      </c>
      <c r="H2432" s="946">
        <v>1270</v>
      </c>
    </row>
    <row r="2433" spans="1:9" s="26" customFormat="1">
      <c r="A2433" s="947">
        <v>5</v>
      </c>
      <c r="B2433" s="948">
        <v>783.46699999999998</v>
      </c>
      <c r="C2433" s="948" t="s">
        <v>463</v>
      </c>
      <c r="D2433" s="947" t="s">
        <v>2</v>
      </c>
      <c r="E2433" s="950">
        <v>54</v>
      </c>
      <c r="F2433" s="950">
        <v>3</v>
      </c>
      <c r="G2433" s="951">
        <v>1000</v>
      </c>
      <c r="H2433" s="951">
        <v>999.38</v>
      </c>
      <c r="I2433" s="18"/>
    </row>
    <row r="2434" spans="1:9">
      <c r="A2434" s="943">
        <v>5</v>
      </c>
      <c r="B2434" s="944">
        <v>783.64499999999998</v>
      </c>
      <c r="C2434" s="944" t="s">
        <v>4073</v>
      </c>
      <c r="D2434" s="943" t="s">
        <v>2</v>
      </c>
      <c r="E2434" s="945">
        <v>3</v>
      </c>
      <c r="F2434" s="945">
        <v>1</v>
      </c>
      <c r="G2434" s="946">
        <v>850</v>
      </c>
      <c r="H2434" s="946">
        <v>858.33</v>
      </c>
    </row>
    <row r="2435" spans="1:9" s="26" customFormat="1">
      <c r="A2435" s="947">
        <v>5</v>
      </c>
      <c r="B2435" s="948">
        <v>789.33299999999997</v>
      </c>
      <c r="C2435" s="948" t="s">
        <v>4015</v>
      </c>
      <c r="D2435" s="947" t="s">
        <v>2</v>
      </c>
      <c r="E2435" s="950">
        <v>56</v>
      </c>
      <c r="F2435" s="950">
        <v>2</v>
      </c>
      <c r="G2435" s="951">
        <v>160</v>
      </c>
      <c r="H2435" s="951">
        <v>159.47999999999999</v>
      </c>
      <c r="I2435" s="18"/>
    </row>
    <row r="2436" spans="1:9">
      <c r="A2436" s="943">
        <v>5</v>
      </c>
      <c r="B2436" s="944">
        <v>789.43299999999999</v>
      </c>
      <c r="C2436" s="944" t="s">
        <v>4057</v>
      </c>
      <c r="D2436" s="943" t="s">
        <v>2</v>
      </c>
      <c r="E2436" s="945">
        <v>10</v>
      </c>
      <c r="F2436" s="945">
        <v>1</v>
      </c>
      <c r="G2436" s="946">
        <v>135</v>
      </c>
      <c r="H2436" s="946">
        <v>135</v>
      </c>
    </row>
    <row r="2437" spans="1:9" s="26" customFormat="1">
      <c r="A2437" s="947">
        <v>5</v>
      </c>
      <c r="B2437" s="948">
        <v>793.44500000000005</v>
      </c>
      <c r="C2437" s="948" t="s">
        <v>4060</v>
      </c>
      <c r="D2437" s="947" t="s">
        <v>2</v>
      </c>
      <c r="E2437" s="950">
        <v>14</v>
      </c>
      <c r="F2437" s="950">
        <v>1</v>
      </c>
      <c r="G2437" s="951">
        <v>110</v>
      </c>
      <c r="H2437" s="951">
        <v>110</v>
      </c>
      <c r="I2437" s="18"/>
    </row>
    <row r="2438" spans="1:9">
      <c r="A2438" s="943">
        <v>5</v>
      </c>
      <c r="B2438" s="944">
        <v>795.01300000000003</v>
      </c>
      <c r="C2438" s="944" t="s">
        <v>4027</v>
      </c>
      <c r="D2438" s="943" t="s">
        <v>2</v>
      </c>
      <c r="E2438" s="945">
        <v>132</v>
      </c>
      <c r="F2438" s="945">
        <v>1</v>
      </c>
      <c r="G2438" s="946">
        <v>85</v>
      </c>
      <c r="H2438" s="946">
        <v>81.63</v>
      </c>
    </row>
    <row r="2439" spans="1:9" s="26" customFormat="1">
      <c r="A2439" s="947">
        <v>5</v>
      </c>
      <c r="B2439" s="948">
        <v>795.15300000000002</v>
      </c>
      <c r="C2439" s="948" t="s">
        <v>4062</v>
      </c>
      <c r="D2439" s="947" t="s">
        <v>2</v>
      </c>
      <c r="E2439" s="950">
        <v>4</v>
      </c>
      <c r="F2439" s="950">
        <v>1</v>
      </c>
      <c r="G2439" s="951">
        <v>114</v>
      </c>
      <c r="H2439" s="951">
        <v>122.62</v>
      </c>
      <c r="I2439" s="18"/>
    </row>
    <row r="2440" spans="1:9">
      <c r="A2440" s="943">
        <v>5</v>
      </c>
      <c r="B2440" s="944">
        <v>795.15700000000004</v>
      </c>
      <c r="C2440" s="944" t="s">
        <v>4063</v>
      </c>
      <c r="D2440" s="943" t="s">
        <v>2</v>
      </c>
      <c r="E2440" s="945">
        <v>16</v>
      </c>
      <c r="F2440" s="945">
        <v>1</v>
      </c>
      <c r="G2440" s="946">
        <v>114</v>
      </c>
      <c r="H2440" s="946">
        <v>122.62</v>
      </c>
    </row>
    <row r="2441" spans="1:9" s="26" customFormat="1">
      <c r="A2441" s="947">
        <v>5</v>
      </c>
      <c r="B2441" s="948">
        <v>801.22</v>
      </c>
      <c r="C2441" s="948" t="s">
        <v>3054</v>
      </c>
      <c r="D2441" s="947" t="s">
        <v>17</v>
      </c>
      <c r="E2441" s="949">
        <v>16620</v>
      </c>
      <c r="F2441" s="950">
        <v>1</v>
      </c>
      <c r="G2441" s="951">
        <v>60</v>
      </c>
      <c r="H2441" s="951">
        <v>61.67</v>
      </c>
      <c r="I2441" s="18"/>
    </row>
    <row r="2442" spans="1:9">
      <c r="A2442" s="943">
        <v>5</v>
      </c>
      <c r="B2442" s="944">
        <v>801.24</v>
      </c>
      <c r="C2442" s="944" t="s">
        <v>3055</v>
      </c>
      <c r="D2442" s="943" t="s">
        <v>17</v>
      </c>
      <c r="E2442" s="952">
        <v>12400</v>
      </c>
      <c r="F2442" s="945">
        <v>1</v>
      </c>
      <c r="G2442" s="946">
        <v>70</v>
      </c>
      <c r="H2442" s="946">
        <v>62.5</v>
      </c>
    </row>
    <row r="2443" spans="1:9" s="26" customFormat="1">
      <c r="A2443" s="947">
        <v>5</v>
      </c>
      <c r="B2443" s="948">
        <v>801.32</v>
      </c>
      <c r="C2443" s="948" t="s">
        <v>483</v>
      </c>
      <c r="D2443" s="947" t="s">
        <v>17</v>
      </c>
      <c r="E2443" s="949">
        <v>1200</v>
      </c>
      <c r="F2443" s="950">
        <v>1</v>
      </c>
      <c r="G2443" s="951">
        <v>99</v>
      </c>
      <c r="H2443" s="951">
        <v>94.5</v>
      </c>
      <c r="I2443" s="18"/>
    </row>
    <row r="2444" spans="1:9">
      <c r="A2444" s="943">
        <v>5</v>
      </c>
      <c r="B2444" s="944">
        <v>804.2</v>
      </c>
      <c r="C2444" s="944" t="s">
        <v>487</v>
      </c>
      <c r="D2444" s="943" t="s">
        <v>17</v>
      </c>
      <c r="E2444" s="952">
        <v>23665</v>
      </c>
      <c r="F2444" s="945">
        <v>6</v>
      </c>
      <c r="G2444" s="946">
        <v>55</v>
      </c>
      <c r="H2444" s="946">
        <v>51.95</v>
      </c>
    </row>
    <row r="2445" spans="1:9" s="26" customFormat="1">
      <c r="A2445" s="947">
        <v>5</v>
      </c>
      <c r="B2445" s="948">
        <v>804.3</v>
      </c>
      <c r="C2445" s="948" t="s">
        <v>488</v>
      </c>
      <c r="D2445" s="947" t="s">
        <v>17</v>
      </c>
      <c r="E2445" s="949">
        <v>51683</v>
      </c>
      <c r="F2445" s="950">
        <v>13</v>
      </c>
      <c r="G2445" s="951">
        <v>75</v>
      </c>
      <c r="H2445" s="951">
        <v>73.33</v>
      </c>
      <c r="I2445" s="18"/>
    </row>
    <row r="2446" spans="1:9">
      <c r="A2446" s="943">
        <v>5</v>
      </c>
      <c r="B2446" s="944">
        <v>806.1</v>
      </c>
      <c r="C2446" s="944" t="s">
        <v>1441</v>
      </c>
      <c r="D2446" s="943" t="s">
        <v>17</v>
      </c>
      <c r="E2446" s="952">
        <v>6800</v>
      </c>
      <c r="F2446" s="945">
        <v>1</v>
      </c>
      <c r="G2446" s="946">
        <v>40</v>
      </c>
      <c r="H2446" s="946">
        <v>35.5</v>
      </c>
    </row>
    <row r="2447" spans="1:9" s="26" customFormat="1">
      <c r="A2447" s="947">
        <v>5</v>
      </c>
      <c r="B2447" s="948">
        <v>806.2</v>
      </c>
      <c r="C2447" s="948" t="s">
        <v>490</v>
      </c>
      <c r="D2447" s="947" t="s">
        <v>17</v>
      </c>
      <c r="E2447" s="950">
        <v>600</v>
      </c>
      <c r="F2447" s="950">
        <v>1</v>
      </c>
      <c r="G2447" s="951">
        <v>64</v>
      </c>
      <c r="H2447" s="951">
        <v>62</v>
      </c>
      <c r="I2447" s="18"/>
    </row>
    <row r="2448" spans="1:9">
      <c r="A2448" s="943">
        <v>5</v>
      </c>
      <c r="B2448" s="944">
        <v>806.3</v>
      </c>
      <c r="C2448" s="944" t="s">
        <v>491</v>
      </c>
      <c r="D2448" s="943" t="s">
        <v>17</v>
      </c>
      <c r="E2448" s="945">
        <v>820</v>
      </c>
      <c r="F2448" s="945">
        <v>2</v>
      </c>
      <c r="G2448" s="946">
        <v>125</v>
      </c>
      <c r="H2448" s="946">
        <v>116</v>
      </c>
    </row>
    <row r="2449" spans="1:9" s="26" customFormat="1">
      <c r="A2449" s="947">
        <v>5</v>
      </c>
      <c r="B2449" s="948">
        <v>811.22</v>
      </c>
      <c r="C2449" s="948" t="s">
        <v>496</v>
      </c>
      <c r="D2449" s="947" t="s">
        <v>2</v>
      </c>
      <c r="E2449" s="950">
        <v>238</v>
      </c>
      <c r="F2449" s="950">
        <v>9</v>
      </c>
      <c r="G2449" s="951">
        <v>2500</v>
      </c>
      <c r="H2449" s="951">
        <v>2441.52</v>
      </c>
      <c r="I2449" s="18"/>
    </row>
    <row r="2450" spans="1:9">
      <c r="A2450" s="943">
        <v>5</v>
      </c>
      <c r="B2450" s="944">
        <v>811.27</v>
      </c>
      <c r="C2450" s="944" t="s">
        <v>499</v>
      </c>
      <c r="D2450" s="943" t="s">
        <v>2</v>
      </c>
      <c r="E2450" s="945">
        <v>259</v>
      </c>
      <c r="F2450" s="945">
        <v>2</v>
      </c>
      <c r="G2450" s="946">
        <v>2500</v>
      </c>
      <c r="H2450" s="946">
        <v>2263.84</v>
      </c>
    </row>
    <row r="2451" spans="1:9" s="26" customFormat="1">
      <c r="A2451" s="947">
        <v>5</v>
      </c>
      <c r="B2451" s="948">
        <v>811.31</v>
      </c>
      <c r="C2451" s="948" t="s">
        <v>501</v>
      </c>
      <c r="D2451" s="947" t="s">
        <v>2</v>
      </c>
      <c r="E2451" s="950">
        <v>282</v>
      </c>
      <c r="F2451" s="950">
        <v>8</v>
      </c>
      <c r="G2451" s="951">
        <v>1737</v>
      </c>
      <c r="H2451" s="951">
        <v>1665.83</v>
      </c>
      <c r="I2451" s="18"/>
    </row>
    <row r="2452" spans="1:9">
      <c r="A2452" s="943">
        <v>5</v>
      </c>
      <c r="B2452" s="944">
        <v>811.35</v>
      </c>
      <c r="C2452" s="944" t="s">
        <v>502</v>
      </c>
      <c r="D2452" s="943" t="s">
        <v>2</v>
      </c>
      <c r="E2452" s="945">
        <v>57</v>
      </c>
      <c r="F2452" s="945">
        <v>1</v>
      </c>
      <c r="G2452" s="946">
        <v>310</v>
      </c>
      <c r="H2452" s="946">
        <v>253.33</v>
      </c>
    </row>
    <row r="2453" spans="1:9" s="26" customFormat="1">
      <c r="A2453" s="947">
        <v>5</v>
      </c>
      <c r="B2453" s="948">
        <v>811.36</v>
      </c>
      <c r="C2453" s="948" t="s">
        <v>503</v>
      </c>
      <c r="D2453" s="947" t="s">
        <v>2</v>
      </c>
      <c r="E2453" s="950">
        <v>12</v>
      </c>
      <c r="F2453" s="950">
        <v>1</v>
      </c>
      <c r="G2453" s="951">
        <v>780</v>
      </c>
      <c r="H2453" s="951">
        <v>793.33</v>
      </c>
      <c r="I2453" s="18"/>
    </row>
    <row r="2454" spans="1:9">
      <c r="A2454" s="943">
        <v>5</v>
      </c>
      <c r="B2454" s="944">
        <v>811.37</v>
      </c>
      <c r="C2454" s="944" t="s">
        <v>504</v>
      </c>
      <c r="D2454" s="943" t="s">
        <v>2</v>
      </c>
      <c r="E2454" s="945">
        <v>69</v>
      </c>
      <c r="F2454" s="945">
        <v>2</v>
      </c>
      <c r="G2454" s="946">
        <v>355</v>
      </c>
      <c r="H2454" s="946">
        <v>343.33</v>
      </c>
    </row>
    <row r="2455" spans="1:9" s="26" customFormat="1">
      <c r="A2455" s="947">
        <v>5</v>
      </c>
      <c r="B2455" s="948">
        <v>812.09</v>
      </c>
      <c r="C2455" s="948" t="s">
        <v>506</v>
      </c>
      <c r="D2455" s="947" t="s">
        <v>2</v>
      </c>
      <c r="E2455" s="950">
        <v>474</v>
      </c>
      <c r="F2455" s="950">
        <v>3</v>
      </c>
      <c r="G2455" s="951">
        <v>3633.73</v>
      </c>
      <c r="H2455" s="951">
        <v>3524.83</v>
      </c>
      <c r="I2455" s="18"/>
    </row>
    <row r="2456" spans="1:9">
      <c r="A2456" s="943">
        <v>5</v>
      </c>
      <c r="B2456" s="944">
        <v>812.11</v>
      </c>
      <c r="C2456" s="944" t="s">
        <v>3110</v>
      </c>
      <c r="D2456" s="943" t="s">
        <v>2</v>
      </c>
      <c r="E2456" s="945">
        <v>7</v>
      </c>
      <c r="F2456" s="945">
        <v>1</v>
      </c>
      <c r="G2456" s="946">
        <v>4450</v>
      </c>
      <c r="H2456" s="946">
        <v>4450</v>
      </c>
    </row>
    <row r="2457" spans="1:9" s="26" customFormat="1">
      <c r="A2457" s="947">
        <v>5</v>
      </c>
      <c r="B2457" s="948">
        <v>812.13</v>
      </c>
      <c r="C2457" s="948" t="s">
        <v>508</v>
      </c>
      <c r="D2457" s="947" t="s">
        <v>2</v>
      </c>
      <c r="E2457" s="950">
        <v>64</v>
      </c>
      <c r="F2457" s="950">
        <v>1</v>
      </c>
      <c r="G2457" s="951">
        <v>3297.5</v>
      </c>
      <c r="H2457" s="951">
        <v>3243.25</v>
      </c>
      <c r="I2457" s="18"/>
    </row>
    <row r="2458" spans="1:9">
      <c r="A2458" s="943">
        <v>5</v>
      </c>
      <c r="B2458" s="944">
        <v>812.2</v>
      </c>
      <c r="C2458" s="944" t="s">
        <v>509</v>
      </c>
      <c r="D2458" s="943" t="s">
        <v>2</v>
      </c>
      <c r="E2458" s="945">
        <v>6</v>
      </c>
      <c r="F2458" s="945">
        <v>1</v>
      </c>
      <c r="G2458" s="946">
        <v>8000</v>
      </c>
      <c r="H2458" s="946">
        <v>8500</v>
      </c>
    </row>
    <row r="2459" spans="1:9" s="26" customFormat="1">
      <c r="A2459" s="947">
        <v>5</v>
      </c>
      <c r="B2459" s="948">
        <v>812.3</v>
      </c>
      <c r="C2459" s="948" t="s">
        <v>3113</v>
      </c>
      <c r="D2459" s="947" t="s">
        <v>2</v>
      </c>
      <c r="E2459" s="950">
        <v>8</v>
      </c>
      <c r="F2459" s="950">
        <v>1</v>
      </c>
      <c r="G2459" s="951">
        <v>3536</v>
      </c>
      <c r="H2459" s="951">
        <v>3168</v>
      </c>
      <c r="I2459" s="18"/>
    </row>
    <row r="2460" spans="1:9">
      <c r="A2460" s="943">
        <v>5</v>
      </c>
      <c r="B2460" s="944">
        <v>812.31</v>
      </c>
      <c r="C2460" s="944" t="s">
        <v>3114</v>
      </c>
      <c r="D2460" s="943" t="s">
        <v>2</v>
      </c>
      <c r="E2460" s="945">
        <v>4</v>
      </c>
      <c r="F2460" s="945">
        <v>1</v>
      </c>
      <c r="G2460" s="946">
        <v>2165</v>
      </c>
      <c r="H2460" s="946">
        <v>2165</v>
      </c>
    </row>
    <row r="2461" spans="1:9" s="26" customFormat="1">
      <c r="A2461" s="947">
        <v>5</v>
      </c>
      <c r="B2461" s="948">
        <v>813.3</v>
      </c>
      <c r="C2461" s="948" t="s">
        <v>511</v>
      </c>
      <c r="D2461" s="947" t="s">
        <v>17</v>
      </c>
      <c r="E2461" s="949">
        <v>9500</v>
      </c>
      <c r="F2461" s="950">
        <v>1</v>
      </c>
      <c r="G2461" s="951">
        <v>3.1</v>
      </c>
      <c r="H2461" s="951">
        <v>3.04</v>
      </c>
      <c r="I2461" s="18"/>
    </row>
    <row r="2462" spans="1:9">
      <c r="A2462" s="943">
        <v>5</v>
      </c>
      <c r="B2462" s="944">
        <v>813.33</v>
      </c>
      <c r="C2462" s="944" t="s">
        <v>514</v>
      </c>
      <c r="D2462" s="943" t="s">
        <v>17</v>
      </c>
      <c r="E2462" s="952">
        <v>51000</v>
      </c>
      <c r="F2462" s="945">
        <v>1</v>
      </c>
      <c r="G2462" s="946">
        <v>5.2</v>
      </c>
      <c r="H2462" s="946">
        <v>4.82</v>
      </c>
    </row>
    <row r="2463" spans="1:9" s="26" customFormat="1">
      <c r="A2463" s="947">
        <v>5</v>
      </c>
      <c r="B2463" s="948">
        <v>813.4</v>
      </c>
      <c r="C2463" s="948" t="s">
        <v>64</v>
      </c>
      <c r="D2463" s="947" t="s">
        <v>17</v>
      </c>
      <c r="E2463" s="949">
        <v>46630</v>
      </c>
      <c r="F2463" s="950">
        <v>2</v>
      </c>
      <c r="G2463" s="951">
        <v>4.75</v>
      </c>
      <c r="H2463" s="951">
        <v>4</v>
      </c>
      <c r="I2463" s="18"/>
    </row>
    <row r="2464" spans="1:9">
      <c r="A2464" s="943">
        <v>5</v>
      </c>
      <c r="B2464" s="944">
        <v>813.41</v>
      </c>
      <c r="C2464" s="944" t="s">
        <v>518</v>
      </c>
      <c r="D2464" s="943" t="s">
        <v>17</v>
      </c>
      <c r="E2464" s="952">
        <v>118440</v>
      </c>
      <c r="F2464" s="945">
        <v>2</v>
      </c>
      <c r="G2464" s="946">
        <v>3.25</v>
      </c>
      <c r="H2464" s="946">
        <v>2.92</v>
      </c>
    </row>
    <row r="2465" spans="1:9" s="26" customFormat="1">
      <c r="A2465" s="947">
        <v>5</v>
      </c>
      <c r="B2465" s="948">
        <v>813.42</v>
      </c>
      <c r="C2465" s="948" t="s">
        <v>519</v>
      </c>
      <c r="D2465" s="947" t="s">
        <v>17</v>
      </c>
      <c r="E2465" s="949">
        <v>208140</v>
      </c>
      <c r="F2465" s="950">
        <v>3</v>
      </c>
      <c r="G2465" s="951">
        <v>3.22</v>
      </c>
      <c r="H2465" s="951">
        <v>3.18</v>
      </c>
      <c r="I2465" s="18"/>
    </row>
    <row r="2466" spans="1:9">
      <c r="A2466" s="943">
        <v>5</v>
      </c>
      <c r="B2466" s="944">
        <v>813.43</v>
      </c>
      <c r="C2466" s="944" t="s">
        <v>65</v>
      </c>
      <c r="D2466" s="943" t="s">
        <v>17</v>
      </c>
      <c r="E2466" s="952">
        <v>168860</v>
      </c>
      <c r="F2466" s="945">
        <v>2</v>
      </c>
      <c r="G2466" s="946">
        <v>4.25</v>
      </c>
      <c r="H2466" s="946">
        <v>3.53</v>
      </c>
    </row>
    <row r="2467" spans="1:9" s="26" customFormat="1">
      <c r="A2467" s="947">
        <v>5</v>
      </c>
      <c r="B2467" s="948">
        <v>813.44</v>
      </c>
      <c r="C2467" s="948" t="s">
        <v>520</v>
      </c>
      <c r="D2467" s="947" t="s">
        <v>17</v>
      </c>
      <c r="E2467" s="949">
        <v>118560</v>
      </c>
      <c r="F2467" s="950">
        <v>2</v>
      </c>
      <c r="G2467" s="951">
        <v>4.6500000000000004</v>
      </c>
      <c r="H2467" s="951">
        <v>4.08</v>
      </c>
      <c r="I2467" s="18"/>
    </row>
    <row r="2468" spans="1:9">
      <c r="A2468" s="943">
        <v>5</v>
      </c>
      <c r="B2468" s="944">
        <v>813.45</v>
      </c>
      <c r="C2468" s="944" t="s">
        <v>3126</v>
      </c>
      <c r="D2468" s="943" t="s">
        <v>17</v>
      </c>
      <c r="E2468" s="952">
        <v>9075</v>
      </c>
      <c r="F2468" s="945">
        <v>2</v>
      </c>
      <c r="G2468" s="946">
        <v>7.5</v>
      </c>
      <c r="H2468" s="946">
        <v>8.35</v>
      </c>
    </row>
    <row r="2469" spans="1:9" s="26" customFormat="1">
      <c r="A2469" s="947">
        <v>5</v>
      </c>
      <c r="B2469" s="948">
        <v>813.6</v>
      </c>
      <c r="C2469" s="948" t="s">
        <v>522</v>
      </c>
      <c r="D2469" s="947" t="s">
        <v>22</v>
      </c>
      <c r="E2469" s="950">
        <v>8</v>
      </c>
      <c r="F2469" s="950">
        <v>3</v>
      </c>
      <c r="G2469" s="951">
        <v>23500</v>
      </c>
      <c r="H2469" s="951">
        <v>23260.85</v>
      </c>
      <c r="I2469" s="18"/>
    </row>
    <row r="2470" spans="1:9">
      <c r="A2470" s="943">
        <v>5</v>
      </c>
      <c r="B2470" s="944">
        <v>813.7</v>
      </c>
      <c r="C2470" s="944" t="s">
        <v>3135</v>
      </c>
      <c r="D2470" s="943" t="s">
        <v>17</v>
      </c>
      <c r="E2470" s="945">
        <v>9</v>
      </c>
      <c r="F2470" s="945">
        <v>1</v>
      </c>
      <c r="G2470" s="946">
        <v>200</v>
      </c>
      <c r="H2470" s="946">
        <v>191.67</v>
      </c>
    </row>
    <row r="2471" spans="1:9" s="26" customFormat="1">
      <c r="A2471" s="947">
        <v>5</v>
      </c>
      <c r="B2471" s="948">
        <v>813.72</v>
      </c>
      <c r="C2471" s="948" t="s">
        <v>523</v>
      </c>
      <c r="D2471" s="947" t="s">
        <v>2</v>
      </c>
      <c r="E2471" s="950">
        <v>11</v>
      </c>
      <c r="F2471" s="950">
        <v>2</v>
      </c>
      <c r="G2471" s="951">
        <v>310</v>
      </c>
      <c r="H2471" s="951">
        <v>327.14</v>
      </c>
      <c r="I2471" s="18"/>
    </row>
    <row r="2472" spans="1:9">
      <c r="A2472" s="943">
        <v>5</v>
      </c>
      <c r="B2472" s="944">
        <v>813.8</v>
      </c>
      <c r="C2472" s="944" t="s">
        <v>1445</v>
      </c>
      <c r="D2472" s="943" t="s">
        <v>22</v>
      </c>
      <c r="E2472" s="945">
        <v>5</v>
      </c>
      <c r="F2472" s="945">
        <v>2</v>
      </c>
      <c r="G2472" s="946">
        <v>9500</v>
      </c>
      <c r="H2472" s="946">
        <v>7640.07</v>
      </c>
    </row>
    <row r="2473" spans="1:9" s="26" customFormat="1">
      <c r="A2473" s="947">
        <v>5</v>
      </c>
      <c r="B2473" s="948">
        <v>813.81</v>
      </c>
      <c r="C2473" s="948" t="s">
        <v>525</v>
      </c>
      <c r="D2473" s="947" t="s">
        <v>22</v>
      </c>
      <c r="E2473" s="950">
        <v>5</v>
      </c>
      <c r="F2473" s="950">
        <v>1</v>
      </c>
      <c r="G2473" s="951">
        <v>6250</v>
      </c>
      <c r="H2473" s="951">
        <v>5796</v>
      </c>
      <c r="I2473" s="18"/>
    </row>
    <row r="2474" spans="1:9">
      <c r="A2474" s="943">
        <v>5</v>
      </c>
      <c r="B2474" s="944">
        <v>815.1</v>
      </c>
      <c r="C2474" s="944" t="s">
        <v>526</v>
      </c>
      <c r="D2474" s="943" t="s">
        <v>22</v>
      </c>
      <c r="E2474" s="945">
        <v>8</v>
      </c>
      <c r="F2474" s="945">
        <v>2</v>
      </c>
      <c r="G2474" s="946">
        <v>489500</v>
      </c>
      <c r="H2474" s="946">
        <v>503000</v>
      </c>
    </row>
    <row r="2475" spans="1:9" s="26" customFormat="1">
      <c r="A2475" s="947">
        <v>5</v>
      </c>
      <c r="B2475" s="948">
        <v>816.01</v>
      </c>
      <c r="C2475" s="948" t="s">
        <v>531</v>
      </c>
      <c r="D2475" s="947" t="s">
        <v>22</v>
      </c>
      <c r="E2475" s="950">
        <v>8</v>
      </c>
      <c r="F2475" s="950">
        <v>3</v>
      </c>
      <c r="G2475" s="951">
        <v>200000</v>
      </c>
      <c r="H2475" s="951">
        <v>172227.36</v>
      </c>
      <c r="I2475" s="18"/>
    </row>
    <row r="2476" spans="1:9">
      <c r="A2476" s="943">
        <v>5</v>
      </c>
      <c r="B2476" s="944">
        <v>816.02</v>
      </c>
      <c r="C2476" s="944" t="s">
        <v>532</v>
      </c>
      <c r="D2476" s="943" t="s">
        <v>22</v>
      </c>
      <c r="E2476" s="945">
        <v>10</v>
      </c>
      <c r="F2476" s="945">
        <v>4</v>
      </c>
      <c r="G2476" s="946">
        <v>35000</v>
      </c>
      <c r="H2476" s="946">
        <v>31161.5</v>
      </c>
    </row>
    <row r="2477" spans="1:9" s="26" customFormat="1">
      <c r="A2477" s="947">
        <v>5</v>
      </c>
      <c r="B2477" s="948">
        <v>816.03</v>
      </c>
      <c r="C2477" s="948" t="s">
        <v>533</v>
      </c>
      <c r="D2477" s="947" t="s">
        <v>22</v>
      </c>
      <c r="E2477" s="950">
        <v>6</v>
      </c>
      <c r="F2477" s="950">
        <v>1</v>
      </c>
      <c r="G2477" s="951">
        <v>15000</v>
      </c>
      <c r="H2477" s="951">
        <v>10587.67</v>
      </c>
      <c r="I2477" s="18"/>
    </row>
    <row r="2478" spans="1:9">
      <c r="A2478" s="943">
        <v>5</v>
      </c>
      <c r="B2478" s="944">
        <v>816.8</v>
      </c>
      <c r="C2478" s="944" t="s">
        <v>534</v>
      </c>
      <c r="D2478" s="943" t="s">
        <v>22</v>
      </c>
      <c r="E2478" s="945">
        <v>5</v>
      </c>
      <c r="F2478" s="945">
        <v>2</v>
      </c>
      <c r="G2478" s="946">
        <v>10000</v>
      </c>
      <c r="H2478" s="946">
        <v>11630</v>
      </c>
    </row>
    <row r="2479" spans="1:9" s="26" customFormat="1">
      <c r="A2479" s="947">
        <v>5</v>
      </c>
      <c r="B2479" s="948">
        <v>816.81</v>
      </c>
      <c r="C2479" s="948" t="s">
        <v>535</v>
      </c>
      <c r="D2479" s="947" t="s">
        <v>22</v>
      </c>
      <c r="E2479" s="950">
        <v>8</v>
      </c>
      <c r="F2479" s="950">
        <v>2</v>
      </c>
      <c r="G2479" s="951">
        <v>89785</v>
      </c>
      <c r="H2479" s="951">
        <v>70063.5</v>
      </c>
      <c r="I2479" s="18"/>
    </row>
    <row r="2480" spans="1:9">
      <c r="A2480" s="943">
        <v>5</v>
      </c>
      <c r="B2480" s="944">
        <v>817.2</v>
      </c>
      <c r="C2480" s="944" t="s">
        <v>3139</v>
      </c>
      <c r="D2480" s="943" t="s">
        <v>2</v>
      </c>
      <c r="E2480" s="945">
        <v>4</v>
      </c>
      <c r="F2480" s="945">
        <v>1</v>
      </c>
      <c r="G2480" s="946">
        <v>2150</v>
      </c>
      <c r="H2480" s="946">
        <v>2150</v>
      </c>
    </row>
    <row r="2481" spans="1:9" s="26" customFormat="1">
      <c r="A2481" s="947">
        <v>5</v>
      </c>
      <c r="B2481" s="948">
        <v>819.83100000000002</v>
      </c>
      <c r="C2481" s="948" t="s">
        <v>540</v>
      </c>
      <c r="D2481" s="947" t="s">
        <v>17</v>
      </c>
      <c r="E2481" s="949">
        <v>1000</v>
      </c>
      <c r="F2481" s="950">
        <v>1</v>
      </c>
      <c r="G2481" s="951">
        <v>26</v>
      </c>
      <c r="H2481" s="951">
        <v>24</v>
      </c>
      <c r="I2481" s="18"/>
    </row>
    <row r="2482" spans="1:9">
      <c r="A2482" s="943">
        <v>5</v>
      </c>
      <c r="B2482" s="944">
        <v>821.11</v>
      </c>
      <c r="C2482" s="944" t="s">
        <v>3221</v>
      </c>
      <c r="D2482" s="943" t="s">
        <v>2</v>
      </c>
      <c r="E2482" s="945">
        <v>75</v>
      </c>
      <c r="F2482" s="945">
        <v>1</v>
      </c>
      <c r="G2482" s="946">
        <v>6044.5</v>
      </c>
      <c r="H2482" s="946">
        <v>5978</v>
      </c>
    </row>
    <row r="2483" spans="1:9" s="26" customFormat="1">
      <c r="A2483" s="947">
        <v>5</v>
      </c>
      <c r="B2483" s="948">
        <v>821.12</v>
      </c>
      <c r="C2483" s="948" t="s">
        <v>3222</v>
      </c>
      <c r="D2483" s="947" t="s">
        <v>2</v>
      </c>
      <c r="E2483" s="950">
        <v>7</v>
      </c>
      <c r="F2483" s="950">
        <v>1</v>
      </c>
      <c r="G2483" s="951">
        <v>9150</v>
      </c>
      <c r="H2483" s="951">
        <v>9150</v>
      </c>
      <c r="I2483" s="18"/>
    </row>
    <row r="2484" spans="1:9">
      <c r="A2484" s="943">
        <v>5</v>
      </c>
      <c r="B2484" s="944">
        <v>821.21</v>
      </c>
      <c r="C2484" s="944" t="s">
        <v>542</v>
      </c>
      <c r="D2484" s="943" t="s">
        <v>2</v>
      </c>
      <c r="E2484" s="945">
        <v>6</v>
      </c>
      <c r="F2484" s="945">
        <v>1</v>
      </c>
      <c r="G2484" s="946">
        <v>7100</v>
      </c>
      <c r="H2484" s="946">
        <v>7243</v>
      </c>
    </row>
    <row r="2485" spans="1:9" s="26" customFormat="1">
      <c r="A2485" s="947">
        <v>5</v>
      </c>
      <c r="B2485" s="948">
        <v>823.6</v>
      </c>
      <c r="C2485" s="948" t="s">
        <v>544</v>
      </c>
      <c r="D2485" s="947" t="s">
        <v>22</v>
      </c>
      <c r="E2485" s="950">
        <v>6</v>
      </c>
      <c r="F2485" s="950">
        <v>2</v>
      </c>
      <c r="G2485" s="951">
        <v>34051.730000000003</v>
      </c>
      <c r="H2485" s="951">
        <v>30005.24</v>
      </c>
      <c r="I2485" s="18"/>
    </row>
    <row r="2486" spans="1:9">
      <c r="A2486" s="943">
        <v>5</v>
      </c>
      <c r="B2486" s="944">
        <v>823.61</v>
      </c>
      <c r="C2486" s="944" t="s">
        <v>545</v>
      </c>
      <c r="D2486" s="943" t="s">
        <v>22</v>
      </c>
      <c r="E2486" s="945">
        <v>3</v>
      </c>
      <c r="F2486" s="945">
        <v>1</v>
      </c>
      <c r="G2486" s="946">
        <v>28000</v>
      </c>
      <c r="H2486" s="946">
        <v>25500</v>
      </c>
    </row>
    <row r="2487" spans="1:9" s="26" customFormat="1">
      <c r="A2487" s="947">
        <v>5</v>
      </c>
      <c r="B2487" s="948">
        <v>823.62</v>
      </c>
      <c r="C2487" s="948" t="s">
        <v>546</v>
      </c>
      <c r="D2487" s="947" t="s">
        <v>22</v>
      </c>
      <c r="E2487" s="950">
        <v>3</v>
      </c>
      <c r="F2487" s="950">
        <v>1</v>
      </c>
      <c r="G2487" s="951">
        <v>28000</v>
      </c>
      <c r="H2487" s="951">
        <v>25500</v>
      </c>
      <c r="I2487" s="18"/>
    </row>
    <row r="2488" spans="1:9">
      <c r="A2488" s="943">
        <v>5</v>
      </c>
      <c r="B2488" s="944">
        <v>823.71</v>
      </c>
      <c r="C2488" s="944" t="s">
        <v>548</v>
      </c>
      <c r="D2488" s="943" t="s">
        <v>2</v>
      </c>
      <c r="E2488" s="945">
        <v>346</v>
      </c>
      <c r="F2488" s="945">
        <v>4</v>
      </c>
      <c r="G2488" s="946">
        <v>900</v>
      </c>
      <c r="H2488" s="946">
        <v>763.8</v>
      </c>
    </row>
    <row r="2489" spans="1:9" s="26" customFormat="1">
      <c r="A2489" s="947">
        <v>5</v>
      </c>
      <c r="B2489" s="948">
        <v>826.52</v>
      </c>
      <c r="C2489" s="948" t="s">
        <v>3302</v>
      </c>
      <c r="D2489" s="947" t="s">
        <v>2</v>
      </c>
      <c r="E2489" s="950">
        <v>6</v>
      </c>
      <c r="F2489" s="950">
        <v>1</v>
      </c>
      <c r="G2489" s="951">
        <v>1500</v>
      </c>
      <c r="H2489" s="951">
        <v>1566.67</v>
      </c>
      <c r="I2489" s="18"/>
    </row>
    <row r="2490" spans="1:9">
      <c r="A2490" s="943">
        <v>5</v>
      </c>
      <c r="B2490" s="944">
        <v>828.01</v>
      </c>
      <c r="C2490" s="944" t="s">
        <v>1521</v>
      </c>
      <c r="D2490" s="943" t="s">
        <v>3</v>
      </c>
      <c r="E2490" s="945">
        <v>100</v>
      </c>
      <c r="F2490" s="945">
        <v>1</v>
      </c>
      <c r="G2490" s="946">
        <v>20.25</v>
      </c>
      <c r="H2490" s="946">
        <v>20.25</v>
      </c>
    </row>
    <row r="2491" spans="1:9" s="26" customFormat="1">
      <c r="A2491" s="947">
        <v>5</v>
      </c>
      <c r="B2491" s="948">
        <v>828.1</v>
      </c>
      <c r="C2491" s="948" t="s">
        <v>553</v>
      </c>
      <c r="D2491" s="947" t="s">
        <v>3</v>
      </c>
      <c r="E2491" s="949">
        <v>20780</v>
      </c>
      <c r="F2491" s="950">
        <v>4</v>
      </c>
      <c r="G2491" s="951">
        <v>30</v>
      </c>
      <c r="H2491" s="951">
        <v>32.75</v>
      </c>
      <c r="I2491" s="18"/>
    </row>
    <row r="2492" spans="1:9">
      <c r="A2492" s="943">
        <v>5</v>
      </c>
      <c r="B2492" s="944">
        <v>829</v>
      </c>
      <c r="C2492" s="944" t="s">
        <v>554</v>
      </c>
      <c r="D2492" s="943" t="s">
        <v>3</v>
      </c>
      <c r="E2492" s="952">
        <v>16340</v>
      </c>
      <c r="F2492" s="945">
        <v>5</v>
      </c>
      <c r="G2492" s="946">
        <v>30</v>
      </c>
      <c r="H2492" s="946">
        <v>31.8</v>
      </c>
    </row>
    <row r="2493" spans="1:9" s="26" customFormat="1">
      <c r="A2493" s="947">
        <v>5</v>
      </c>
      <c r="B2493" s="948">
        <v>831</v>
      </c>
      <c r="C2493" s="948" t="s">
        <v>555</v>
      </c>
      <c r="D2493" s="947" t="s">
        <v>3</v>
      </c>
      <c r="E2493" s="949">
        <v>5270</v>
      </c>
      <c r="F2493" s="950">
        <v>7</v>
      </c>
      <c r="G2493" s="951">
        <v>40</v>
      </c>
      <c r="H2493" s="951">
        <v>38.17</v>
      </c>
      <c r="I2493" s="18"/>
    </row>
    <row r="2494" spans="1:9">
      <c r="A2494" s="943">
        <v>5</v>
      </c>
      <c r="B2494" s="944">
        <v>832</v>
      </c>
      <c r="C2494" s="944" t="s">
        <v>556</v>
      </c>
      <c r="D2494" s="943" t="s">
        <v>3</v>
      </c>
      <c r="E2494" s="952">
        <v>28524</v>
      </c>
      <c r="F2494" s="945">
        <v>17</v>
      </c>
      <c r="G2494" s="946">
        <v>15.1</v>
      </c>
      <c r="H2494" s="946">
        <v>15.8</v>
      </c>
    </row>
    <row r="2495" spans="1:9" s="26" customFormat="1">
      <c r="A2495" s="947">
        <v>5</v>
      </c>
      <c r="B2495" s="948">
        <v>833.5</v>
      </c>
      <c r="C2495" s="948" t="s">
        <v>557</v>
      </c>
      <c r="D2495" s="947" t="s">
        <v>2</v>
      </c>
      <c r="E2495" s="950">
        <v>381</v>
      </c>
      <c r="F2495" s="950">
        <v>2</v>
      </c>
      <c r="G2495" s="951">
        <v>10</v>
      </c>
      <c r="H2495" s="951">
        <v>10.79</v>
      </c>
      <c r="I2495" s="18"/>
    </row>
    <row r="2496" spans="1:9">
      <c r="A2496" s="943">
        <v>5</v>
      </c>
      <c r="B2496" s="944">
        <v>833.7</v>
      </c>
      <c r="C2496" s="944" t="s">
        <v>558</v>
      </c>
      <c r="D2496" s="943" t="s">
        <v>2</v>
      </c>
      <c r="E2496" s="945">
        <v>259</v>
      </c>
      <c r="F2496" s="945">
        <v>3</v>
      </c>
      <c r="G2496" s="946">
        <v>69.25</v>
      </c>
      <c r="H2496" s="946">
        <v>71.94</v>
      </c>
    </row>
    <row r="2497" spans="1:9" s="26" customFormat="1">
      <c r="A2497" s="947">
        <v>5</v>
      </c>
      <c r="B2497" s="948">
        <v>834.17</v>
      </c>
      <c r="C2497" s="948" t="s">
        <v>560</v>
      </c>
      <c r="D2497" s="947" t="s">
        <v>2</v>
      </c>
      <c r="E2497" s="950">
        <v>362</v>
      </c>
      <c r="F2497" s="950">
        <v>2</v>
      </c>
      <c r="G2497" s="951">
        <v>68</v>
      </c>
      <c r="H2497" s="951">
        <v>67.400000000000006</v>
      </c>
      <c r="I2497" s="18"/>
    </row>
    <row r="2498" spans="1:9">
      <c r="A2498" s="943">
        <v>5</v>
      </c>
      <c r="B2498" s="944">
        <v>834.18</v>
      </c>
      <c r="C2498" s="944" t="s">
        <v>561</v>
      </c>
      <c r="D2498" s="943" t="s">
        <v>2</v>
      </c>
      <c r="E2498" s="945">
        <v>220</v>
      </c>
      <c r="F2498" s="945">
        <v>1</v>
      </c>
      <c r="G2498" s="946">
        <v>62</v>
      </c>
      <c r="H2498" s="946">
        <v>62</v>
      </c>
    </row>
    <row r="2499" spans="1:9" s="26" customFormat="1">
      <c r="A2499" s="947">
        <v>5</v>
      </c>
      <c r="B2499" s="948">
        <v>840.101</v>
      </c>
      <c r="C2499" s="948" t="s">
        <v>1446</v>
      </c>
      <c r="D2499" s="947" t="s">
        <v>22</v>
      </c>
      <c r="E2499" s="950">
        <v>2</v>
      </c>
      <c r="F2499" s="950">
        <v>1</v>
      </c>
      <c r="G2499" s="951">
        <v>79000</v>
      </c>
      <c r="H2499" s="951">
        <v>72050</v>
      </c>
      <c r="I2499" s="18"/>
    </row>
    <row r="2500" spans="1:9">
      <c r="A2500" s="943">
        <v>5</v>
      </c>
      <c r="B2500" s="944">
        <v>840.10199999999998</v>
      </c>
      <c r="C2500" s="944" t="s">
        <v>563</v>
      </c>
      <c r="D2500" s="943" t="s">
        <v>22</v>
      </c>
      <c r="E2500" s="945">
        <v>5</v>
      </c>
      <c r="F2500" s="945">
        <v>2</v>
      </c>
      <c r="G2500" s="946">
        <v>100000</v>
      </c>
      <c r="H2500" s="946">
        <v>93820</v>
      </c>
    </row>
    <row r="2501" spans="1:9" s="26" customFormat="1">
      <c r="A2501" s="947">
        <v>5</v>
      </c>
      <c r="B2501" s="948">
        <v>841.1</v>
      </c>
      <c r="C2501" s="948" t="s">
        <v>566</v>
      </c>
      <c r="D2501" s="947" t="s">
        <v>2</v>
      </c>
      <c r="E2501" s="950">
        <v>91</v>
      </c>
      <c r="F2501" s="950">
        <v>7</v>
      </c>
      <c r="G2501" s="951">
        <v>2500</v>
      </c>
      <c r="H2501" s="951">
        <v>2558.25</v>
      </c>
      <c r="I2501" s="18"/>
    </row>
    <row r="2502" spans="1:9">
      <c r="A2502" s="943">
        <v>5</v>
      </c>
      <c r="B2502" s="944">
        <v>841.2</v>
      </c>
      <c r="C2502" s="944" t="s">
        <v>567</v>
      </c>
      <c r="D2502" s="943" t="s">
        <v>2</v>
      </c>
      <c r="E2502" s="945">
        <v>39</v>
      </c>
      <c r="F2502" s="945">
        <v>5</v>
      </c>
      <c r="G2502" s="946">
        <v>2575</v>
      </c>
      <c r="H2502" s="946">
        <v>2425</v>
      </c>
    </row>
    <row r="2503" spans="1:9" s="26" customFormat="1">
      <c r="A2503" s="947">
        <v>5</v>
      </c>
      <c r="B2503" s="948">
        <v>841.4</v>
      </c>
      <c r="C2503" s="948" t="s">
        <v>568</v>
      </c>
      <c r="D2503" s="947" t="s">
        <v>2</v>
      </c>
      <c r="E2503" s="950">
        <v>6</v>
      </c>
      <c r="F2503" s="950">
        <v>1</v>
      </c>
      <c r="G2503" s="951">
        <v>2400</v>
      </c>
      <c r="H2503" s="951">
        <v>2515.83</v>
      </c>
      <c r="I2503" s="18"/>
    </row>
    <row r="2504" spans="1:9">
      <c r="A2504" s="943">
        <v>5</v>
      </c>
      <c r="B2504" s="944">
        <v>841.6</v>
      </c>
      <c r="C2504" s="944" t="s">
        <v>569</v>
      </c>
      <c r="D2504" s="943" t="s">
        <v>2</v>
      </c>
      <c r="E2504" s="945">
        <v>8</v>
      </c>
      <c r="F2504" s="945">
        <v>1</v>
      </c>
      <c r="G2504" s="946">
        <v>1525</v>
      </c>
      <c r="H2504" s="946">
        <v>1525</v>
      </c>
    </row>
    <row r="2505" spans="1:9" s="26" customFormat="1">
      <c r="A2505" s="947">
        <v>5</v>
      </c>
      <c r="B2505" s="948">
        <v>844.101</v>
      </c>
      <c r="C2505" s="948" t="s">
        <v>572</v>
      </c>
      <c r="D2505" s="947" t="s">
        <v>22</v>
      </c>
      <c r="E2505" s="950">
        <v>8</v>
      </c>
      <c r="F2505" s="950">
        <v>3</v>
      </c>
      <c r="G2505" s="951">
        <v>5000</v>
      </c>
      <c r="H2505" s="951">
        <v>5011.88</v>
      </c>
      <c r="I2505" s="18"/>
    </row>
    <row r="2506" spans="1:9">
      <c r="A2506" s="943">
        <v>5</v>
      </c>
      <c r="B2506" s="944">
        <v>844.10199999999998</v>
      </c>
      <c r="C2506" s="944" t="s">
        <v>573</v>
      </c>
      <c r="D2506" s="943" t="s">
        <v>22</v>
      </c>
      <c r="E2506" s="945">
        <v>7</v>
      </c>
      <c r="F2506" s="945">
        <v>2</v>
      </c>
      <c r="G2506" s="946">
        <v>5000</v>
      </c>
      <c r="H2506" s="946">
        <v>5242.1400000000003</v>
      </c>
    </row>
    <row r="2507" spans="1:9" s="26" customFormat="1">
      <c r="A2507" s="947">
        <v>5</v>
      </c>
      <c r="B2507" s="948">
        <v>844.10299999999995</v>
      </c>
      <c r="C2507" s="948" t="s">
        <v>574</v>
      </c>
      <c r="D2507" s="947" t="s">
        <v>22</v>
      </c>
      <c r="E2507" s="950">
        <v>6</v>
      </c>
      <c r="F2507" s="950">
        <v>1</v>
      </c>
      <c r="G2507" s="951">
        <v>4950</v>
      </c>
      <c r="H2507" s="951">
        <v>4865.83</v>
      </c>
      <c r="I2507" s="18"/>
    </row>
    <row r="2508" spans="1:9">
      <c r="A2508" s="943">
        <v>5</v>
      </c>
      <c r="B2508" s="944">
        <v>844.10400000000004</v>
      </c>
      <c r="C2508" s="944" t="s">
        <v>575</v>
      </c>
      <c r="D2508" s="943" t="s">
        <v>22</v>
      </c>
      <c r="E2508" s="945">
        <v>6</v>
      </c>
      <c r="F2508" s="945">
        <v>1</v>
      </c>
      <c r="G2508" s="946">
        <v>4950</v>
      </c>
      <c r="H2508" s="946">
        <v>4865.83</v>
      </c>
    </row>
    <row r="2509" spans="1:9" s="26" customFormat="1">
      <c r="A2509" s="947">
        <v>5</v>
      </c>
      <c r="B2509" s="948">
        <v>846.1</v>
      </c>
      <c r="C2509" s="948" t="s">
        <v>577</v>
      </c>
      <c r="D2509" s="947" t="s">
        <v>2</v>
      </c>
      <c r="E2509" s="950">
        <v>24</v>
      </c>
      <c r="F2509" s="950">
        <v>2</v>
      </c>
      <c r="G2509" s="951">
        <v>3375</v>
      </c>
      <c r="H2509" s="951">
        <v>3437.5</v>
      </c>
      <c r="I2509" s="18"/>
    </row>
    <row r="2510" spans="1:9">
      <c r="A2510" s="943">
        <v>5</v>
      </c>
      <c r="B2510" s="944">
        <v>847.1</v>
      </c>
      <c r="C2510" s="944" t="s">
        <v>578</v>
      </c>
      <c r="D2510" s="943" t="s">
        <v>2</v>
      </c>
      <c r="E2510" s="952">
        <v>3022</v>
      </c>
      <c r="F2510" s="945">
        <v>17</v>
      </c>
      <c r="G2510" s="946">
        <v>250</v>
      </c>
      <c r="H2510" s="946">
        <v>255.11</v>
      </c>
    </row>
    <row r="2511" spans="1:9" s="26" customFormat="1">
      <c r="A2511" s="947">
        <v>5</v>
      </c>
      <c r="B2511" s="948">
        <v>848.1</v>
      </c>
      <c r="C2511" s="948" t="s">
        <v>579</v>
      </c>
      <c r="D2511" s="947" t="s">
        <v>2</v>
      </c>
      <c r="E2511" s="950">
        <v>368</v>
      </c>
      <c r="F2511" s="950">
        <v>8</v>
      </c>
      <c r="G2511" s="951">
        <v>425</v>
      </c>
      <c r="H2511" s="951">
        <v>419.43</v>
      </c>
      <c r="I2511" s="18"/>
    </row>
    <row r="2512" spans="1:9">
      <c r="A2512" s="943">
        <v>5</v>
      </c>
      <c r="B2512" s="944">
        <v>850.41</v>
      </c>
      <c r="C2512" s="944" t="s">
        <v>580</v>
      </c>
      <c r="D2512" s="943" t="s">
        <v>24</v>
      </c>
      <c r="E2512" s="952">
        <v>27070</v>
      </c>
      <c r="F2512" s="945">
        <v>18</v>
      </c>
      <c r="G2512" s="946">
        <v>70</v>
      </c>
      <c r="H2512" s="946">
        <v>72.28</v>
      </c>
    </row>
    <row r="2513" spans="1:9" s="26" customFormat="1">
      <c r="A2513" s="947">
        <v>5</v>
      </c>
      <c r="B2513" s="948">
        <v>851.1</v>
      </c>
      <c r="C2513" s="948" t="s">
        <v>581</v>
      </c>
      <c r="D2513" s="947" t="s">
        <v>42</v>
      </c>
      <c r="E2513" s="949">
        <v>3085</v>
      </c>
      <c r="F2513" s="950">
        <v>11</v>
      </c>
      <c r="G2513" s="951">
        <v>55</v>
      </c>
      <c r="H2513" s="951">
        <v>79.069999999999993</v>
      </c>
      <c r="I2513" s="18"/>
    </row>
    <row r="2514" spans="1:9">
      <c r="A2514" s="943">
        <v>5</v>
      </c>
      <c r="B2514" s="944">
        <v>852</v>
      </c>
      <c r="C2514" s="944" t="s">
        <v>49</v>
      </c>
      <c r="D2514" s="943" t="s">
        <v>3</v>
      </c>
      <c r="E2514" s="952">
        <v>66839</v>
      </c>
      <c r="F2514" s="945">
        <v>25</v>
      </c>
      <c r="G2514" s="946">
        <v>23</v>
      </c>
      <c r="H2514" s="946">
        <v>26.05</v>
      </c>
    </row>
    <row r="2515" spans="1:9" s="26" customFormat="1">
      <c r="A2515" s="947">
        <v>5</v>
      </c>
      <c r="B2515" s="948">
        <v>853.1</v>
      </c>
      <c r="C2515" s="948" t="s">
        <v>582</v>
      </c>
      <c r="D2515" s="947" t="s">
        <v>2</v>
      </c>
      <c r="E2515" s="950">
        <v>481</v>
      </c>
      <c r="F2515" s="950">
        <v>15</v>
      </c>
      <c r="G2515" s="951">
        <v>160</v>
      </c>
      <c r="H2515" s="951">
        <v>167.07</v>
      </c>
      <c r="I2515" s="18"/>
    </row>
    <row r="2516" spans="1:9">
      <c r="A2516" s="943">
        <v>5</v>
      </c>
      <c r="B2516" s="944">
        <v>853.2</v>
      </c>
      <c r="C2516" s="944" t="s">
        <v>1453</v>
      </c>
      <c r="D2516" s="943" t="s">
        <v>17</v>
      </c>
      <c r="E2516" s="952">
        <v>7720</v>
      </c>
      <c r="F2516" s="945">
        <v>5</v>
      </c>
      <c r="G2516" s="946">
        <v>80</v>
      </c>
      <c r="H2516" s="946">
        <v>82.39</v>
      </c>
    </row>
    <row r="2517" spans="1:9" s="26" customFormat="1">
      <c r="A2517" s="947">
        <v>5</v>
      </c>
      <c r="B2517" s="948">
        <v>853.21</v>
      </c>
      <c r="C2517" s="948" t="s">
        <v>583</v>
      </c>
      <c r="D2517" s="947" t="s">
        <v>17</v>
      </c>
      <c r="E2517" s="949">
        <v>23810</v>
      </c>
      <c r="F2517" s="950">
        <v>9</v>
      </c>
      <c r="G2517" s="951">
        <v>15</v>
      </c>
      <c r="H2517" s="951">
        <v>13.39</v>
      </c>
      <c r="I2517" s="18"/>
    </row>
    <row r="2518" spans="1:9">
      <c r="A2518" s="943">
        <v>5</v>
      </c>
      <c r="B2518" s="944">
        <v>853.23</v>
      </c>
      <c r="C2518" s="944" t="s">
        <v>584</v>
      </c>
      <c r="D2518" s="943" t="s">
        <v>17</v>
      </c>
      <c r="E2518" s="952">
        <v>7450</v>
      </c>
      <c r="F2518" s="945">
        <v>5</v>
      </c>
      <c r="G2518" s="946">
        <v>60</v>
      </c>
      <c r="H2518" s="946">
        <v>52.79</v>
      </c>
    </row>
    <row r="2519" spans="1:9" s="26" customFormat="1">
      <c r="A2519" s="947">
        <v>5</v>
      </c>
      <c r="B2519" s="948">
        <v>853.33</v>
      </c>
      <c r="C2519" s="948" t="s">
        <v>587</v>
      </c>
      <c r="D2519" s="947" t="s">
        <v>17</v>
      </c>
      <c r="E2519" s="949">
        <v>17510</v>
      </c>
      <c r="F2519" s="950">
        <v>6</v>
      </c>
      <c r="G2519" s="951">
        <v>75</v>
      </c>
      <c r="H2519" s="951">
        <v>84.48</v>
      </c>
      <c r="I2519" s="18"/>
    </row>
    <row r="2520" spans="1:9">
      <c r="A2520" s="943">
        <v>5</v>
      </c>
      <c r="B2520" s="944">
        <v>853.40300000000002</v>
      </c>
      <c r="C2520" s="944" t="s">
        <v>588</v>
      </c>
      <c r="D2520" s="943" t="s">
        <v>42</v>
      </c>
      <c r="E2520" s="952">
        <v>14905</v>
      </c>
      <c r="F2520" s="945">
        <v>18</v>
      </c>
      <c r="G2520" s="946">
        <v>190</v>
      </c>
      <c r="H2520" s="946">
        <v>177.12</v>
      </c>
    </row>
    <row r="2521" spans="1:9" s="26" customFormat="1">
      <c r="A2521" s="947">
        <v>5</v>
      </c>
      <c r="B2521" s="948">
        <v>853.8</v>
      </c>
      <c r="C2521" s="948" t="s">
        <v>589</v>
      </c>
      <c r="D2521" s="947" t="s">
        <v>42</v>
      </c>
      <c r="E2521" s="949">
        <v>4058</v>
      </c>
      <c r="F2521" s="950">
        <v>9</v>
      </c>
      <c r="G2521" s="951">
        <v>39</v>
      </c>
      <c r="H2521" s="951">
        <v>75</v>
      </c>
      <c r="I2521" s="18"/>
    </row>
    <row r="2522" spans="1:9">
      <c r="A2522" s="943">
        <v>5</v>
      </c>
      <c r="B2522" s="944">
        <v>854.01599999999996</v>
      </c>
      <c r="C2522" s="944" t="s">
        <v>591</v>
      </c>
      <c r="D2522" s="943" t="s">
        <v>17</v>
      </c>
      <c r="E2522" s="952">
        <v>750650</v>
      </c>
      <c r="F2522" s="945">
        <v>7</v>
      </c>
      <c r="G2522" s="946">
        <v>0.83</v>
      </c>
      <c r="H2522" s="946">
        <v>0.75</v>
      </c>
    </row>
    <row r="2523" spans="1:9" s="26" customFormat="1">
      <c r="A2523" s="947">
        <v>5</v>
      </c>
      <c r="B2523" s="948">
        <v>854.03599999999994</v>
      </c>
      <c r="C2523" s="948" t="s">
        <v>592</v>
      </c>
      <c r="D2523" s="947" t="s">
        <v>17</v>
      </c>
      <c r="E2523" s="949">
        <v>447120</v>
      </c>
      <c r="F2523" s="950">
        <v>13</v>
      </c>
      <c r="G2523" s="951">
        <v>2</v>
      </c>
      <c r="H2523" s="951">
        <v>1.87</v>
      </c>
      <c r="I2523" s="18"/>
    </row>
    <row r="2524" spans="1:9">
      <c r="A2524" s="943">
        <v>5</v>
      </c>
      <c r="B2524" s="944">
        <v>854.1</v>
      </c>
      <c r="C2524" s="944" t="s">
        <v>593</v>
      </c>
      <c r="D2524" s="943" t="s">
        <v>3</v>
      </c>
      <c r="E2524" s="952">
        <v>217810</v>
      </c>
      <c r="F2524" s="945">
        <v>11</v>
      </c>
      <c r="G2524" s="946">
        <v>2.4</v>
      </c>
      <c r="H2524" s="946">
        <v>2.27</v>
      </c>
    </row>
    <row r="2525" spans="1:9" s="26" customFormat="1">
      <c r="A2525" s="947">
        <v>5</v>
      </c>
      <c r="B2525" s="948">
        <v>854.6</v>
      </c>
      <c r="C2525" s="948" t="s">
        <v>1454</v>
      </c>
      <c r="D2525" s="947" t="s">
        <v>42</v>
      </c>
      <c r="E2525" s="949">
        <v>4715</v>
      </c>
      <c r="F2525" s="950">
        <v>10</v>
      </c>
      <c r="G2525" s="951">
        <v>27.5</v>
      </c>
      <c r="H2525" s="951">
        <v>43.14</v>
      </c>
      <c r="I2525" s="18"/>
    </row>
    <row r="2526" spans="1:9">
      <c r="A2526" s="943">
        <v>5</v>
      </c>
      <c r="B2526" s="944">
        <v>856</v>
      </c>
      <c r="C2526" s="944" t="s">
        <v>595</v>
      </c>
      <c r="D2526" s="943" t="s">
        <v>42</v>
      </c>
      <c r="E2526" s="952">
        <v>38589</v>
      </c>
      <c r="F2526" s="945">
        <v>25</v>
      </c>
      <c r="G2526" s="946">
        <v>10.88</v>
      </c>
      <c r="H2526" s="946">
        <v>10.86</v>
      </c>
    </row>
    <row r="2527" spans="1:9" s="26" customFormat="1">
      <c r="A2527" s="947">
        <v>5</v>
      </c>
      <c r="B2527" s="948">
        <v>856.12</v>
      </c>
      <c r="C2527" s="948" t="s">
        <v>596</v>
      </c>
      <c r="D2527" s="947" t="s">
        <v>42</v>
      </c>
      <c r="E2527" s="949">
        <v>32240</v>
      </c>
      <c r="F2527" s="950">
        <v>24</v>
      </c>
      <c r="G2527" s="951">
        <v>25</v>
      </c>
      <c r="H2527" s="951">
        <v>25.56</v>
      </c>
      <c r="I2527" s="18"/>
    </row>
    <row r="2528" spans="1:9">
      <c r="A2528" s="943">
        <v>5</v>
      </c>
      <c r="B2528" s="944">
        <v>859</v>
      </c>
      <c r="C2528" s="944" t="s">
        <v>28</v>
      </c>
      <c r="D2528" s="943" t="s">
        <v>42</v>
      </c>
      <c r="E2528" s="952">
        <v>3491996</v>
      </c>
      <c r="F2528" s="945">
        <v>20</v>
      </c>
      <c r="G2528" s="946">
        <v>0.3</v>
      </c>
      <c r="H2528" s="946">
        <v>0.27</v>
      </c>
    </row>
    <row r="2529" spans="1:9" s="26" customFormat="1">
      <c r="A2529" s="947">
        <v>5</v>
      </c>
      <c r="B2529" s="948">
        <v>859.1</v>
      </c>
      <c r="C2529" s="948" t="s">
        <v>1455</v>
      </c>
      <c r="D2529" s="947" t="s">
        <v>42</v>
      </c>
      <c r="E2529" s="949">
        <v>40336</v>
      </c>
      <c r="F2529" s="950">
        <v>20</v>
      </c>
      <c r="G2529" s="951">
        <v>5</v>
      </c>
      <c r="H2529" s="951">
        <v>4.76</v>
      </c>
      <c r="I2529" s="18"/>
    </row>
    <row r="2530" spans="1:9">
      <c r="A2530" s="943">
        <v>5</v>
      </c>
      <c r="B2530" s="944">
        <v>864</v>
      </c>
      <c r="C2530" s="944" t="s">
        <v>601</v>
      </c>
      <c r="D2530" s="943" t="s">
        <v>3</v>
      </c>
      <c r="E2530" s="945">
        <v>840</v>
      </c>
      <c r="F2530" s="945">
        <v>1</v>
      </c>
      <c r="G2530" s="946">
        <v>13.5</v>
      </c>
      <c r="H2530" s="946">
        <v>14.35</v>
      </c>
    </row>
    <row r="2531" spans="1:9" s="26" customFormat="1">
      <c r="A2531" s="947">
        <v>5</v>
      </c>
      <c r="B2531" s="948">
        <v>864.02</v>
      </c>
      <c r="C2531" s="948" t="s">
        <v>603</v>
      </c>
      <c r="D2531" s="947" t="s">
        <v>3</v>
      </c>
      <c r="E2531" s="949">
        <v>3877</v>
      </c>
      <c r="F2531" s="950">
        <v>5</v>
      </c>
      <c r="G2531" s="951">
        <v>60</v>
      </c>
      <c r="H2531" s="951">
        <v>57.81</v>
      </c>
      <c r="I2531" s="18"/>
    </row>
    <row r="2532" spans="1:9">
      <c r="A2532" s="943">
        <v>5</v>
      </c>
      <c r="B2532" s="944">
        <v>864.04</v>
      </c>
      <c r="C2532" s="944" t="s">
        <v>1456</v>
      </c>
      <c r="D2532" s="943" t="s">
        <v>3</v>
      </c>
      <c r="E2532" s="952">
        <v>201291</v>
      </c>
      <c r="F2532" s="945">
        <v>9</v>
      </c>
      <c r="G2532" s="946">
        <v>11</v>
      </c>
      <c r="H2532" s="946">
        <v>11</v>
      </c>
    </row>
    <row r="2533" spans="1:9" s="26" customFormat="1">
      <c r="A2533" s="947">
        <v>5</v>
      </c>
      <c r="B2533" s="948">
        <v>864.31</v>
      </c>
      <c r="C2533" s="948" t="s">
        <v>605</v>
      </c>
      <c r="D2533" s="947" t="s">
        <v>2</v>
      </c>
      <c r="E2533" s="949">
        <v>3275</v>
      </c>
      <c r="F2533" s="950">
        <v>5</v>
      </c>
      <c r="G2533" s="951">
        <v>45</v>
      </c>
      <c r="H2533" s="951">
        <v>60.61</v>
      </c>
      <c r="I2533" s="18"/>
    </row>
    <row r="2534" spans="1:9">
      <c r="A2534" s="943">
        <v>5</v>
      </c>
      <c r="B2534" s="944">
        <v>864.32</v>
      </c>
      <c r="C2534" s="944" t="s">
        <v>606</v>
      </c>
      <c r="D2534" s="943" t="s">
        <v>2</v>
      </c>
      <c r="E2534" s="945">
        <v>8</v>
      </c>
      <c r="F2534" s="945">
        <v>1</v>
      </c>
      <c r="G2534" s="946">
        <v>100</v>
      </c>
      <c r="H2534" s="946">
        <v>105</v>
      </c>
    </row>
    <row r="2535" spans="1:9" s="26" customFormat="1">
      <c r="A2535" s="947">
        <v>5</v>
      </c>
      <c r="B2535" s="948">
        <v>864.33</v>
      </c>
      <c r="C2535" s="948" t="s">
        <v>607</v>
      </c>
      <c r="D2535" s="947" t="s">
        <v>2</v>
      </c>
      <c r="E2535" s="949">
        <v>1044</v>
      </c>
      <c r="F2535" s="950">
        <v>4</v>
      </c>
      <c r="G2535" s="951">
        <v>100</v>
      </c>
      <c r="H2535" s="951">
        <v>92.67</v>
      </c>
      <c r="I2535" s="18"/>
    </row>
    <row r="2536" spans="1:9">
      <c r="A2536" s="943">
        <v>5</v>
      </c>
      <c r="B2536" s="944">
        <v>864.34</v>
      </c>
      <c r="C2536" s="944" t="s">
        <v>608</v>
      </c>
      <c r="D2536" s="943" t="s">
        <v>2</v>
      </c>
      <c r="E2536" s="945">
        <v>132</v>
      </c>
      <c r="F2536" s="945">
        <v>1</v>
      </c>
      <c r="G2536" s="946">
        <v>100</v>
      </c>
      <c r="H2536" s="946">
        <v>97.33</v>
      </c>
    </row>
    <row r="2537" spans="1:9" s="26" customFormat="1">
      <c r="A2537" s="947">
        <v>5</v>
      </c>
      <c r="B2537" s="948">
        <v>864.35</v>
      </c>
      <c r="C2537" s="948" t="s">
        <v>609</v>
      </c>
      <c r="D2537" s="947" t="s">
        <v>2</v>
      </c>
      <c r="E2537" s="949">
        <v>2408</v>
      </c>
      <c r="F2537" s="950">
        <v>5</v>
      </c>
      <c r="G2537" s="951">
        <v>48</v>
      </c>
      <c r="H2537" s="951">
        <v>62.23</v>
      </c>
      <c r="I2537" s="18"/>
    </row>
    <row r="2538" spans="1:9">
      <c r="A2538" s="943">
        <v>5</v>
      </c>
      <c r="B2538" s="944">
        <v>866.10599999999999</v>
      </c>
      <c r="C2538" s="944" t="s">
        <v>25</v>
      </c>
      <c r="D2538" s="943" t="s">
        <v>17</v>
      </c>
      <c r="E2538" s="952">
        <v>3813140</v>
      </c>
      <c r="F2538" s="945">
        <v>16</v>
      </c>
      <c r="G2538" s="946">
        <v>2</v>
      </c>
      <c r="H2538" s="946">
        <v>1.75</v>
      </c>
    </row>
    <row r="2539" spans="1:9" s="26" customFormat="1">
      <c r="A2539" s="947">
        <v>5</v>
      </c>
      <c r="B2539" s="948">
        <v>866.11199999999997</v>
      </c>
      <c r="C2539" s="948" t="s">
        <v>610</v>
      </c>
      <c r="D2539" s="947" t="s">
        <v>17</v>
      </c>
      <c r="E2539" s="949">
        <v>317130</v>
      </c>
      <c r="F2539" s="950">
        <v>11</v>
      </c>
      <c r="G2539" s="951">
        <v>6</v>
      </c>
      <c r="H2539" s="951">
        <v>5.6</v>
      </c>
      <c r="I2539" s="18"/>
    </row>
    <row r="2540" spans="1:9">
      <c r="A2540" s="943">
        <v>5</v>
      </c>
      <c r="B2540" s="944">
        <v>866.20600000000002</v>
      </c>
      <c r="C2540" s="944" t="s">
        <v>611</v>
      </c>
      <c r="D2540" s="943" t="s">
        <v>17</v>
      </c>
      <c r="E2540" s="952">
        <v>28000</v>
      </c>
      <c r="F2540" s="945">
        <v>2</v>
      </c>
      <c r="G2540" s="946">
        <v>3</v>
      </c>
      <c r="H2540" s="946">
        <v>3.45</v>
      </c>
    </row>
    <row r="2541" spans="1:9" s="26" customFormat="1">
      <c r="A2541" s="947">
        <v>5</v>
      </c>
      <c r="B2541" s="948">
        <v>866.21199999999999</v>
      </c>
      <c r="C2541" s="948" t="s">
        <v>612</v>
      </c>
      <c r="D2541" s="947" t="s">
        <v>17</v>
      </c>
      <c r="E2541" s="949">
        <v>4407</v>
      </c>
      <c r="F2541" s="950">
        <v>1</v>
      </c>
      <c r="G2541" s="951">
        <v>13.7</v>
      </c>
      <c r="H2541" s="951">
        <v>12.57</v>
      </c>
      <c r="I2541" s="18"/>
    </row>
    <row r="2542" spans="1:9">
      <c r="A2542" s="943">
        <v>5</v>
      </c>
      <c r="B2542" s="944">
        <v>867.10599999999999</v>
      </c>
      <c r="C2542" s="944" t="s">
        <v>613</v>
      </c>
      <c r="D2542" s="943" t="s">
        <v>17</v>
      </c>
      <c r="E2542" s="952">
        <v>3705070</v>
      </c>
      <c r="F2542" s="945">
        <v>16</v>
      </c>
      <c r="G2542" s="946">
        <v>2</v>
      </c>
      <c r="H2542" s="946">
        <v>1.76</v>
      </c>
    </row>
    <row r="2543" spans="1:9" s="26" customFormat="1">
      <c r="A2543" s="947">
        <v>5</v>
      </c>
      <c r="B2543" s="948">
        <v>867.11199999999997</v>
      </c>
      <c r="C2543" s="948" t="s">
        <v>50</v>
      </c>
      <c r="D2543" s="947" t="s">
        <v>17</v>
      </c>
      <c r="E2543" s="949">
        <v>186985</v>
      </c>
      <c r="F2543" s="950">
        <v>9</v>
      </c>
      <c r="G2543" s="951">
        <v>6.1</v>
      </c>
      <c r="H2543" s="951">
        <v>5.63</v>
      </c>
      <c r="I2543" s="18"/>
    </row>
    <row r="2544" spans="1:9">
      <c r="A2544" s="943">
        <v>5</v>
      </c>
      <c r="B2544" s="944">
        <v>867.20600000000002</v>
      </c>
      <c r="C2544" s="944" t="s">
        <v>614</v>
      </c>
      <c r="D2544" s="943" t="s">
        <v>17</v>
      </c>
      <c r="E2544" s="952">
        <v>17500</v>
      </c>
      <c r="F2544" s="945">
        <v>2</v>
      </c>
      <c r="G2544" s="946">
        <v>3</v>
      </c>
      <c r="H2544" s="946">
        <v>3.45</v>
      </c>
    </row>
    <row r="2545" spans="1:9" s="26" customFormat="1">
      <c r="A2545" s="947">
        <v>5</v>
      </c>
      <c r="B2545" s="948">
        <v>867.21199999999999</v>
      </c>
      <c r="C2545" s="948" t="s">
        <v>1523</v>
      </c>
      <c r="D2545" s="947" t="s">
        <v>17</v>
      </c>
      <c r="E2545" s="949">
        <v>1098</v>
      </c>
      <c r="F2545" s="950">
        <v>1</v>
      </c>
      <c r="G2545" s="951">
        <v>13.7</v>
      </c>
      <c r="H2545" s="951">
        <v>12.57</v>
      </c>
      <c r="I2545" s="18"/>
    </row>
    <row r="2546" spans="1:9">
      <c r="A2546" s="943">
        <v>5</v>
      </c>
      <c r="B2546" s="944">
        <v>868.06</v>
      </c>
      <c r="C2546" s="944" t="s">
        <v>3317</v>
      </c>
      <c r="D2546" s="943" t="s">
        <v>17</v>
      </c>
      <c r="E2546" s="952">
        <v>10700</v>
      </c>
      <c r="F2546" s="945">
        <v>2</v>
      </c>
      <c r="G2546" s="946">
        <v>2</v>
      </c>
      <c r="H2546" s="946">
        <v>1.98</v>
      </c>
    </row>
    <row r="2547" spans="1:9" s="26" customFormat="1">
      <c r="A2547" s="947">
        <v>5</v>
      </c>
      <c r="B2547" s="948">
        <v>869.06</v>
      </c>
      <c r="C2547" s="948" t="s">
        <v>3318</v>
      </c>
      <c r="D2547" s="947" t="s">
        <v>17</v>
      </c>
      <c r="E2547" s="949">
        <v>10700</v>
      </c>
      <c r="F2547" s="950">
        <v>2</v>
      </c>
      <c r="G2547" s="951">
        <v>2</v>
      </c>
      <c r="H2547" s="951">
        <v>1.98</v>
      </c>
      <c r="I2547" s="18"/>
    </row>
    <row r="2548" spans="1:9">
      <c r="A2548" s="943">
        <v>5</v>
      </c>
      <c r="B2548" s="944">
        <v>874</v>
      </c>
      <c r="C2548" s="944" t="s">
        <v>23</v>
      </c>
      <c r="D2548" s="943" t="s">
        <v>2</v>
      </c>
      <c r="E2548" s="945">
        <v>451</v>
      </c>
      <c r="F2548" s="945">
        <v>8</v>
      </c>
      <c r="G2548" s="946">
        <v>176</v>
      </c>
      <c r="H2548" s="946">
        <v>156.77000000000001</v>
      </c>
    </row>
    <row r="2549" spans="1:9" s="26" customFormat="1">
      <c r="A2549" s="947">
        <v>5</v>
      </c>
      <c r="B2549" s="948">
        <v>874.1</v>
      </c>
      <c r="C2549" s="948" t="s">
        <v>617</v>
      </c>
      <c r="D2549" s="947" t="s">
        <v>2</v>
      </c>
      <c r="E2549" s="950">
        <v>4</v>
      </c>
      <c r="F2549" s="950">
        <v>1</v>
      </c>
      <c r="G2549" s="951">
        <v>314.72000000000003</v>
      </c>
      <c r="H2549" s="951">
        <v>314.72000000000003</v>
      </c>
      <c r="I2549" s="18"/>
    </row>
    <row r="2550" spans="1:9">
      <c r="A2550" s="943">
        <v>5</v>
      </c>
      <c r="B2550" s="944">
        <v>874.2</v>
      </c>
      <c r="C2550" s="944" t="s">
        <v>618</v>
      </c>
      <c r="D2550" s="943" t="s">
        <v>2</v>
      </c>
      <c r="E2550" s="945">
        <v>329</v>
      </c>
      <c r="F2550" s="945">
        <v>10</v>
      </c>
      <c r="G2550" s="946">
        <v>225</v>
      </c>
      <c r="H2550" s="946">
        <v>219.39</v>
      </c>
    </row>
    <row r="2551" spans="1:9" s="26" customFormat="1">
      <c r="A2551" s="947">
        <v>5</v>
      </c>
      <c r="B2551" s="948">
        <v>874.4</v>
      </c>
      <c r="C2551" s="948" t="s">
        <v>620</v>
      </c>
      <c r="D2551" s="947" t="s">
        <v>2</v>
      </c>
      <c r="E2551" s="950">
        <v>118</v>
      </c>
      <c r="F2551" s="950">
        <v>4</v>
      </c>
      <c r="G2551" s="951">
        <v>43.5</v>
      </c>
      <c r="H2551" s="951">
        <v>43</v>
      </c>
      <c r="I2551" s="18"/>
    </row>
    <row r="2552" spans="1:9">
      <c r="A2552" s="943">
        <v>5</v>
      </c>
      <c r="B2552" s="944">
        <v>874.7</v>
      </c>
      <c r="C2552" s="944" t="s">
        <v>46</v>
      </c>
      <c r="D2552" s="943" t="s">
        <v>2</v>
      </c>
      <c r="E2552" s="945">
        <v>218</v>
      </c>
      <c r="F2552" s="945">
        <v>2</v>
      </c>
      <c r="G2552" s="946">
        <v>45</v>
      </c>
      <c r="H2552" s="946">
        <v>58.57</v>
      </c>
    </row>
    <row r="2553" spans="1:9" s="26" customFormat="1">
      <c r="A2553" s="947">
        <v>5</v>
      </c>
      <c r="B2553" s="948">
        <v>875.2</v>
      </c>
      <c r="C2553" s="948" t="s">
        <v>3326</v>
      </c>
      <c r="D2553" s="947" t="s">
        <v>2</v>
      </c>
      <c r="E2553" s="950">
        <v>2</v>
      </c>
      <c r="F2553" s="950">
        <v>1</v>
      </c>
      <c r="G2553" s="951">
        <v>225</v>
      </c>
      <c r="H2553" s="951">
        <v>225</v>
      </c>
      <c r="I2553" s="18"/>
    </row>
    <row r="2554" spans="1:9">
      <c r="A2554" s="943">
        <v>5</v>
      </c>
      <c r="B2554" s="944">
        <v>877</v>
      </c>
      <c r="C2554" s="944" t="s">
        <v>621</v>
      </c>
      <c r="D2554" s="943" t="s">
        <v>2</v>
      </c>
      <c r="E2554" s="945">
        <v>300</v>
      </c>
      <c r="F2554" s="945">
        <v>1</v>
      </c>
      <c r="G2554" s="946">
        <v>65</v>
      </c>
      <c r="H2554" s="946">
        <v>65</v>
      </c>
    </row>
    <row r="2555" spans="1:9" s="26" customFormat="1">
      <c r="A2555" s="947">
        <v>5</v>
      </c>
      <c r="B2555" s="948">
        <v>877.1</v>
      </c>
      <c r="C2555" s="948" t="s">
        <v>622</v>
      </c>
      <c r="D2555" s="947" t="s">
        <v>2</v>
      </c>
      <c r="E2555" s="950">
        <v>255</v>
      </c>
      <c r="F2555" s="950">
        <v>2</v>
      </c>
      <c r="G2555" s="951">
        <v>40</v>
      </c>
      <c r="H2555" s="951">
        <v>37.86</v>
      </c>
      <c r="I2555" s="18"/>
    </row>
    <row r="2556" spans="1:9">
      <c r="A2556" s="943">
        <v>5</v>
      </c>
      <c r="B2556" s="944">
        <v>901</v>
      </c>
      <c r="C2556" s="944" t="s">
        <v>624</v>
      </c>
      <c r="D2556" s="943" t="s">
        <v>4</v>
      </c>
      <c r="E2556" s="952">
        <v>1825</v>
      </c>
      <c r="F2556" s="945">
        <v>5</v>
      </c>
      <c r="G2556" s="946">
        <v>1500</v>
      </c>
      <c r="H2556" s="946">
        <v>1628.4</v>
      </c>
    </row>
    <row r="2557" spans="1:9" s="26" customFormat="1">
      <c r="A2557" s="947">
        <v>5</v>
      </c>
      <c r="B2557" s="948">
        <v>901.3</v>
      </c>
      <c r="C2557" s="948" t="s">
        <v>625</v>
      </c>
      <c r="D2557" s="947" t="s">
        <v>4</v>
      </c>
      <c r="E2557" s="950">
        <v>12</v>
      </c>
      <c r="F2557" s="950">
        <v>1</v>
      </c>
      <c r="G2557" s="951">
        <v>1000</v>
      </c>
      <c r="H2557" s="951">
        <v>1023.33</v>
      </c>
      <c r="I2557" s="18"/>
    </row>
    <row r="2558" spans="1:9">
      <c r="A2558" s="943">
        <v>5</v>
      </c>
      <c r="B2558" s="944">
        <v>902</v>
      </c>
      <c r="C2558" s="944" t="s">
        <v>3332</v>
      </c>
      <c r="D2558" s="943" t="s">
        <v>4</v>
      </c>
      <c r="E2558" s="945">
        <v>13</v>
      </c>
      <c r="F2558" s="945">
        <v>2</v>
      </c>
      <c r="G2558" s="946">
        <v>850</v>
      </c>
      <c r="H2558" s="946">
        <v>746</v>
      </c>
    </row>
    <row r="2559" spans="1:9" s="26" customFormat="1">
      <c r="A2559" s="947">
        <v>5</v>
      </c>
      <c r="B2559" s="948">
        <v>903</v>
      </c>
      <c r="C2559" s="948" t="s">
        <v>626</v>
      </c>
      <c r="D2559" s="947" t="s">
        <v>4</v>
      </c>
      <c r="E2559" s="949">
        <v>2204</v>
      </c>
      <c r="F2559" s="950">
        <v>7</v>
      </c>
      <c r="G2559" s="951">
        <v>600</v>
      </c>
      <c r="H2559" s="951">
        <v>560.47</v>
      </c>
      <c r="I2559" s="18"/>
    </row>
    <row r="2560" spans="1:9">
      <c r="A2560" s="943">
        <v>5</v>
      </c>
      <c r="B2560" s="944">
        <v>904</v>
      </c>
      <c r="C2560" s="944" t="s">
        <v>627</v>
      </c>
      <c r="D2560" s="943" t="s">
        <v>4</v>
      </c>
      <c r="E2560" s="945">
        <v>420</v>
      </c>
      <c r="F2560" s="945">
        <v>2</v>
      </c>
      <c r="G2560" s="946">
        <v>2194</v>
      </c>
      <c r="H2560" s="946">
        <v>1443.83</v>
      </c>
    </row>
    <row r="2561" spans="1:9" s="26" customFormat="1">
      <c r="A2561" s="947">
        <v>5</v>
      </c>
      <c r="B2561" s="948">
        <v>904.3</v>
      </c>
      <c r="C2561" s="948" t="s">
        <v>628</v>
      </c>
      <c r="D2561" s="947" t="s">
        <v>4</v>
      </c>
      <c r="E2561" s="950">
        <v>540</v>
      </c>
      <c r="F2561" s="950">
        <v>1</v>
      </c>
      <c r="G2561" s="951">
        <v>2200</v>
      </c>
      <c r="H2561" s="951">
        <v>2187.5</v>
      </c>
      <c r="I2561" s="18"/>
    </row>
    <row r="2562" spans="1:9">
      <c r="A2562" s="943">
        <v>5</v>
      </c>
      <c r="B2562" s="944">
        <v>904.4</v>
      </c>
      <c r="C2562" s="944" t="s">
        <v>629</v>
      </c>
      <c r="D2562" s="943" t="s">
        <v>4</v>
      </c>
      <c r="E2562" s="945">
        <v>30</v>
      </c>
      <c r="F2562" s="945">
        <v>1</v>
      </c>
      <c r="G2562" s="946">
        <v>4000</v>
      </c>
      <c r="H2562" s="946">
        <v>4903.33</v>
      </c>
    </row>
    <row r="2563" spans="1:9" s="26" customFormat="1">
      <c r="A2563" s="947">
        <v>5</v>
      </c>
      <c r="B2563" s="948">
        <v>905</v>
      </c>
      <c r="C2563" s="948" t="s">
        <v>630</v>
      </c>
      <c r="D2563" s="947" t="s">
        <v>4</v>
      </c>
      <c r="E2563" s="949">
        <v>1575</v>
      </c>
      <c r="F2563" s="950">
        <v>6</v>
      </c>
      <c r="G2563" s="951">
        <v>4927.5</v>
      </c>
      <c r="H2563" s="951">
        <v>4593.3999999999996</v>
      </c>
      <c r="I2563" s="18"/>
    </row>
    <row r="2564" spans="1:9">
      <c r="A2564" s="943">
        <v>5</v>
      </c>
      <c r="B2564" s="944">
        <v>909.2</v>
      </c>
      <c r="C2564" s="944" t="s">
        <v>635</v>
      </c>
      <c r="D2564" s="943" t="s">
        <v>3</v>
      </c>
      <c r="E2564" s="952">
        <v>3250</v>
      </c>
      <c r="F2564" s="945">
        <v>5</v>
      </c>
      <c r="G2564" s="946">
        <v>100</v>
      </c>
      <c r="H2564" s="946">
        <v>105</v>
      </c>
    </row>
    <row r="2565" spans="1:9" s="26" customFormat="1">
      <c r="A2565" s="947">
        <v>5</v>
      </c>
      <c r="B2565" s="948">
        <v>910</v>
      </c>
      <c r="C2565" s="948" t="s">
        <v>636</v>
      </c>
      <c r="D2565" s="947" t="s">
        <v>100</v>
      </c>
      <c r="E2565" s="950">
        <v>240</v>
      </c>
      <c r="F2565" s="950">
        <v>1</v>
      </c>
      <c r="G2565" s="951">
        <v>8</v>
      </c>
      <c r="H2565" s="951">
        <v>6.5</v>
      </c>
      <c r="I2565" s="18"/>
    </row>
    <row r="2566" spans="1:9">
      <c r="A2566" s="943">
        <v>5</v>
      </c>
      <c r="B2566" s="944">
        <v>910.1</v>
      </c>
      <c r="C2566" s="944" t="s">
        <v>637</v>
      </c>
      <c r="D2566" s="943" t="s">
        <v>100</v>
      </c>
      <c r="E2566" s="952">
        <v>455732</v>
      </c>
      <c r="F2566" s="945">
        <v>11</v>
      </c>
      <c r="G2566" s="946">
        <v>4.1500000000000004</v>
      </c>
      <c r="H2566" s="946">
        <v>4.1100000000000003</v>
      </c>
    </row>
    <row r="2567" spans="1:9" s="26" customFormat="1">
      <c r="A2567" s="947">
        <v>5</v>
      </c>
      <c r="B2567" s="948">
        <v>910.4</v>
      </c>
      <c r="C2567" s="948" t="s">
        <v>639</v>
      </c>
      <c r="D2567" s="947" t="s">
        <v>2</v>
      </c>
      <c r="E2567" s="950">
        <v>40</v>
      </c>
      <c r="F2567" s="950">
        <v>1</v>
      </c>
      <c r="G2567" s="951">
        <v>157.5</v>
      </c>
      <c r="H2567" s="951">
        <v>151.25</v>
      </c>
      <c r="I2567" s="18"/>
    </row>
    <row r="2568" spans="1:9">
      <c r="A2568" s="943">
        <v>5</v>
      </c>
      <c r="B2568" s="944">
        <v>912</v>
      </c>
      <c r="C2568" s="944" t="s">
        <v>641</v>
      </c>
      <c r="D2568" s="943" t="s">
        <v>2</v>
      </c>
      <c r="E2568" s="945">
        <v>300</v>
      </c>
      <c r="F2568" s="945">
        <v>1</v>
      </c>
      <c r="G2568" s="946">
        <v>65</v>
      </c>
      <c r="H2568" s="946">
        <v>66</v>
      </c>
    </row>
    <row r="2569" spans="1:9" s="26" customFormat="1">
      <c r="A2569" s="947">
        <v>5</v>
      </c>
      <c r="B2569" s="948">
        <v>945.101</v>
      </c>
      <c r="C2569" s="948" t="s">
        <v>3491</v>
      </c>
      <c r="D2569" s="947" t="s">
        <v>17</v>
      </c>
      <c r="E2569" s="950">
        <v>830</v>
      </c>
      <c r="F2569" s="950">
        <v>1</v>
      </c>
      <c r="G2569" s="951">
        <v>400</v>
      </c>
      <c r="H2569" s="951">
        <v>400</v>
      </c>
      <c r="I2569" s="18"/>
    </row>
    <row r="2570" spans="1:9">
      <c r="A2570" s="943">
        <v>5</v>
      </c>
      <c r="B2570" s="944">
        <v>961.20100000000002</v>
      </c>
      <c r="C2570" s="944" t="s">
        <v>660</v>
      </c>
      <c r="D2570" s="943" t="s">
        <v>22</v>
      </c>
      <c r="E2570" s="945">
        <v>7</v>
      </c>
      <c r="F2570" s="945">
        <v>1</v>
      </c>
      <c r="G2570" s="946">
        <v>850000</v>
      </c>
      <c r="H2570" s="946">
        <v>801428.57</v>
      </c>
    </row>
    <row r="2571" spans="1:9" s="26" customFormat="1">
      <c r="A2571" s="947">
        <v>5</v>
      </c>
      <c r="B2571" s="948">
        <v>961.202</v>
      </c>
      <c r="C2571" s="948" t="s">
        <v>660</v>
      </c>
      <c r="D2571" s="947" t="s">
        <v>22</v>
      </c>
      <c r="E2571" s="950">
        <v>7</v>
      </c>
      <c r="F2571" s="950">
        <v>1</v>
      </c>
      <c r="G2571" s="951">
        <v>1820000</v>
      </c>
      <c r="H2571" s="951">
        <v>1761308.57</v>
      </c>
      <c r="I2571" s="18"/>
    </row>
    <row r="2572" spans="1:9">
      <c r="A2572" s="943">
        <v>5</v>
      </c>
      <c r="B2572" s="944">
        <v>961.20299999999997</v>
      </c>
      <c r="C2572" s="944" t="s">
        <v>661</v>
      </c>
      <c r="D2572" s="943" t="s">
        <v>22</v>
      </c>
      <c r="E2572" s="945">
        <v>7</v>
      </c>
      <c r="F2572" s="945">
        <v>1</v>
      </c>
      <c r="G2572" s="946">
        <v>750000</v>
      </c>
      <c r="H2572" s="946">
        <v>798571.43</v>
      </c>
    </row>
    <row r="2573" spans="1:9" s="26" customFormat="1">
      <c r="A2573" s="947">
        <v>5</v>
      </c>
      <c r="B2573" s="948">
        <v>961.20399999999995</v>
      </c>
      <c r="C2573" s="948" t="s">
        <v>660</v>
      </c>
      <c r="D2573" s="947" t="s">
        <v>22</v>
      </c>
      <c r="E2573" s="950">
        <v>7</v>
      </c>
      <c r="F2573" s="950">
        <v>1</v>
      </c>
      <c r="G2573" s="951">
        <v>899811.5</v>
      </c>
      <c r="H2573" s="951">
        <v>880687.36</v>
      </c>
      <c r="I2573" s="18"/>
    </row>
    <row r="2574" spans="1:9">
      <c r="A2574" s="943">
        <v>5</v>
      </c>
      <c r="B2574" s="944">
        <v>965</v>
      </c>
      <c r="C2574" s="944" t="s">
        <v>665</v>
      </c>
      <c r="D2574" s="943" t="s">
        <v>3</v>
      </c>
      <c r="E2574" s="952">
        <v>98500</v>
      </c>
      <c r="F2574" s="945">
        <v>1</v>
      </c>
      <c r="G2574" s="946">
        <v>10</v>
      </c>
      <c r="H2574" s="946">
        <v>10.7</v>
      </c>
    </row>
    <row r="2575" spans="1:9" s="26" customFormat="1">
      <c r="A2575" s="947">
        <v>5</v>
      </c>
      <c r="B2575" s="948">
        <v>966</v>
      </c>
      <c r="C2575" s="948" t="s">
        <v>1466</v>
      </c>
      <c r="D2575" s="947" t="s">
        <v>3</v>
      </c>
      <c r="E2575" s="949">
        <v>48520</v>
      </c>
      <c r="F2575" s="950">
        <v>3</v>
      </c>
      <c r="G2575" s="951">
        <v>5.68</v>
      </c>
      <c r="H2575" s="951">
        <v>5.86</v>
      </c>
      <c r="I2575" s="18"/>
    </row>
    <row r="2576" spans="1:9">
      <c r="A2576" s="943">
        <v>5</v>
      </c>
      <c r="B2576" s="944">
        <v>975.1</v>
      </c>
      <c r="C2576" s="944" t="s">
        <v>3588</v>
      </c>
      <c r="D2576" s="943" t="s">
        <v>17</v>
      </c>
      <c r="E2576" s="952">
        <v>5010</v>
      </c>
      <c r="F2576" s="945">
        <v>1</v>
      </c>
      <c r="G2576" s="946">
        <v>550</v>
      </c>
      <c r="H2576" s="946">
        <v>568</v>
      </c>
    </row>
    <row r="2577" spans="1:9" s="26" customFormat="1">
      <c r="A2577" s="947">
        <v>5</v>
      </c>
      <c r="B2577" s="948">
        <v>983</v>
      </c>
      <c r="C2577" s="948" t="s">
        <v>671</v>
      </c>
      <c r="D2577" s="947" t="s">
        <v>7</v>
      </c>
      <c r="E2577" s="950">
        <v>104</v>
      </c>
      <c r="F2577" s="950">
        <v>1</v>
      </c>
      <c r="G2577" s="951">
        <v>125</v>
      </c>
      <c r="H2577" s="951">
        <v>125</v>
      </c>
      <c r="I2577" s="18"/>
    </row>
    <row r="2578" spans="1:9">
      <c r="A2578" s="943">
        <v>5</v>
      </c>
      <c r="B2578" s="944">
        <v>983.01</v>
      </c>
      <c r="C2578" s="944" t="s">
        <v>671</v>
      </c>
      <c r="D2578" s="943" t="s">
        <v>4</v>
      </c>
      <c r="E2578" s="945">
        <v>360</v>
      </c>
      <c r="F2578" s="945">
        <v>1</v>
      </c>
      <c r="G2578" s="946">
        <v>140</v>
      </c>
      <c r="H2578" s="946">
        <v>137.5</v>
      </c>
    </row>
    <row r="2579" spans="1:9" s="26" customFormat="1">
      <c r="A2579" s="947">
        <v>5</v>
      </c>
      <c r="B2579" s="948">
        <v>983.1</v>
      </c>
      <c r="C2579" s="948" t="s">
        <v>672</v>
      </c>
      <c r="D2579" s="947" t="s">
        <v>7</v>
      </c>
      <c r="E2579" s="949">
        <v>1020</v>
      </c>
      <c r="F2579" s="950">
        <v>1</v>
      </c>
      <c r="G2579" s="951">
        <v>120</v>
      </c>
      <c r="H2579" s="951">
        <v>120</v>
      </c>
      <c r="I2579" s="18"/>
    </row>
    <row r="2580" spans="1:9">
      <c r="A2580" s="943">
        <v>5</v>
      </c>
      <c r="B2580" s="944">
        <v>983.11</v>
      </c>
      <c r="C2580" s="944" t="s">
        <v>673</v>
      </c>
      <c r="D2580" s="943" t="s">
        <v>7</v>
      </c>
      <c r="E2580" s="952">
        <v>4600</v>
      </c>
      <c r="F2580" s="945">
        <v>2</v>
      </c>
      <c r="G2580" s="946">
        <v>150</v>
      </c>
      <c r="H2580" s="946">
        <v>141.80000000000001</v>
      </c>
    </row>
    <row r="2581" spans="1:9" s="26" customFormat="1">
      <c r="A2581" s="947">
        <v>5</v>
      </c>
      <c r="B2581" s="948">
        <v>983.3</v>
      </c>
      <c r="C2581" s="948" t="s">
        <v>674</v>
      </c>
      <c r="D2581" s="947" t="s">
        <v>4</v>
      </c>
      <c r="E2581" s="950">
        <v>40</v>
      </c>
      <c r="F2581" s="950">
        <v>1</v>
      </c>
      <c r="G2581" s="951">
        <v>250</v>
      </c>
      <c r="H2581" s="951">
        <v>275</v>
      </c>
      <c r="I2581" s="18"/>
    </row>
    <row r="2582" spans="1:9">
      <c r="A2582" s="943">
        <v>5</v>
      </c>
      <c r="B2582" s="944">
        <v>986</v>
      </c>
      <c r="C2582" s="944" t="s">
        <v>675</v>
      </c>
      <c r="D2582" s="943" t="s">
        <v>7</v>
      </c>
      <c r="E2582" s="952">
        <v>1630</v>
      </c>
      <c r="F2582" s="945">
        <v>5</v>
      </c>
      <c r="G2582" s="946">
        <v>100</v>
      </c>
      <c r="H2582" s="946">
        <v>97.47</v>
      </c>
    </row>
    <row r="2583" spans="1:9" s="26" customFormat="1">
      <c r="A2583" s="947">
        <v>5</v>
      </c>
      <c r="B2583" s="948">
        <v>987</v>
      </c>
      <c r="C2583" s="948" t="s">
        <v>1433</v>
      </c>
      <c r="D2583" s="947" t="s">
        <v>1</v>
      </c>
      <c r="E2583" s="950">
        <v>160</v>
      </c>
      <c r="F2583" s="950">
        <v>1</v>
      </c>
      <c r="G2583" s="951">
        <v>358.2</v>
      </c>
      <c r="H2583" s="951">
        <v>283.3</v>
      </c>
      <c r="I2583" s="18"/>
    </row>
    <row r="2584" spans="1:9">
      <c r="A2584" s="943">
        <v>5</v>
      </c>
      <c r="B2584" s="944">
        <v>987.02</v>
      </c>
      <c r="C2584" s="944" t="s">
        <v>676</v>
      </c>
      <c r="D2584" s="943" t="s">
        <v>1</v>
      </c>
      <c r="E2584" s="952">
        <v>1000</v>
      </c>
      <c r="F2584" s="945">
        <v>2</v>
      </c>
      <c r="G2584" s="946">
        <v>85</v>
      </c>
      <c r="H2584" s="946">
        <v>85</v>
      </c>
    </row>
    <row r="2585" spans="1:9" s="26" customFormat="1">
      <c r="A2585" s="947">
        <v>5</v>
      </c>
      <c r="B2585" s="948">
        <v>991.1</v>
      </c>
      <c r="C2585" s="948" t="s">
        <v>678</v>
      </c>
      <c r="D2585" s="947" t="s">
        <v>22</v>
      </c>
      <c r="E2585" s="950">
        <v>6</v>
      </c>
      <c r="F2585" s="950">
        <v>1</v>
      </c>
      <c r="G2585" s="951">
        <v>289000</v>
      </c>
      <c r="H2585" s="951">
        <v>218833.33</v>
      </c>
      <c r="I2585" s="18"/>
    </row>
    <row r="2586" spans="1:9">
      <c r="A2586" s="943">
        <v>5</v>
      </c>
      <c r="B2586" s="944">
        <v>992.1</v>
      </c>
      <c r="C2586" s="944" t="s">
        <v>679</v>
      </c>
      <c r="D2586" s="943" t="s">
        <v>22</v>
      </c>
      <c r="E2586" s="945">
        <v>4</v>
      </c>
      <c r="F2586" s="945">
        <v>1</v>
      </c>
      <c r="G2586" s="946">
        <v>1075000</v>
      </c>
      <c r="H2586" s="946">
        <v>981622.47</v>
      </c>
    </row>
    <row r="2587" spans="1:9" s="26" customFormat="1">
      <c r="A2587" s="947">
        <v>5</v>
      </c>
      <c r="B2587" s="948">
        <v>994.1</v>
      </c>
      <c r="C2587" s="948" t="s">
        <v>683</v>
      </c>
      <c r="D2587" s="947" t="s">
        <v>3</v>
      </c>
      <c r="E2587" s="949">
        <v>120320</v>
      </c>
      <c r="F2587" s="950">
        <v>4</v>
      </c>
      <c r="G2587" s="951">
        <v>10</v>
      </c>
      <c r="H2587" s="951">
        <v>11.74</v>
      </c>
      <c r="I2587" s="18"/>
    </row>
    <row r="2588" spans="1:9">
      <c r="A2588" s="943">
        <v>5</v>
      </c>
      <c r="B2588" s="944">
        <v>995.01</v>
      </c>
      <c r="C2588" s="944" t="s">
        <v>685</v>
      </c>
      <c r="D2588" s="943" t="s">
        <v>22</v>
      </c>
      <c r="E2588" s="945">
        <v>9</v>
      </c>
      <c r="F2588" s="945">
        <v>1</v>
      </c>
      <c r="G2588" s="946">
        <v>1876390</v>
      </c>
      <c r="H2588" s="946">
        <v>1827689.67</v>
      </c>
    </row>
    <row r="2589" spans="1:9" s="26" customFormat="1">
      <c r="A2589" s="947">
        <v>5</v>
      </c>
      <c r="B2589" s="948">
        <v>996.01</v>
      </c>
      <c r="C2589" s="948" t="s">
        <v>688</v>
      </c>
      <c r="D2589" s="947" t="s">
        <v>22</v>
      </c>
      <c r="E2589" s="950">
        <v>6</v>
      </c>
      <c r="F2589" s="950">
        <v>2</v>
      </c>
      <c r="G2589" s="951">
        <v>1350000</v>
      </c>
      <c r="H2589" s="951">
        <v>1417500</v>
      </c>
      <c r="I2589" s="18"/>
    </row>
    <row r="2590" spans="1:9">
      <c r="A2590" s="943">
        <v>6</v>
      </c>
      <c r="B2590" s="944">
        <v>100</v>
      </c>
      <c r="C2590" s="944" t="s">
        <v>51</v>
      </c>
      <c r="D2590" s="943" t="s">
        <v>22</v>
      </c>
      <c r="E2590" s="945">
        <v>20</v>
      </c>
      <c r="F2590" s="945">
        <v>5</v>
      </c>
      <c r="G2590" s="946">
        <v>49500</v>
      </c>
      <c r="H2590" s="946">
        <v>51200</v>
      </c>
    </row>
    <row r="2591" spans="1:9" s="26" customFormat="1">
      <c r="A2591" s="947">
        <v>6</v>
      </c>
      <c r="B2591" s="948">
        <v>100.002</v>
      </c>
      <c r="C2591" s="948" t="s">
        <v>83</v>
      </c>
      <c r="D2591" s="947" t="s">
        <v>24</v>
      </c>
      <c r="E2591" s="949">
        <v>10533</v>
      </c>
      <c r="F2591" s="950">
        <v>7</v>
      </c>
      <c r="G2591" s="951">
        <v>109</v>
      </c>
      <c r="H2591" s="951">
        <v>112.71</v>
      </c>
      <c r="I2591" s="18"/>
    </row>
    <row r="2592" spans="1:9">
      <c r="A2592" s="943">
        <v>6</v>
      </c>
      <c r="B2592" s="944">
        <v>100.1</v>
      </c>
      <c r="C2592" s="944" t="s">
        <v>85</v>
      </c>
      <c r="D2592" s="943" t="s">
        <v>24</v>
      </c>
      <c r="E2592" s="952">
        <v>43501</v>
      </c>
      <c r="F2592" s="945">
        <v>5</v>
      </c>
      <c r="G2592" s="946">
        <v>149</v>
      </c>
      <c r="H2592" s="946">
        <v>138.56</v>
      </c>
    </row>
    <row r="2593" spans="1:9" s="26" customFormat="1">
      <c r="A2593" s="947">
        <v>6</v>
      </c>
      <c r="B2593" s="948">
        <v>100.5</v>
      </c>
      <c r="C2593" s="948" t="s">
        <v>1272</v>
      </c>
      <c r="D2593" s="947" t="s">
        <v>22</v>
      </c>
      <c r="E2593" s="950">
        <v>2</v>
      </c>
      <c r="F2593" s="950">
        <v>1</v>
      </c>
      <c r="G2593" s="951">
        <v>186000</v>
      </c>
      <c r="H2593" s="951">
        <v>186000</v>
      </c>
      <c r="I2593" s="18"/>
    </row>
    <row r="2594" spans="1:9">
      <c r="A2594" s="943">
        <v>6</v>
      </c>
      <c r="B2594" s="944">
        <v>100.7</v>
      </c>
      <c r="C2594" s="944" t="s">
        <v>87</v>
      </c>
      <c r="D2594" s="943" t="s">
        <v>22</v>
      </c>
      <c r="E2594" s="945">
        <v>2</v>
      </c>
      <c r="F2594" s="945">
        <v>1</v>
      </c>
      <c r="G2594" s="946">
        <v>265000</v>
      </c>
      <c r="H2594" s="946">
        <v>265000</v>
      </c>
    </row>
    <row r="2595" spans="1:9" s="26" customFormat="1">
      <c r="A2595" s="947">
        <v>6</v>
      </c>
      <c r="B2595" s="948">
        <v>100.71</v>
      </c>
      <c r="C2595" s="948" t="s">
        <v>88</v>
      </c>
      <c r="D2595" s="947" t="s">
        <v>22</v>
      </c>
      <c r="E2595" s="950">
        <v>2</v>
      </c>
      <c r="F2595" s="950">
        <v>1</v>
      </c>
      <c r="G2595" s="951">
        <v>4371000</v>
      </c>
      <c r="H2595" s="951">
        <v>4371000</v>
      </c>
      <c r="I2595" s="18"/>
    </row>
    <row r="2596" spans="1:9">
      <c r="A2596" s="943">
        <v>6</v>
      </c>
      <c r="B2596" s="944">
        <v>100.75</v>
      </c>
      <c r="C2596" s="944" t="s">
        <v>89</v>
      </c>
      <c r="D2596" s="943" t="s">
        <v>22</v>
      </c>
      <c r="E2596" s="945">
        <v>2</v>
      </c>
      <c r="F2596" s="945">
        <v>1</v>
      </c>
      <c r="G2596" s="946">
        <v>1277740</v>
      </c>
      <c r="H2596" s="946">
        <v>1277740</v>
      </c>
    </row>
    <row r="2597" spans="1:9" s="26" customFormat="1">
      <c r="A2597" s="947">
        <v>6</v>
      </c>
      <c r="B2597" s="948">
        <v>100.78</v>
      </c>
      <c r="C2597" s="948" t="s">
        <v>90</v>
      </c>
      <c r="D2597" s="947" t="s">
        <v>22</v>
      </c>
      <c r="E2597" s="950">
        <v>2</v>
      </c>
      <c r="F2597" s="950">
        <v>1</v>
      </c>
      <c r="G2597" s="951">
        <v>3500000</v>
      </c>
      <c r="H2597" s="951">
        <v>3500000</v>
      </c>
      <c r="I2597" s="18"/>
    </row>
    <row r="2598" spans="1:9">
      <c r="A2598" s="943">
        <v>6</v>
      </c>
      <c r="B2598" s="944">
        <v>101</v>
      </c>
      <c r="C2598" s="944" t="s">
        <v>54</v>
      </c>
      <c r="D2598" s="943" t="s">
        <v>55</v>
      </c>
      <c r="E2598" s="945">
        <v>3.19</v>
      </c>
      <c r="F2598" s="945">
        <v>3</v>
      </c>
      <c r="G2598" s="946">
        <v>61000</v>
      </c>
      <c r="H2598" s="946">
        <v>69066.86</v>
      </c>
    </row>
    <row r="2599" spans="1:9" s="26" customFormat="1">
      <c r="A2599" s="947">
        <v>6</v>
      </c>
      <c r="B2599" s="948">
        <v>101.1</v>
      </c>
      <c r="C2599" s="948" t="s">
        <v>1273</v>
      </c>
      <c r="D2599" s="947" t="s">
        <v>55</v>
      </c>
      <c r="E2599" s="950">
        <v>43</v>
      </c>
      <c r="F2599" s="950">
        <v>3</v>
      </c>
      <c r="G2599" s="951">
        <v>13500</v>
      </c>
      <c r="H2599" s="951">
        <v>13139.14</v>
      </c>
      <c r="I2599" s="18"/>
    </row>
    <row r="2600" spans="1:9">
      <c r="A2600" s="943">
        <v>6</v>
      </c>
      <c r="B2600" s="944">
        <v>102.1</v>
      </c>
      <c r="C2600" s="944" t="s">
        <v>93</v>
      </c>
      <c r="D2600" s="943" t="s">
        <v>17</v>
      </c>
      <c r="E2600" s="952">
        <v>79390</v>
      </c>
      <c r="F2600" s="945">
        <v>6</v>
      </c>
      <c r="G2600" s="946">
        <v>17.5</v>
      </c>
      <c r="H2600" s="946">
        <v>16.670000000000002</v>
      </c>
    </row>
    <row r="2601" spans="1:9" s="26" customFormat="1">
      <c r="A2601" s="947">
        <v>6</v>
      </c>
      <c r="B2601" s="948">
        <v>102.2</v>
      </c>
      <c r="C2601" s="948" t="s">
        <v>93</v>
      </c>
      <c r="D2601" s="947" t="s">
        <v>22</v>
      </c>
      <c r="E2601" s="950">
        <v>5</v>
      </c>
      <c r="F2601" s="950">
        <v>1</v>
      </c>
      <c r="G2601" s="951">
        <v>25000</v>
      </c>
      <c r="H2601" s="951">
        <v>25950</v>
      </c>
      <c r="I2601" s="18"/>
    </row>
    <row r="2602" spans="1:9">
      <c r="A2602" s="943" t="s">
        <v>81</v>
      </c>
      <c r="B2602" s="944">
        <v>828.1</v>
      </c>
      <c r="C2602" s="944" t="s">
        <v>553</v>
      </c>
      <c r="D2602" s="943" t="s">
        <v>3</v>
      </c>
      <c r="E2602" s="952">
        <v>21180</v>
      </c>
      <c r="F2602" s="945">
        <v>5</v>
      </c>
      <c r="G2602" s="946">
        <v>30</v>
      </c>
      <c r="H2602" s="946">
        <v>32.200000000000003</v>
      </c>
    </row>
    <row r="2603" spans="1:9" s="26" customFormat="1">
      <c r="A2603" s="947" t="s">
        <v>81</v>
      </c>
      <c r="B2603" s="948">
        <v>829</v>
      </c>
      <c r="C2603" s="948" t="s">
        <v>554</v>
      </c>
      <c r="D2603" s="947" t="s">
        <v>3</v>
      </c>
      <c r="E2603" s="949">
        <v>19170</v>
      </c>
      <c r="F2603" s="950">
        <v>8</v>
      </c>
      <c r="G2603" s="951">
        <v>30</v>
      </c>
      <c r="H2603" s="951">
        <v>31.02</v>
      </c>
      <c r="I2603" s="18"/>
    </row>
    <row r="2604" spans="1:9">
      <c r="A2604" s="943" t="s">
        <v>81</v>
      </c>
      <c r="B2604" s="944">
        <v>831</v>
      </c>
      <c r="C2604" s="944" t="s">
        <v>555</v>
      </c>
      <c r="D2604" s="943" t="s">
        <v>3</v>
      </c>
      <c r="E2604" s="952">
        <v>9940</v>
      </c>
      <c r="F2604" s="945">
        <v>16</v>
      </c>
      <c r="G2604" s="946">
        <v>40</v>
      </c>
      <c r="H2604" s="946">
        <v>40.65</v>
      </c>
    </row>
    <row r="2605" spans="1:9" s="26" customFormat="1">
      <c r="A2605" s="947" t="s">
        <v>81</v>
      </c>
      <c r="B2605" s="948">
        <v>832</v>
      </c>
      <c r="C2605" s="948" t="s">
        <v>556</v>
      </c>
      <c r="D2605" s="947" t="s">
        <v>3</v>
      </c>
      <c r="E2605" s="954">
        <v>118905.5</v>
      </c>
      <c r="F2605" s="950">
        <v>69</v>
      </c>
      <c r="G2605" s="951">
        <v>15</v>
      </c>
      <c r="H2605" s="951">
        <v>15.69</v>
      </c>
      <c r="I2605" s="18"/>
    </row>
    <row r="2606" spans="1:9">
      <c r="A2606" s="943" t="s">
        <v>81</v>
      </c>
      <c r="B2606" s="944">
        <v>833.5</v>
      </c>
      <c r="C2606" s="944" t="s">
        <v>557</v>
      </c>
      <c r="D2606" s="943" t="s">
        <v>2</v>
      </c>
      <c r="E2606" s="952">
        <v>10032</v>
      </c>
      <c r="F2606" s="945">
        <v>13</v>
      </c>
      <c r="G2606" s="946">
        <v>10</v>
      </c>
      <c r="H2606" s="946">
        <v>10.24</v>
      </c>
    </row>
    <row r="2607" spans="1:9" s="26" customFormat="1">
      <c r="A2607" s="947" t="s">
        <v>81</v>
      </c>
      <c r="B2607" s="948">
        <v>833.7</v>
      </c>
      <c r="C2607" s="948" t="s">
        <v>558</v>
      </c>
      <c r="D2607" s="947" t="s">
        <v>2</v>
      </c>
      <c r="E2607" s="949">
        <v>3070</v>
      </c>
      <c r="F2607" s="950">
        <v>27</v>
      </c>
      <c r="G2607" s="951">
        <v>90</v>
      </c>
      <c r="H2607" s="951">
        <v>87.69</v>
      </c>
      <c r="I2607" s="18"/>
    </row>
    <row r="2608" spans="1:9">
      <c r="A2608" s="943" t="s">
        <v>81</v>
      </c>
      <c r="B2608" s="944">
        <v>834</v>
      </c>
      <c r="C2608" s="944" t="s">
        <v>559</v>
      </c>
      <c r="D2608" s="943" t="s">
        <v>2</v>
      </c>
      <c r="E2608" s="945">
        <v>175</v>
      </c>
      <c r="F2608" s="945">
        <v>4</v>
      </c>
      <c r="G2608" s="946">
        <v>235</v>
      </c>
      <c r="H2608" s="946">
        <v>225.22</v>
      </c>
    </row>
    <row r="2609" spans="1:9" s="26" customFormat="1">
      <c r="A2609" s="947" t="s">
        <v>81</v>
      </c>
      <c r="B2609" s="948">
        <v>834.17</v>
      </c>
      <c r="C2609" s="948" t="s">
        <v>560</v>
      </c>
      <c r="D2609" s="947" t="s">
        <v>2</v>
      </c>
      <c r="E2609" s="950">
        <v>555</v>
      </c>
      <c r="F2609" s="950">
        <v>7</v>
      </c>
      <c r="G2609" s="951">
        <v>73.02</v>
      </c>
      <c r="H2609" s="951">
        <v>77.349999999999994</v>
      </c>
      <c r="I2609" s="18"/>
    </row>
    <row r="2610" spans="1:9">
      <c r="A2610" s="943" t="s">
        <v>81</v>
      </c>
      <c r="B2610" s="944">
        <v>834.18</v>
      </c>
      <c r="C2610" s="944" t="s">
        <v>561</v>
      </c>
      <c r="D2610" s="943" t="s">
        <v>2</v>
      </c>
      <c r="E2610" s="952">
        <v>1811</v>
      </c>
      <c r="F2610" s="945">
        <v>5</v>
      </c>
      <c r="G2610" s="946">
        <v>63.5</v>
      </c>
      <c r="H2610" s="946">
        <v>64.25</v>
      </c>
    </row>
    <row r="2611" spans="1:9" s="26" customFormat="1">
      <c r="A2611" s="947" t="s">
        <v>81</v>
      </c>
      <c r="B2611" s="948">
        <v>836</v>
      </c>
      <c r="C2611" s="948" t="s">
        <v>3313</v>
      </c>
      <c r="D2611" s="947" t="s">
        <v>2</v>
      </c>
      <c r="E2611" s="950">
        <v>20</v>
      </c>
      <c r="F2611" s="950">
        <v>1</v>
      </c>
      <c r="G2611" s="951">
        <v>75</v>
      </c>
      <c r="H2611" s="951">
        <v>77</v>
      </c>
      <c r="I2611" s="18"/>
    </row>
    <row r="2612" spans="1:9">
      <c r="A2612" s="943" t="s">
        <v>81</v>
      </c>
      <c r="B2612" s="944">
        <v>836.5</v>
      </c>
      <c r="C2612" s="944" t="s">
        <v>562</v>
      </c>
      <c r="D2612" s="943" t="s">
        <v>2</v>
      </c>
      <c r="E2612" s="945">
        <v>772</v>
      </c>
      <c r="F2612" s="945">
        <v>3</v>
      </c>
      <c r="G2612" s="946">
        <v>65</v>
      </c>
      <c r="H2612" s="946">
        <v>64.989999999999995</v>
      </c>
    </row>
    <row r="2613" spans="1:9" s="26" customFormat="1">
      <c r="A2613" s="947" t="s">
        <v>81</v>
      </c>
      <c r="B2613" s="948">
        <v>840.101</v>
      </c>
      <c r="C2613" s="948" t="s">
        <v>1446</v>
      </c>
      <c r="D2613" s="947" t="s">
        <v>22</v>
      </c>
      <c r="E2613" s="950">
        <v>5</v>
      </c>
      <c r="F2613" s="950">
        <v>2</v>
      </c>
      <c r="G2613" s="951">
        <v>120000</v>
      </c>
      <c r="H2613" s="951">
        <v>104820</v>
      </c>
      <c r="I2613" s="18"/>
    </row>
    <row r="2614" spans="1:9">
      <c r="A2614" s="943" t="s">
        <v>81</v>
      </c>
      <c r="B2614" s="944">
        <v>840.10199999999998</v>
      </c>
      <c r="C2614" s="944" t="s">
        <v>563</v>
      </c>
      <c r="D2614" s="943" t="s">
        <v>22</v>
      </c>
      <c r="E2614" s="945">
        <v>7</v>
      </c>
      <c r="F2614" s="945">
        <v>3</v>
      </c>
      <c r="G2614" s="946">
        <v>105000</v>
      </c>
      <c r="H2614" s="946">
        <v>104157.14</v>
      </c>
    </row>
    <row r="2615" spans="1:9" s="26" customFormat="1">
      <c r="A2615" s="947" t="s">
        <v>81</v>
      </c>
      <c r="B2615" s="948">
        <v>841.1</v>
      </c>
      <c r="C2615" s="948" t="s">
        <v>566</v>
      </c>
      <c r="D2615" s="947" t="s">
        <v>2</v>
      </c>
      <c r="E2615" s="950">
        <v>305</v>
      </c>
      <c r="F2615" s="950">
        <v>16</v>
      </c>
      <c r="G2615" s="951">
        <v>3000</v>
      </c>
      <c r="H2615" s="951">
        <v>2980.37</v>
      </c>
      <c r="I2615" s="18"/>
    </row>
    <row r="2616" spans="1:9">
      <c r="A2616" s="943" t="s">
        <v>81</v>
      </c>
      <c r="B2616" s="944">
        <v>841.2</v>
      </c>
      <c r="C2616" s="944" t="s">
        <v>567</v>
      </c>
      <c r="D2616" s="943" t="s">
        <v>2</v>
      </c>
      <c r="E2616" s="945">
        <v>80</v>
      </c>
      <c r="F2616" s="945">
        <v>8</v>
      </c>
      <c r="G2616" s="946">
        <v>2645</v>
      </c>
      <c r="H2616" s="946">
        <v>2521.4699999999998</v>
      </c>
    </row>
    <row r="2617" spans="1:9" s="26" customFormat="1">
      <c r="A2617" s="947" t="s">
        <v>81</v>
      </c>
      <c r="B2617" s="948">
        <v>841.4</v>
      </c>
      <c r="C2617" s="948" t="s">
        <v>568</v>
      </c>
      <c r="D2617" s="947" t="s">
        <v>2</v>
      </c>
      <c r="E2617" s="950">
        <v>6</v>
      </c>
      <c r="F2617" s="950">
        <v>1</v>
      </c>
      <c r="G2617" s="951">
        <v>2400</v>
      </c>
      <c r="H2617" s="951">
        <v>2515.83</v>
      </c>
      <c r="I2617" s="18"/>
    </row>
    <row r="2618" spans="1:9">
      <c r="A2618" s="943" t="s">
        <v>81</v>
      </c>
      <c r="B2618" s="944">
        <v>841.6</v>
      </c>
      <c r="C2618" s="944" t="s">
        <v>569</v>
      </c>
      <c r="D2618" s="943" t="s">
        <v>2</v>
      </c>
      <c r="E2618" s="945">
        <v>18</v>
      </c>
      <c r="F2618" s="945">
        <v>2</v>
      </c>
      <c r="G2618" s="946">
        <v>1525</v>
      </c>
      <c r="H2618" s="946">
        <v>1587.5</v>
      </c>
    </row>
    <row r="2619" spans="1:9" s="26" customFormat="1">
      <c r="A2619" s="947" t="s">
        <v>81</v>
      </c>
      <c r="B2619" s="948">
        <v>841.8</v>
      </c>
      <c r="C2619" s="948" t="s">
        <v>571</v>
      </c>
      <c r="D2619" s="947" t="s">
        <v>2</v>
      </c>
      <c r="E2619" s="950">
        <v>24</v>
      </c>
      <c r="F2619" s="950">
        <v>1</v>
      </c>
      <c r="G2619" s="951">
        <v>4375</v>
      </c>
      <c r="H2619" s="951">
        <v>4466.88</v>
      </c>
      <c r="I2619" s="18"/>
    </row>
    <row r="2620" spans="1:9">
      <c r="A2620" s="943" t="s">
        <v>81</v>
      </c>
      <c r="B2620" s="944">
        <v>844.101</v>
      </c>
      <c r="C2620" s="944" t="s">
        <v>572</v>
      </c>
      <c r="D2620" s="943" t="s">
        <v>22</v>
      </c>
      <c r="E2620" s="945">
        <v>8</v>
      </c>
      <c r="F2620" s="945">
        <v>3</v>
      </c>
      <c r="G2620" s="946">
        <v>5275</v>
      </c>
      <c r="H2620" s="946">
        <v>5011.88</v>
      </c>
    </row>
    <row r="2621" spans="1:9" s="26" customFormat="1">
      <c r="A2621" s="947" t="s">
        <v>81</v>
      </c>
      <c r="B2621" s="948">
        <v>844.10199999999998</v>
      </c>
      <c r="C2621" s="948" t="s">
        <v>573</v>
      </c>
      <c r="D2621" s="947" t="s">
        <v>22</v>
      </c>
      <c r="E2621" s="950">
        <v>9</v>
      </c>
      <c r="F2621" s="950">
        <v>3</v>
      </c>
      <c r="G2621" s="951">
        <v>5750</v>
      </c>
      <c r="H2621" s="951">
        <v>5888.33</v>
      </c>
      <c r="I2621" s="18"/>
    </row>
    <row r="2622" spans="1:9">
      <c r="A2622" s="943" t="s">
        <v>81</v>
      </c>
      <c r="B2622" s="944">
        <v>844.10299999999995</v>
      </c>
      <c r="C2622" s="944" t="s">
        <v>574</v>
      </c>
      <c r="D2622" s="943" t="s">
        <v>22</v>
      </c>
      <c r="E2622" s="945">
        <v>6</v>
      </c>
      <c r="F2622" s="945">
        <v>1</v>
      </c>
      <c r="G2622" s="946">
        <v>5000</v>
      </c>
      <c r="H2622" s="946">
        <v>4865.83</v>
      </c>
    </row>
    <row r="2623" spans="1:9" s="26" customFormat="1">
      <c r="A2623" s="947" t="s">
        <v>81</v>
      </c>
      <c r="B2623" s="948">
        <v>844.10400000000004</v>
      </c>
      <c r="C2623" s="948" t="s">
        <v>575</v>
      </c>
      <c r="D2623" s="947" t="s">
        <v>22</v>
      </c>
      <c r="E2623" s="950">
        <v>6</v>
      </c>
      <c r="F2623" s="950">
        <v>1</v>
      </c>
      <c r="G2623" s="951">
        <v>4950</v>
      </c>
      <c r="H2623" s="951">
        <v>4865.83</v>
      </c>
      <c r="I2623" s="18"/>
    </row>
    <row r="2624" spans="1:9">
      <c r="A2624" s="943" t="s">
        <v>81</v>
      </c>
      <c r="B2624" s="944">
        <v>845.1</v>
      </c>
      <c r="C2624" s="944" t="s">
        <v>576</v>
      </c>
      <c r="D2624" s="943" t="s">
        <v>2</v>
      </c>
      <c r="E2624" s="945">
        <v>40</v>
      </c>
      <c r="F2624" s="945">
        <v>1</v>
      </c>
      <c r="G2624" s="946">
        <v>2100</v>
      </c>
      <c r="H2624" s="946">
        <v>2070</v>
      </c>
    </row>
    <row r="2625" spans="1:9" s="26" customFormat="1">
      <c r="A2625" s="947" t="s">
        <v>81</v>
      </c>
      <c r="B2625" s="948">
        <v>846.1</v>
      </c>
      <c r="C2625" s="948" t="s">
        <v>577</v>
      </c>
      <c r="D2625" s="947" t="s">
        <v>2</v>
      </c>
      <c r="E2625" s="950">
        <v>28</v>
      </c>
      <c r="F2625" s="950">
        <v>3</v>
      </c>
      <c r="G2625" s="951">
        <v>3875</v>
      </c>
      <c r="H2625" s="951">
        <v>3908.33</v>
      </c>
      <c r="I2625" s="18"/>
    </row>
    <row r="2626" spans="1:9">
      <c r="A2626" s="943" t="s">
        <v>81</v>
      </c>
      <c r="B2626" s="944">
        <v>847.1</v>
      </c>
      <c r="C2626" s="944" t="s">
        <v>578</v>
      </c>
      <c r="D2626" s="943" t="s">
        <v>2</v>
      </c>
      <c r="E2626" s="952">
        <v>18182</v>
      </c>
      <c r="F2626" s="945">
        <v>66</v>
      </c>
      <c r="G2626" s="946">
        <v>250</v>
      </c>
      <c r="H2626" s="946">
        <v>249.19</v>
      </c>
    </row>
    <row r="2627" spans="1:9" s="26" customFormat="1">
      <c r="A2627" s="947" t="s">
        <v>81</v>
      </c>
      <c r="B2627" s="948">
        <v>848.1</v>
      </c>
      <c r="C2627" s="948" t="s">
        <v>579</v>
      </c>
      <c r="D2627" s="947" t="s">
        <v>2</v>
      </c>
      <c r="E2627" s="950">
        <v>952</v>
      </c>
      <c r="F2627" s="950">
        <v>28</v>
      </c>
      <c r="G2627" s="951">
        <v>450</v>
      </c>
      <c r="H2627" s="951">
        <v>447.96</v>
      </c>
      <c r="I2627" s="18"/>
    </row>
    <row r="2628" spans="1:9">
      <c r="A2628" s="943" t="s">
        <v>81</v>
      </c>
      <c r="B2628" s="944">
        <v>850.41</v>
      </c>
      <c r="C2628" s="944" t="s">
        <v>580</v>
      </c>
      <c r="D2628" s="943" t="s">
        <v>24</v>
      </c>
      <c r="E2628" s="952">
        <v>125647</v>
      </c>
      <c r="F2628" s="945">
        <v>70</v>
      </c>
      <c r="G2628" s="946">
        <v>70</v>
      </c>
      <c r="H2628" s="946">
        <v>71.989999999999995</v>
      </c>
    </row>
    <row r="2629" spans="1:9" s="26" customFormat="1">
      <c r="A2629" s="947" t="s">
        <v>81</v>
      </c>
      <c r="B2629" s="948">
        <v>851.1</v>
      </c>
      <c r="C2629" s="948" t="s">
        <v>581</v>
      </c>
      <c r="D2629" s="947" t="s">
        <v>42</v>
      </c>
      <c r="E2629" s="949">
        <v>26034</v>
      </c>
      <c r="F2629" s="950">
        <v>61</v>
      </c>
      <c r="G2629" s="951">
        <v>100</v>
      </c>
      <c r="H2629" s="951">
        <v>131.1</v>
      </c>
      <c r="I2629" s="18"/>
    </row>
    <row r="2630" spans="1:9">
      <c r="A2630" s="943" t="s">
        <v>81</v>
      </c>
      <c r="B2630" s="944">
        <v>852</v>
      </c>
      <c r="C2630" s="944" t="s">
        <v>49</v>
      </c>
      <c r="D2630" s="943" t="s">
        <v>3</v>
      </c>
      <c r="E2630" s="952">
        <v>355727</v>
      </c>
      <c r="F2630" s="945">
        <v>143</v>
      </c>
      <c r="G2630" s="946">
        <v>25</v>
      </c>
      <c r="H2630" s="946">
        <v>25.13</v>
      </c>
    </row>
    <row r="2631" spans="1:9" s="26" customFormat="1">
      <c r="A2631" s="947" t="s">
        <v>81</v>
      </c>
      <c r="B2631" s="948">
        <v>853.1</v>
      </c>
      <c r="C2631" s="948" t="s">
        <v>582</v>
      </c>
      <c r="D2631" s="947" t="s">
        <v>2</v>
      </c>
      <c r="E2631" s="949">
        <v>1961</v>
      </c>
      <c r="F2631" s="950">
        <v>64</v>
      </c>
      <c r="G2631" s="951">
        <v>159</v>
      </c>
      <c r="H2631" s="951">
        <v>169.42</v>
      </c>
      <c r="I2631" s="18"/>
    </row>
    <row r="2632" spans="1:9">
      <c r="A2632" s="943" t="s">
        <v>81</v>
      </c>
      <c r="B2632" s="944">
        <v>853.2</v>
      </c>
      <c r="C2632" s="944" t="s">
        <v>1453</v>
      </c>
      <c r="D2632" s="943" t="s">
        <v>17</v>
      </c>
      <c r="E2632" s="952">
        <v>40750</v>
      </c>
      <c r="F2632" s="945">
        <v>21</v>
      </c>
      <c r="G2632" s="946">
        <v>70</v>
      </c>
      <c r="H2632" s="946">
        <v>64.86</v>
      </c>
    </row>
    <row r="2633" spans="1:9" s="26" customFormat="1">
      <c r="A2633" s="947" t="s">
        <v>81</v>
      </c>
      <c r="B2633" s="948">
        <v>853.21</v>
      </c>
      <c r="C2633" s="948" t="s">
        <v>583</v>
      </c>
      <c r="D2633" s="947" t="s">
        <v>17</v>
      </c>
      <c r="E2633" s="949">
        <v>337363</v>
      </c>
      <c r="F2633" s="950">
        <v>49</v>
      </c>
      <c r="G2633" s="951">
        <v>18</v>
      </c>
      <c r="H2633" s="951">
        <v>18.100000000000001</v>
      </c>
      <c r="I2633" s="18"/>
    </row>
    <row r="2634" spans="1:9">
      <c r="A2634" s="943" t="s">
        <v>81</v>
      </c>
      <c r="B2634" s="944">
        <v>853.23</v>
      </c>
      <c r="C2634" s="944" t="s">
        <v>584</v>
      </c>
      <c r="D2634" s="943" t="s">
        <v>17</v>
      </c>
      <c r="E2634" s="952">
        <v>53647</v>
      </c>
      <c r="F2634" s="945">
        <v>21</v>
      </c>
      <c r="G2634" s="946">
        <v>70.5</v>
      </c>
      <c r="H2634" s="946">
        <v>70.47</v>
      </c>
    </row>
    <row r="2635" spans="1:9" s="26" customFormat="1">
      <c r="A2635" s="947" t="s">
        <v>81</v>
      </c>
      <c r="B2635" s="948">
        <v>853.33</v>
      </c>
      <c r="C2635" s="948" t="s">
        <v>587</v>
      </c>
      <c r="D2635" s="947" t="s">
        <v>17</v>
      </c>
      <c r="E2635" s="949">
        <v>145124</v>
      </c>
      <c r="F2635" s="950">
        <v>33</v>
      </c>
      <c r="G2635" s="951">
        <v>87.5</v>
      </c>
      <c r="H2635" s="951">
        <v>91.02</v>
      </c>
      <c r="I2635" s="18"/>
    </row>
    <row r="2636" spans="1:9">
      <c r="A2636" s="943" t="s">
        <v>81</v>
      </c>
      <c r="B2636" s="944">
        <v>853.40300000000002</v>
      </c>
      <c r="C2636" s="944" t="s">
        <v>588</v>
      </c>
      <c r="D2636" s="943" t="s">
        <v>42</v>
      </c>
      <c r="E2636" s="953">
        <v>52394.8</v>
      </c>
      <c r="F2636" s="945">
        <v>99</v>
      </c>
      <c r="G2636" s="946">
        <v>190</v>
      </c>
      <c r="H2636" s="946">
        <v>185.62</v>
      </c>
    </row>
    <row r="2637" spans="1:9" s="26" customFormat="1">
      <c r="A2637" s="947" t="s">
        <v>81</v>
      </c>
      <c r="B2637" s="948">
        <v>853.8</v>
      </c>
      <c r="C2637" s="948" t="s">
        <v>589</v>
      </c>
      <c r="D2637" s="947" t="s">
        <v>42</v>
      </c>
      <c r="E2637" s="949">
        <v>14492</v>
      </c>
      <c r="F2637" s="950">
        <v>54</v>
      </c>
      <c r="G2637" s="951">
        <v>85</v>
      </c>
      <c r="H2637" s="951">
        <v>91.2</v>
      </c>
      <c r="I2637" s="18"/>
    </row>
    <row r="2638" spans="1:9">
      <c r="A2638" s="943" t="s">
        <v>81</v>
      </c>
      <c r="B2638" s="944">
        <v>854.01599999999996</v>
      </c>
      <c r="C2638" s="944" t="s">
        <v>591</v>
      </c>
      <c r="D2638" s="943" t="s">
        <v>17</v>
      </c>
      <c r="E2638" s="952">
        <v>14453321</v>
      </c>
      <c r="F2638" s="945">
        <v>57</v>
      </c>
      <c r="G2638" s="946">
        <v>0.57999999999999996</v>
      </c>
      <c r="H2638" s="946">
        <v>0.62</v>
      </c>
    </row>
    <row r="2639" spans="1:9" s="26" customFormat="1">
      <c r="A2639" s="947" t="s">
        <v>81</v>
      </c>
      <c r="B2639" s="948">
        <v>854.03599999999994</v>
      </c>
      <c r="C2639" s="948" t="s">
        <v>592</v>
      </c>
      <c r="D2639" s="947" t="s">
        <v>17</v>
      </c>
      <c r="E2639" s="949">
        <v>1892532</v>
      </c>
      <c r="F2639" s="950">
        <v>75</v>
      </c>
      <c r="G2639" s="951">
        <v>2</v>
      </c>
      <c r="H2639" s="951">
        <v>1.96</v>
      </c>
      <c r="I2639" s="18"/>
    </row>
    <row r="2640" spans="1:9">
      <c r="A2640" s="943" t="s">
        <v>81</v>
      </c>
      <c r="B2640" s="944">
        <v>854.1</v>
      </c>
      <c r="C2640" s="944" t="s">
        <v>593</v>
      </c>
      <c r="D2640" s="943" t="s">
        <v>3</v>
      </c>
      <c r="E2640" s="952">
        <v>827113</v>
      </c>
      <c r="F2640" s="945">
        <v>61</v>
      </c>
      <c r="G2640" s="946">
        <v>2.5</v>
      </c>
      <c r="H2640" s="946">
        <v>2.5299999999999998</v>
      </c>
    </row>
    <row r="2641" spans="1:9" s="26" customFormat="1">
      <c r="A2641" s="947" t="s">
        <v>81</v>
      </c>
      <c r="B2641" s="948">
        <v>854.6</v>
      </c>
      <c r="C2641" s="948" t="s">
        <v>1454</v>
      </c>
      <c r="D2641" s="947" t="s">
        <v>42</v>
      </c>
      <c r="E2641" s="949">
        <v>51908</v>
      </c>
      <c r="F2641" s="950">
        <v>54</v>
      </c>
      <c r="G2641" s="951">
        <v>45</v>
      </c>
      <c r="H2641" s="951">
        <v>43.2</v>
      </c>
      <c r="I2641" s="18"/>
    </row>
    <row r="2642" spans="1:9">
      <c r="A2642" s="943" t="s">
        <v>81</v>
      </c>
      <c r="B2642" s="944">
        <v>856</v>
      </c>
      <c r="C2642" s="944" t="s">
        <v>595</v>
      </c>
      <c r="D2642" s="943" t="s">
        <v>42</v>
      </c>
      <c r="E2642" s="952">
        <v>225546</v>
      </c>
      <c r="F2642" s="945">
        <v>130</v>
      </c>
      <c r="G2642" s="946">
        <v>12</v>
      </c>
      <c r="H2642" s="946">
        <v>10.61</v>
      </c>
    </row>
    <row r="2643" spans="1:9" s="26" customFormat="1">
      <c r="A2643" s="947" t="s">
        <v>81</v>
      </c>
      <c r="B2643" s="948">
        <v>856.12</v>
      </c>
      <c r="C2643" s="948" t="s">
        <v>596</v>
      </c>
      <c r="D2643" s="947" t="s">
        <v>42</v>
      </c>
      <c r="E2643" s="949">
        <v>392896</v>
      </c>
      <c r="F2643" s="950">
        <v>133</v>
      </c>
      <c r="G2643" s="951">
        <v>25</v>
      </c>
      <c r="H2643" s="951">
        <v>25.95</v>
      </c>
      <c r="I2643" s="18"/>
    </row>
    <row r="2644" spans="1:9">
      <c r="A2644" s="943" t="s">
        <v>81</v>
      </c>
      <c r="B2644" s="944">
        <v>859</v>
      </c>
      <c r="C2644" s="944" t="s">
        <v>28</v>
      </c>
      <c r="D2644" s="943" t="s">
        <v>42</v>
      </c>
      <c r="E2644" s="952">
        <v>16365463</v>
      </c>
      <c r="F2644" s="945">
        <v>119</v>
      </c>
      <c r="G2644" s="946">
        <v>0.3</v>
      </c>
      <c r="H2644" s="946">
        <v>0.27</v>
      </c>
    </row>
    <row r="2645" spans="1:9" s="26" customFormat="1">
      <c r="A2645" s="947" t="s">
        <v>81</v>
      </c>
      <c r="B2645" s="948">
        <v>859.1</v>
      </c>
      <c r="C2645" s="948" t="s">
        <v>1455</v>
      </c>
      <c r="D2645" s="947" t="s">
        <v>42</v>
      </c>
      <c r="E2645" s="949">
        <v>492668</v>
      </c>
      <c r="F2645" s="950">
        <v>105</v>
      </c>
      <c r="G2645" s="951">
        <v>5</v>
      </c>
      <c r="H2645" s="951">
        <v>4.66</v>
      </c>
      <c r="I2645" s="18"/>
    </row>
    <row r="2646" spans="1:9">
      <c r="A2646" s="943" t="s">
        <v>81</v>
      </c>
      <c r="B2646" s="944">
        <v>860.10599999999999</v>
      </c>
      <c r="C2646" s="944" t="s">
        <v>597</v>
      </c>
      <c r="D2646" s="943" t="s">
        <v>17</v>
      </c>
      <c r="E2646" s="952">
        <v>1222700</v>
      </c>
      <c r="F2646" s="945">
        <v>8</v>
      </c>
      <c r="G2646" s="946">
        <v>2.25</v>
      </c>
      <c r="H2646" s="946">
        <v>2.09</v>
      </c>
    </row>
    <row r="2647" spans="1:9" s="26" customFormat="1">
      <c r="A2647" s="947" t="s">
        <v>81</v>
      </c>
      <c r="B2647" s="948">
        <v>860.11199999999997</v>
      </c>
      <c r="C2647" s="948" t="s">
        <v>598</v>
      </c>
      <c r="D2647" s="947" t="s">
        <v>17</v>
      </c>
      <c r="E2647" s="949">
        <v>3392</v>
      </c>
      <c r="F2647" s="950">
        <v>3</v>
      </c>
      <c r="G2647" s="951">
        <v>10.199999999999999</v>
      </c>
      <c r="H2647" s="951">
        <v>13.92</v>
      </c>
      <c r="I2647" s="18"/>
    </row>
    <row r="2648" spans="1:9">
      <c r="A2648" s="943" t="s">
        <v>81</v>
      </c>
      <c r="B2648" s="944">
        <v>861.10599999999999</v>
      </c>
      <c r="C2648" s="944" t="s">
        <v>599</v>
      </c>
      <c r="D2648" s="943" t="s">
        <v>17</v>
      </c>
      <c r="E2648" s="952">
        <v>1028050</v>
      </c>
      <c r="F2648" s="945">
        <v>8</v>
      </c>
      <c r="G2648" s="946">
        <v>2.4500000000000002</v>
      </c>
      <c r="H2648" s="946">
        <v>2.2999999999999998</v>
      </c>
    </row>
    <row r="2649" spans="1:9" s="26" customFormat="1">
      <c r="A2649" s="947" t="s">
        <v>81</v>
      </c>
      <c r="B2649" s="948">
        <v>864</v>
      </c>
      <c r="C2649" s="948" t="s">
        <v>601</v>
      </c>
      <c r="D2649" s="947" t="s">
        <v>3</v>
      </c>
      <c r="E2649" s="949">
        <v>1880</v>
      </c>
      <c r="F2649" s="950">
        <v>4</v>
      </c>
      <c r="G2649" s="951">
        <v>10.89</v>
      </c>
      <c r="H2649" s="951">
        <v>9.1</v>
      </c>
      <c r="I2649" s="18"/>
    </row>
    <row r="2650" spans="1:9">
      <c r="A2650" s="943" t="s">
        <v>81</v>
      </c>
      <c r="B2650" s="944">
        <v>864.02</v>
      </c>
      <c r="C2650" s="944" t="s">
        <v>603</v>
      </c>
      <c r="D2650" s="943" t="s">
        <v>3</v>
      </c>
      <c r="E2650" s="952">
        <v>8229</v>
      </c>
      <c r="F2650" s="945">
        <v>12</v>
      </c>
      <c r="G2650" s="946">
        <v>60</v>
      </c>
      <c r="H2650" s="946">
        <v>61.51</v>
      </c>
    </row>
    <row r="2651" spans="1:9" s="26" customFormat="1">
      <c r="A2651" s="947" t="s">
        <v>81</v>
      </c>
      <c r="B2651" s="948">
        <v>864.04</v>
      </c>
      <c r="C2651" s="948" t="s">
        <v>1456</v>
      </c>
      <c r="D2651" s="947" t="s">
        <v>3</v>
      </c>
      <c r="E2651" s="949">
        <v>365366</v>
      </c>
      <c r="F2651" s="950">
        <v>54</v>
      </c>
      <c r="G2651" s="951">
        <v>12.5</v>
      </c>
      <c r="H2651" s="951">
        <v>10.91</v>
      </c>
      <c r="I2651" s="18"/>
    </row>
    <row r="2652" spans="1:9">
      <c r="A2652" s="943" t="s">
        <v>81</v>
      </c>
      <c r="B2652" s="944">
        <v>864.07</v>
      </c>
      <c r="C2652" s="944" t="s">
        <v>604</v>
      </c>
      <c r="D2652" s="943" t="s">
        <v>3</v>
      </c>
      <c r="E2652" s="952">
        <v>24240</v>
      </c>
      <c r="F2652" s="945">
        <v>4</v>
      </c>
      <c r="G2652" s="946">
        <v>8</v>
      </c>
      <c r="H2652" s="946">
        <v>7.6</v>
      </c>
    </row>
    <row r="2653" spans="1:9" s="26" customFormat="1">
      <c r="A2653" s="947" t="s">
        <v>81</v>
      </c>
      <c r="B2653" s="948">
        <v>864.31</v>
      </c>
      <c r="C2653" s="948" t="s">
        <v>605</v>
      </c>
      <c r="D2653" s="947" t="s">
        <v>2</v>
      </c>
      <c r="E2653" s="949">
        <v>21229</v>
      </c>
      <c r="F2653" s="950">
        <v>19</v>
      </c>
      <c r="G2653" s="951">
        <v>36</v>
      </c>
      <c r="H2653" s="951">
        <v>35.619999999999997</v>
      </c>
      <c r="I2653" s="18"/>
    </row>
    <row r="2654" spans="1:9">
      <c r="A2654" s="943" t="s">
        <v>81</v>
      </c>
      <c r="B2654" s="944">
        <v>864.32</v>
      </c>
      <c r="C2654" s="944" t="s">
        <v>606</v>
      </c>
      <c r="D2654" s="943" t="s">
        <v>2</v>
      </c>
      <c r="E2654" s="952">
        <v>7454</v>
      </c>
      <c r="F2654" s="945">
        <v>8</v>
      </c>
      <c r="G2654" s="946">
        <v>33.880000000000003</v>
      </c>
      <c r="H2654" s="946">
        <v>38.18</v>
      </c>
    </row>
    <row r="2655" spans="1:9" s="26" customFormat="1">
      <c r="A2655" s="947" t="s">
        <v>81</v>
      </c>
      <c r="B2655" s="948">
        <v>864.33</v>
      </c>
      <c r="C2655" s="948" t="s">
        <v>607</v>
      </c>
      <c r="D2655" s="947" t="s">
        <v>2</v>
      </c>
      <c r="E2655" s="949">
        <v>10950</v>
      </c>
      <c r="F2655" s="950">
        <v>12</v>
      </c>
      <c r="G2655" s="951">
        <v>45</v>
      </c>
      <c r="H2655" s="951">
        <v>42.69</v>
      </c>
      <c r="I2655" s="18"/>
    </row>
    <row r="2656" spans="1:9">
      <c r="A2656" s="943" t="s">
        <v>81</v>
      </c>
      <c r="B2656" s="944">
        <v>864.34</v>
      </c>
      <c r="C2656" s="944" t="s">
        <v>608</v>
      </c>
      <c r="D2656" s="943" t="s">
        <v>2</v>
      </c>
      <c r="E2656" s="952">
        <v>4710</v>
      </c>
      <c r="F2656" s="945">
        <v>10</v>
      </c>
      <c r="G2656" s="946">
        <v>38</v>
      </c>
      <c r="H2656" s="946">
        <v>39.880000000000003</v>
      </c>
    </row>
    <row r="2657" spans="1:9" s="26" customFormat="1">
      <c r="A2657" s="947" t="s">
        <v>81</v>
      </c>
      <c r="B2657" s="948">
        <v>864.35</v>
      </c>
      <c r="C2657" s="948" t="s">
        <v>609</v>
      </c>
      <c r="D2657" s="947" t="s">
        <v>2</v>
      </c>
      <c r="E2657" s="949">
        <v>3983</v>
      </c>
      <c r="F2657" s="950">
        <v>7</v>
      </c>
      <c r="G2657" s="951">
        <v>52</v>
      </c>
      <c r="H2657" s="951">
        <v>56.28</v>
      </c>
      <c r="I2657" s="18"/>
    </row>
    <row r="2658" spans="1:9">
      <c r="A2658" s="943" t="s">
        <v>81</v>
      </c>
      <c r="B2658" s="944">
        <v>866.10599999999999</v>
      </c>
      <c r="C2658" s="944" t="s">
        <v>25</v>
      </c>
      <c r="D2658" s="943" t="s">
        <v>17</v>
      </c>
      <c r="E2658" s="952">
        <v>4390225</v>
      </c>
      <c r="F2658" s="945">
        <v>40</v>
      </c>
      <c r="G2658" s="946">
        <v>2</v>
      </c>
      <c r="H2658" s="946">
        <v>1.76</v>
      </c>
    </row>
    <row r="2659" spans="1:9" s="26" customFormat="1">
      <c r="A2659" s="947" t="s">
        <v>81</v>
      </c>
      <c r="B2659" s="948">
        <v>866.11199999999997</v>
      </c>
      <c r="C2659" s="948" t="s">
        <v>610</v>
      </c>
      <c r="D2659" s="947" t="s">
        <v>17</v>
      </c>
      <c r="E2659" s="949">
        <v>637069</v>
      </c>
      <c r="F2659" s="950">
        <v>36</v>
      </c>
      <c r="G2659" s="951">
        <v>6.24</v>
      </c>
      <c r="H2659" s="951">
        <v>6.01</v>
      </c>
      <c r="I2659" s="18"/>
    </row>
    <row r="2660" spans="1:9">
      <c r="A2660" s="943" t="s">
        <v>81</v>
      </c>
      <c r="B2660" s="944">
        <v>866.20600000000002</v>
      </c>
      <c r="C2660" s="944" t="s">
        <v>611</v>
      </c>
      <c r="D2660" s="943" t="s">
        <v>17</v>
      </c>
      <c r="E2660" s="952">
        <v>759250</v>
      </c>
      <c r="F2660" s="945">
        <v>21</v>
      </c>
      <c r="G2660" s="946">
        <v>3.25</v>
      </c>
      <c r="H2660" s="946">
        <v>3.53</v>
      </c>
    </row>
    <row r="2661" spans="1:9" s="26" customFormat="1">
      <c r="A2661" s="947" t="s">
        <v>81</v>
      </c>
      <c r="B2661" s="948">
        <v>866.21199999999999</v>
      </c>
      <c r="C2661" s="948" t="s">
        <v>612</v>
      </c>
      <c r="D2661" s="947" t="s">
        <v>17</v>
      </c>
      <c r="E2661" s="949">
        <v>52347</v>
      </c>
      <c r="F2661" s="950">
        <v>7</v>
      </c>
      <c r="G2661" s="951">
        <v>12</v>
      </c>
      <c r="H2661" s="951">
        <v>11.7</v>
      </c>
      <c r="I2661" s="18"/>
    </row>
    <row r="2662" spans="1:9">
      <c r="A2662" s="943" t="s">
        <v>81</v>
      </c>
      <c r="B2662" s="944">
        <v>867.10599999999999</v>
      </c>
      <c r="C2662" s="944" t="s">
        <v>613</v>
      </c>
      <c r="D2662" s="943" t="s">
        <v>17</v>
      </c>
      <c r="E2662" s="952">
        <v>4076380</v>
      </c>
      <c r="F2662" s="945">
        <v>40</v>
      </c>
      <c r="G2662" s="946">
        <v>2</v>
      </c>
      <c r="H2662" s="946">
        <v>1.77</v>
      </c>
    </row>
    <row r="2663" spans="1:9" s="26" customFormat="1">
      <c r="A2663" s="947" t="s">
        <v>81</v>
      </c>
      <c r="B2663" s="948">
        <v>867.11199999999997</v>
      </c>
      <c r="C2663" s="948" t="s">
        <v>50</v>
      </c>
      <c r="D2663" s="947" t="s">
        <v>17</v>
      </c>
      <c r="E2663" s="949">
        <v>211055</v>
      </c>
      <c r="F2663" s="950">
        <v>23</v>
      </c>
      <c r="G2663" s="951">
        <v>6.25</v>
      </c>
      <c r="H2663" s="951">
        <v>5.91</v>
      </c>
      <c r="I2663" s="18"/>
    </row>
    <row r="2664" spans="1:9">
      <c r="A2664" s="943" t="s">
        <v>81</v>
      </c>
      <c r="B2664" s="944">
        <v>867.20600000000002</v>
      </c>
      <c r="C2664" s="944" t="s">
        <v>614</v>
      </c>
      <c r="D2664" s="943" t="s">
        <v>17</v>
      </c>
      <c r="E2664" s="952">
        <v>685124</v>
      </c>
      <c r="F2664" s="945">
        <v>21</v>
      </c>
      <c r="G2664" s="946">
        <v>3.23</v>
      </c>
      <c r="H2664" s="946">
        <v>3.61</v>
      </c>
    </row>
    <row r="2665" spans="1:9" s="26" customFormat="1">
      <c r="A2665" s="947" t="s">
        <v>81</v>
      </c>
      <c r="B2665" s="948">
        <v>867.21199999999999</v>
      </c>
      <c r="C2665" s="948" t="s">
        <v>1523</v>
      </c>
      <c r="D2665" s="947" t="s">
        <v>17</v>
      </c>
      <c r="E2665" s="949">
        <v>6128</v>
      </c>
      <c r="F2665" s="950">
        <v>5</v>
      </c>
      <c r="G2665" s="951">
        <v>12.4</v>
      </c>
      <c r="H2665" s="951">
        <v>11.8</v>
      </c>
      <c r="I2665" s="18"/>
    </row>
    <row r="2666" spans="1:9">
      <c r="A2666" s="943" t="s">
        <v>81</v>
      </c>
      <c r="B2666" s="944">
        <v>868.06</v>
      </c>
      <c r="C2666" s="944" t="s">
        <v>3317</v>
      </c>
      <c r="D2666" s="943" t="s">
        <v>17</v>
      </c>
      <c r="E2666" s="952">
        <v>62560</v>
      </c>
      <c r="F2666" s="945">
        <v>4</v>
      </c>
      <c r="G2666" s="946">
        <v>2</v>
      </c>
      <c r="H2666" s="946">
        <v>1.89</v>
      </c>
    </row>
    <row r="2667" spans="1:9" s="26" customFormat="1">
      <c r="A2667" s="947" t="s">
        <v>81</v>
      </c>
      <c r="B2667" s="948">
        <v>868.12</v>
      </c>
      <c r="C2667" s="948" t="s">
        <v>615</v>
      </c>
      <c r="D2667" s="947" t="s">
        <v>17</v>
      </c>
      <c r="E2667" s="949">
        <v>48500</v>
      </c>
      <c r="F2667" s="950">
        <v>3</v>
      </c>
      <c r="G2667" s="951">
        <v>6.25</v>
      </c>
      <c r="H2667" s="951">
        <v>6.28</v>
      </c>
      <c r="I2667" s="18"/>
    </row>
    <row r="2668" spans="1:9">
      <c r="A2668" s="943" t="s">
        <v>81</v>
      </c>
      <c r="B2668" s="944">
        <v>869.06</v>
      </c>
      <c r="C2668" s="944" t="s">
        <v>3318</v>
      </c>
      <c r="D2668" s="943" t="s">
        <v>17</v>
      </c>
      <c r="E2668" s="952">
        <v>53300</v>
      </c>
      <c r="F2668" s="945">
        <v>4</v>
      </c>
      <c r="G2668" s="946">
        <v>2</v>
      </c>
      <c r="H2668" s="946">
        <v>1.89</v>
      </c>
    </row>
    <row r="2669" spans="1:9" s="26" customFormat="1">
      <c r="A2669" s="947" t="s">
        <v>81</v>
      </c>
      <c r="B2669" s="948">
        <v>869.12</v>
      </c>
      <c r="C2669" s="948" t="s">
        <v>616</v>
      </c>
      <c r="D2669" s="947" t="s">
        <v>17</v>
      </c>
      <c r="E2669" s="949">
        <v>4280</v>
      </c>
      <c r="F2669" s="950">
        <v>3</v>
      </c>
      <c r="G2669" s="951">
        <v>6.5</v>
      </c>
      <c r="H2669" s="951">
        <v>6.23</v>
      </c>
      <c r="I2669" s="18"/>
    </row>
    <row r="2670" spans="1:9">
      <c r="A2670" s="943" t="s">
        <v>81</v>
      </c>
      <c r="B2670" s="944">
        <v>874</v>
      </c>
      <c r="C2670" s="944" t="s">
        <v>23</v>
      </c>
      <c r="D2670" s="943" t="s">
        <v>2</v>
      </c>
      <c r="E2670" s="952">
        <v>4231</v>
      </c>
      <c r="F2670" s="945">
        <v>36</v>
      </c>
      <c r="G2670" s="946">
        <v>125</v>
      </c>
      <c r="H2670" s="946">
        <v>119.11</v>
      </c>
    </row>
    <row r="2671" spans="1:9" s="26" customFormat="1">
      <c r="A2671" s="947" t="s">
        <v>81</v>
      </c>
      <c r="B2671" s="948">
        <v>874.1</v>
      </c>
      <c r="C2671" s="948" t="s">
        <v>617</v>
      </c>
      <c r="D2671" s="947" t="s">
        <v>2</v>
      </c>
      <c r="E2671" s="950">
        <v>141</v>
      </c>
      <c r="F2671" s="950">
        <v>8</v>
      </c>
      <c r="G2671" s="951">
        <v>200</v>
      </c>
      <c r="H2671" s="951">
        <v>226.91</v>
      </c>
      <c r="I2671" s="18"/>
    </row>
    <row r="2672" spans="1:9">
      <c r="A2672" s="943" t="s">
        <v>81</v>
      </c>
      <c r="B2672" s="944">
        <v>874.2</v>
      </c>
      <c r="C2672" s="944" t="s">
        <v>618</v>
      </c>
      <c r="D2672" s="943" t="s">
        <v>2</v>
      </c>
      <c r="E2672" s="952">
        <v>2044</v>
      </c>
      <c r="F2672" s="945">
        <v>48</v>
      </c>
      <c r="G2672" s="946">
        <v>189</v>
      </c>
      <c r="H2672" s="946">
        <v>182.54</v>
      </c>
    </row>
    <row r="2673" spans="1:9" s="26" customFormat="1">
      <c r="A2673" s="947" t="s">
        <v>81</v>
      </c>
      <c r="B2673" s="948">
        <v>874.4</v>
      </c>
      <c r="C2673" s="948" t="s">
        <v>620</v>
      </c>
      <c r="D2673" s="947" t="s">
        <v>2</v>
      </c>
      <c r="E2673" s="949">
        <v>2478</v>
      </c>
      <c r="F2673" s="950">
        <v>22</v>
      </c>
      <c r="G2673" s="951">
        <v>42</v>
      </c>
      <c r="H2673" s="951">
        <v>42.24</v>
      </c>
      <c r="I2673" s="18"/>
    </row>
    <row r="2674" spans="1:9">
      <c r="A2674" s="943" t="s">
        <v>81</v>
      </c>
      <c r="B2674" s="944">
        <v>874.6</v>
      </c>
      <c r="C2674" s="944" t="s">
        <v>3324</v>
      </c>
      <c r="D2674" s="943" t="s">
        <v>3</v>
      </c>
      <c r="E2674" s="952">
        <v>2840</v>
      </c>
      <c r="F2674" s="945">
        <v>1</v>
      </c>
      <c r="G2674" s="946">
        <v>17</v>
      </c>
      <c r="H2674" s="946">
        <v>17.5</v>
      </c>
    </row>
    <row r="2675" spans="1:9" s="26" customFormat="1">
      <c r="A2675" s="947" t="s">
        <v>81</v>
      </c>
      <c r="B2675" s="948">
        <v>874.7</v>
      </c>
      <c r="C2675" s="948" t="s">
        <v>46</v>
      </c>
      <c r="D2675" s="947" t="s">
        <v>2</v>
      </c>
      <c r="E2675" s="950">
        <v>227</v>
      </c>
      <c r="F2675" s="950">
        <v>6</v>
      </c>
      <c r="G2675" s="951">
        <v>55</v>
      </c>
      <c r="H2675" s="951">
        <v>59.17</v>
      </c>
      <c r="I2675" s="18"/>
    </row>
    <row r="2676" spans="1:9">
      <c r="A2676" s="943" t="s">
        <v>81</v>
      </c>
      <c r="B2676" s="944">
        <v>875.1</v>
      </c>
      <c r="C2676" s="944" t="s">
        <v>3325</v>
      </c>
      <c r="D2676" s="943" t="s">
        <v>2</v>
      </c>
      <c r="E2676" s="945">
        <v>68</v>
      </c>
      <c r="F2676" s="945">
        <v>1</v>
      </c>
      <c r="G2676" s="946">
        <v>650</v>
      </c>
      <c r="H2676" s="946">
        <v>581.25</v>
      </c>
    </row>
    <row r="2677" spans="1:9" s="26" customFormat="1">
      <c r="A2677" s="947" t="s">
        <v>81</v>
      </c>
      <c r="B2677" s="948">
        <v>875.2</v>
      </c>
      <c r="C2677" s="948" t="s">
        <v>3326</v>
      </c>
      <c r="D2677" s="947" t="s">
        <v>2</v>
      </c>
      <c r="E2677" s="950">
        <v>10</v>
      </c>
      <c r="F2677" s="950">
        <v>2</v>
      </c>
      <c r="G2677" s="951">
        <v>312.5</v>
      </c>
      <c r="H2677" s="951">
        <v>310</v>
      </c>
      <c r="I2677" s="18"/>
    </row>
    <row r="2678" spans="1:9">
      <c r="A2678" s="943" t="s">
        <v>81</v>
      </c>
      <c r="B2678" s="944">
        <v>877</v>
      </c>
      <c r="C2678" s="944" t="s">
        <v>621</v>
      </c>
      <c r="D2678" s="943" t="s">
        <v>2</v>
      </c>
      <c r="E2678" s="945">
        <v>316</v>
      </c>
      <c r="F2678" s="945">
        <v>2</v>
      </c>
      <c r="G2678" s="946">
        <v>207.5</v>
      </c>
      <c r="H2678" s="946">
        <v>191</v>
      </c>
    </row>
    <row r="2679" spans="1:9" s="26" customFormat="1">
      <c r="A2679" s="947" t="s">
        <v>81</v>
      </c>
      <c r="B2679" s="948">
        <v>877.1</v>
      </c>
      <c r="C2679" s="948" t="s">
        <v>622</v>
      </c>
      <c r="D2679" s="947" t="s">
        <v>2</v>
      </c>
      <c r="E2679" s="950">
        <v>738</v>
      </c>
      <c r="F2679" s="950">
        <v>11</v>
      </c>
      <c r="G2679" s="951">
        <v>40</v>
      </c>
      <c r="H2679" s="951">
        <v>36.82</v>
      </c>
      <c r="I2679" s="18"/>
    </row>
    <row r="2680" spans="1:9">
      <c r="A2680" s="943" t="s">
        <v>81</v>
      </c>
      <c r="B2680" s="944">
        <v>877.2</v>
      </c>
      <c r="C2680" s="944" t="s">
        <v>623</v>
      </c>
      <c r="D2680" s="943" t="s">
        <v>2</v>
      </c>
      <c r="E2680" s="945">
        <v>10</v>
      </c>
      <c r="F2680" s="945">
        <v>1</v>
      </c>
      <c r="G2680" s="946">
        <v>65</v>
      </c>
      <c r="H2680" s="946">
        <v>65</v>
      </c>
    </row>
    <row r="2681" spans="1:9" s="26" customFormat="1">
      <c r="A2681" s="947" t="s">
        <v>81</v>
      </c>
      <c r="B2681" s="948">
        <v>901</v>
      </c>
      <c r="C2681" s="948" t="s">
        <v>624</v>
      </c>
      <c r="D2681" s="947" t="s">
        <v>4</v>
      </c>
      <c r="E2681" s="949">
        <v>2608</v>
      </c>
      <c r="F2681" s="950">
        <v>17</v>
      </c>
      <c r="G2681" s="951">
        <v>1570</v>
      </c>
      <c r="H2681" s="951">
        <v>1633.38</v>
      </c>
      <c r="I2681" s="18"/>
    </row>
    <row r="2682" spans="1:9">
      <c r="A2682" s="943" t="s">
        <v>81</v>
      </c>
      <c r="B2682" s="944">
        <v>901.3</v>
      </c>
      <c r="C2682" s="944" t="s">
        <v>625</v>
      </c>
      <c r="D2682" s="943" t="s">
        <v>4</v>
      </c>
      <c r="E2682" s="945">
        <v>66</v>
      </c>
      <c r="F2682" s="945">
        <v>3</v>
      </c>
      <c r="G2682" s="946">
        <v>342.5</v>
      </c>
      <c r="H2682" s="946">
        <v>348</v>
      </c>
    </row>
    <row r="2683" spans="1:9" s="26" customFormat="1">
      <c r="A2683" s="947" t="s">
        <v>81</v>
      </c>
      <c r="B2683" s="948">
        <v>902</v>
      </c>
      <c r="C2683" s="948" t="s">
        <v>3332</v>
      </c>
      <c r="D2683" s="947" t="s">
        <v>4</v>
      </c>
      <c r="E2683" s="950">
        <v>19</v>
      </c>
      <c r="F2683" s="950">
        <v>3</v>
      </c>
      <c r="G2683" s="951">
        <v>975</v>
      </c>
      <c r="H2683" s="951">
        <v>887.5</v>
      </c>
      <c r="I2683" s="18"/>
    </row>
    <row r="2684" spans="1:9">
      <c r="A2684" s="943" t="s">
        <v>81</v>
      </c>
      <c r="B2684" s="944">
        <v>903</v>
      </c>
      <c r="C2684" s="944" t="s">
        <v>626</v>
      </c>
      <c r="D2684" s="943" t="s">
        <v>4</v>
      </c>
      <c r="E2684" s="952">
        <v>3816</v>
      </c>
      <c r="F2684" s="945">
        <v>27</v>
      </c>
      <c r="G2684" s="946">
        <v>560</v>
      </c>
      <c r="H2684" s="946">
        <v>547.72</v>
      </c>
    </row>
    <row r="2685" spans="1:9" s="26" customFormat="1">
      <c r="A2685" s="947" t="s">
        <v>81</v>
      </c>
      <c r="B2685" s="948">
        <v>904</v>
      </c>
      <c r="C2685" s="948" t="s">
        <v>627</v>
      </c>
      <c r="D2685" s="947" t="s">
        <v>4</v>
      </c>
      <c r="E2685" s="949">
        <v>1020</v>
      </c>
      <c r="F2685" s="950">
        <v>10</v>
      </c>
      <c r="G2685" s="951">
        <v>1450</v>
      </c>
      <c r="H2685" s="951">
        <v>1243.1400000000001</v>
      </c>
      <c r="I2685" s="18"/>
    </row>
    <row r="2686" spans="1:9">
      <c r="A2686" s="943" t="s">
        <v>81</v>
      </c>
      <c r="B2686" s="944">
        <v>904.1</v>
      </c>
      <c r="C2686" s="944" t="s">
        <v>3333</v>
      </c>
      <c r="D2686" s="943" t="s">
        <v>4</v>
      </c>
      <c r="E2686" s="945">
        <v>24</v>
      </c>
      <c r="F2686" s="945">
        <v>1</v>
      </c>
      <c r="G2686" s="946">
        <v>9000</v>
      </c>
      <c r="H2686" s="946">
        <v>8530</v>
      </c>
    </row>
    <row r="2687" spans="1:9" s="26" customFormat="1">
      <c r="A2687" s="947" t="s">
        <v>81</v>
      </c>
      <c r="B2687" s="948">
        <v>904.3</v>
      </c>
      <c r="C2687" s="948" t="s">
        <v>628</v>
      </c>
      <c r="D2687" s="947" t="s">
        <v>4</v>
      </c>
      <c r="E2687" s="949">
        <v>1555</v>
      </c>
      <c r="F2687" s="950">
        <v>5</v>
      </c>
      <c r="G2687" s="951">
        <v>3050</v>
      </c>
      <c r="H2687" s="951">
        <v>2997.22</v>
      </c>
      <c r="I2687" s="18"/>
    </row>
    <row r="2688" spans="1:9">
      <c r="A2688" s="943" t="s">
        <v>81</v>
      </c>
      <c r="B2688" s="944">
        <v>904.4</v>
      </c>
      <c r="C2688" s="944" t="s">
        <v>629</v>
      </c>
      <c r="D2688" s="943" t="s">
        <v>4</v>
      </c>
      <c r="E2688" s="952">
        <v>1113</v>
      </c>
      <c r="F2688" s="945">
        <v>8</v>
      </c>
      <c r="G2688" s="946">
        <v>3380</v>
      </c>
      <c r="H2688" s="946">
        <v>3196.04</v>
      </c>
    </row>
    <row r="2689" spans="1:9" s="26" customFormat="1">
      <c r="A2689" s="947" t="s">
        <v>81</v>
      </c>
      <c r="B2689" s="948">
        <v>905</v>
      </c>
      <c r="C2689" s="948" t="s">
        <v>630</v>
      </c>
      <c r="D2689" s="947" t="s">
        <v>4</v>
      </c>
      <c r="E2689" s="949">
        <v>7952</v>
      </c>
      <c r="F2689" s="950">
        <v>43</v>
      </c>
      <c r="G2689" s="951">
        <v>4500</v>
      </c>
      <c r="H2689" s="951">
        <v>4393.1400000000003</v>
      </c>
      <c r="I2689" s="18"/>
    </row>
    <row r="2690" spans="1:9">
      <c r="A2690" s="943" t="s">
        <v>81</v>
      </c>
      <c r="B2690" s="944">
        <v>905.2</v>
      </c>
      <c r="C2690" s="944" t="s">
        <v>631</v>
      </c>
      <c r="D2690" s="943" t="s">
        <v>4</v>
      </c>
      <c r="E2690" s="945">
        <v>828</v>
      </c>
      <c r="F2690" s="945">
        <v>2</v>
      </c>
      <c r="G2690" s="946">
        <v>4134.5</v>
      </c>
      <c r="H2690" s="946">
        <v>3505.96</v>
      </c>
    </row>
    <row r="2691" spans="1:9" s="26" customFormat="1">
      <c r="A2691" s="947" t="s">
        <v>81</v>
      </c>
      <c r="B2691" s="948">
        <v>908</v>
      </c>
      <c r="C2691" s="948" t="s">
        <v>633</v>
      </c>
      <c r="D2691" s="947" t="s">
        <v>634</v>
      </c>
      <c r="E2691" s="950">
        <v>620</v>
      </c>
      <c r="F2691" s="950">
        <v>2</v>
      </c>
      <c r="G2691" s="951">
        <v>160</v>
      </c>
      <c r="H2691" s="951">
        <v>195.71</v>
      </c>
      <c r="I2691" s="18"/>
    </row>
    <row r="2692" spans="1:9">
      <c r="A2692" s="943" t="s">
        <v>81</v>
      </c>
      <c r="B2692" s="944">
        <v>909.2</v>
      </c>
      <c r="C2692" s="944" t="s">
        <v>635</v>
      </c>
      <c r="D2692" s="943" t="s">
        <v>3</v>
      </c>
      <c r="E2692" s="952">
        <v>14328</v>
      </c>
      <c r="F2692" s="945">
        <v>26</v>
      </c>
      <c r="G2692" s="946">
        <v>120</v>
      </c>
      <c r="H2692" s="946">
        <v>110.63</v>
      </c>
    </row>
    <row r="2693" spans="1:9" s="26" customFormat="1">
      <c r="A2693" s="947" t="s">
        <v>81</v>
      </c>
      <c r="B2693" s="948">
        <v>909.99</v>
      </c>
      <c r="C2693" s="948" t="s">
        <v>1458</v>
      </c>
      <c r="D2693" s="947" t="s">
        <v>634</v>
      </c>
      <c r="E2693" s="950">
        <v>15</v>
      </c>
      <c r="F2693" s="950">
        <v>1</v>
      </c>
      <c r="G2693" s="951">
        <v>250</v>
      </c>
      <c r="H2693" s="951">
        <v>238.33</v>
      </c>
      <c r="I2693" s="18"/>
    </row>
    <row r="2694" spans="1:9">
      <c r="A2694" s="943" t="s">
        <v>81</v>
      </c>
      <c r="B2694" s="944">
        <v>910</v>
      </c>
      <c r="C2694" s="944" t="s">
        <v>636</v>
      </c>
      <c r="D2694" s="943" t="s">
        <v>100</v>
      </c>
      <c r="E2694" s="952">
        <v>41720</v>
      </c>
      <c r="F2694" s="945">
        <v>7</v>
      </c>
      <c r="G2694" s="946">
        <v>7</v>
      </c>
      <c r="H2694" s="946">
        <v>6.2</v>
      </c>
    </row>
    <row r="2695" spans="1:9" s="26" customFormat="1">
      <c r="A2695" s="947" t="s">
        <v>81</v>
      </c>
      <c r="B2695" s="948">
        <v>910.1</v>
      </c>
      <c r="C2695" s="948" t="s">
        <v>637</v>
      </c>
      <c r="D2695" s="947" t="s">
        <v>100</v>
      </c>
      <c r="E2695" s="949">
        <v>2215663</v>
      </c>
      <c r="F2695" s="950">
        <v>63</v>
      </c>
      <c r="G2695" s="951">
        <v>4.2300000000000004</v>
      </c>
      <c r="H2695" s="951">
        <v>4.0999999999999996</v>
      </c>
      <c r="I2695" s="18"/>
    </row>
    <row r="2696" spans="1:9">
      <c r="A2696" s="943" t="s">
        <v>81</v>
      </c>
      <c r="B2696" s="944">
        <v>910.4</v>
      </c>
      <c r="C2696" s="944" t="s">
        <v>639</v>
      </c>
      <c r="D2696" s="943" t="s">
        <v>2</v>
      </c>
      <c r="E2696" s="945">
        <v>265</v>
      </c>
      <c r="F2696" s="945">
        <v>3</v>
      </c>
      <c r="G2696" s="946">
        <v>60</v>
      </c>
      <c r="H2696" s="946">
        <v>92.55</v>
      </c>
    </row>
    <row r="2697" spans="1:9" s="26" customFormat="1">
      <c r="A2697" s="947" t="s">
        <v>81</v>
      </c>
      <c r="B2697" s="948">
        <v>912</v>
      </c>
      <c r="C2697" s="948" t="s">
        <v>641</v>
      </c>
      <c r="D2697" s="947" t="s">
        <v>2</v>
      </c>
      <c r="E2697" s="949">
        <v>6392</v>
      </c>
      <c r="F2697" s="950">
        <v>15</v>
      </c>
      <c r="G2697" s="951">
        <v>71</v>
      </c>
      <c r="H2697" s="951">
        <v>71.95</v>
      </c>
      <c r="I2697" s="18"/>
    </row>
    <row r="2698" spans="1:9">
      <c r="A2698" s="943" t="s">
        <v>81</v>
      </c>
      <c r="B2698" s="944">
        <v>912.1</v>
      </c>
      <c r="C2698" s="944" t="s">
        <v>641</v>
      </c>
      <c r="D2698" s="943" t="s">
        <v>17</v>
      </c>
      <c r="E2698" s="945">
        <v>480</v>
      </c>
      <c r="F2698" s="945">
        <v>2</v>
      </c>
      <c r="G2698" s="946">
        <v>107.34</v>
      </c>
      <c r="H2698" s="946">
        <v>110.78</v>
      </c>
    </row>
    <row r="2699" spans="1:9" s="26" customFormat="1">
      <c r="A2699" s="947" t="s">
        <v>81</v>
      </c>
      <c r="B2699" s="948">
        <v>913.3</v>
      </c>
      <c r="C2699" s="948" t="s">
        <v>645</v>
      </c>
      <c r="D2699" s="947" t="s">
        <v>2</v>
      </c>
      <c r="E2699" s="950">
        <v>300</v>
      </c>
      <c r="F2699" s="950">
        <v>1</v>
      </c>
      <c r="G2699" s="951">
        <v>138</v>
      </c>
      <c r="H2699" s="951">
        <v>139.33000000000001</v>
      </c>
      <c r="I2699" s="18"/>
    </row>
    <row r="2700" spans="1:9">
      <c r="A2700" s="943" t="s">
        <v>81</v>
      </c>
      <c r="B2700" s="944">
        <v>913.31</v>
      </c>
      <c r="C2700" s="944" t="s">
        <v>645</v>
      </c>
      <c r="D2700" s="943" t="s">
        <v>17</v>
      </c>
      <c r="E2700" s="952">
        <v>7380</v>
      </c>
      <c r="F2700" s="945">
        <v>1</v>
      </c>
      <c r="G2700" s="946">
        <v>55</v>
      </c>
      <c r="H2700" s="946">
        <v>52.5</v>
      </c>
    </row>
    <row r="2701" spans="1:9" s="26" customFormat="1">
      <c r="A2701" s="947" t="s">
        <v>81</v>
      </c>
      <c r="B2701" s="948">
        <v>915.4</v>
      </c>
      <c r="C2701" s="948" t="s">
        <v>3365</v>
      </c>
      <c r="D2701" s="947" t="s">
        <v>3</v>
      </c>
      <c r="E2701" s="950">
        <v>165</v>
      </c>
      <c r="F2701" s="950">
        <v>1</v>
      </c>
      <c r="G2701" s="951">
        <v>175</v>
      </c>
      <c r="H2701" s="951">
        <v>186.67</v>
      </c>
      <c r="I2701" s="18"/>
    </row>
    <row r="2702" spans="1:9">
      <c r="A2702" s="943" t="s">
        <v>81</v>
      </c>
      <c r="B2702" s="944">
        <v>922.4</v>
      </c>
      <c r="C2702" s="944" t="s">
        <v>4067</v>
      </c>
      <c r="D2702" s="943" t="s">
        <v>2</v>
      </c>
      <c r="E2702" s="945">
        <v>288</v>
      </c>
      <c r="F2702" s="945">
        <v>1</v>
      </c>
      <c r="G2702" s="946">
        <v>6775</v>
      </c>
      <c r="H2702" s="946">
        <v>6983.33</v>
      </c>
    </row>
    <row r="2703" spans="1:9" s="26" customFormat="1">
      <c r="A2703" s="947" t="s">
        <v>81</v>
      </c>
      <c r="B2703" s="948">
        <v>942.12400000000002</v>
      </c>
      <c r="C2703" s="948" t="s">
        <v>647</v>
      </c>
      <c r="D2703" s="947" t="s">
        <v>17</v>
      </c>
      <c r="E2703" s="949">
        <v>14280</v>
      </c>
      <c r="F2703" s="950">
        <v>2</v>
      </c>
      <c r="G2703" s="951">
        <v>210</v>
      </c>
      <c r="H2703" s="951">
        <v>195.25</v>
      </c>
      <c r="I2703" s="18"/>
    </row>
    <row r="2704" spans="1:9">
      <c r="A2704" s="943" t="s">
        <v>81</v>
      </c>
      <c r="B2704" s="944">
        <v>944.12400000000002</v>
      </c>
      <c r="C2704" s="944" t="s">
        <v>648</v>
      </c>
      <c r="D2704" s="943" t="s">
        <v>2</v>
      </c>
      <c r="E2704" s="945">
        <v>84</v>
      </c>
      <c r="F2704" s="945">
        <v>1</v>
      </c>
      <c r="G2704" s="946">
        <v>2200</v>
      </c>
      <c r="H2704" s="946">
        <v>2364.67</v>
      </c>
    </row>
    <row r="2705" spans="1:9" s="26" customFormat="1">
      <c r="A2705" s="947" t="s">
        <v>81</v>
      </c>
      <c r="B2705" s="948">
        <v>945.101</v>
      </c>
      <c r="C2705" s="948" t="s">
        <v>3491</v>
      </c>
      <c r="D2705" s="947" t="s">
        <v>17</v>
      </c>
      <c r="E2705" s="950">
        <v>830</v>
      </c>
      <c r="F2705" s="950">
        <v>1</v>
      </c>
      <c r="G2705" s="951">
        <v>400</v>
      </c>
      <c r="H2705" s="951">
        <v>400</v>
      </c>
      <c r="I2705" s="18"/>
    </row>
    <row r="2706" spans="1:9">
      <c r="A2706" s="943" t="s">
        <v>81</v>
      </c>
      <c r="B2706" s="944">
        <v>945.10299999999995</v>
      </c>
      <c r="C2706" s="944" t="s">
        <v>3492</v>
      </c>
      <c r="D2706" s="943" t="s">
        <v>17</v>
      </c>
      <c r="E2706" s="945">
        <v>770</v>
      </c>
      <c r="F2706" s="945">
        <v>2</v>
      </c>
      <c r="G2706" s="946">
        <v>2500</v>
      </c>
      <c r="H2706" s="946">
        <v>2524</v>
      </c>
    </row>
    <row r="2707" spans="1:9" s="26" customFormat="1">
      <c r="A2707" s="947" t="s">
        <v>81</v>
      </c>
      <c r="B2707" s="948">
        <v>945.10400000000004</v>
      </c>
      <c r="C2707" s="948" t="s">
        <v>3493</v>
      </c>
      <c r="D2707" s="947" t="s">
        <v>17</v>
      </c>
      <c r="E2707" s="950">
        <v>125</v>
      </c>
      <c r="F2707" s="950">
        <v>1</v>
      </c>
      <c r="G2707" s="951">
        <v>3310</v>
      </c>
      <c r="H2707" s="951">
        <v>3294</v>
      </c>
      <c r="I2707" s="18"/>
    </row>
    <row r="2708" spans="1:9">
      <c r="A2708" s="943" t="s">
        <v>81</v>
      </c>
      <c r="B2708" s="944">
        <v>945.202</v>
      </c>
      <c r="C2708" s="944" t="s">
        <v>649</v>
      </c>
      <c r="D2708" s="943" t="s">
        <v>17</v>
      </c>
      <c r="E2708" s="945">
        <v>140</v>
      </c>
      <c r="F2708" s="945">
        <v>1</v>
      </c>
      <c r="G2708" s="946">
        <v>11600</v>
      </c>
      <c r="H2708" s="946">
        <v>11560</v>
      </c>
    </row>
    <row r="2709" spans="1:9" s="26" customFormat="1">
      <c r="A2709" s="947" t="s">
        <v>81</v>
      </c>
      <c r="B2709" s="948">
        <v>945.30200000000002</v>
      </c>
      <c r="C2709" s="948" t="s">
        <v>3514</v>
      </c>
      <c r="D2709" s="947" t="s">
        <v>17</v>
      </c>
      <c r="E2709" s="950">
        <v>5</v>
      </c>
      <c r="F2709" s="950">
        <v>1</v>
      </c>
      <c r="G2709" s="951">
        <v>100</v>
      </c>
      <c r="H2709" s="951">
        <v>100</v>
      </c>
      <c r="I2709" s="18"/>
    </row>
    <row r="2710" spans="1:9">
      <c r="A2710" s="943" t="s">
        <v>81</v>
      </c>
      <c r="B2710" s="944">
        <v>945.303</v>
      </c>
      <c r="C2710" s="944" t="s">
        <v>3515</v>
      </c>
      <c r="D2710" s="943" t="s">
        <v>17</v>
      </c>
      <c r="E2710" s="945">
        <v>5</v>
      </c>
      <c r="F2710" s="945">
        <v>1</v>
      </c>
      <c r="G2710" s="946">
        <v>100</v>
      </c>
      <c r="H2710" s="946">
        <v>100</v>
      </c>
    </row>
    <row r="2711" spans="1:9" s="26" customFormat="1">
      <c r="A2711" s="947" t="s">
        <v>81</v>
      </c>
      <c r="B2711" s="948">
        <v>945.30399999999997</v>
      </c>
      <c r="C2711" s="948" t="s">
        <v>3516</v>
      </c>
      <c r="D2711" s="947" t="s">
        <v>17</v>
      </c>
      <c r="E2711" s="950">
        <v>125</v>
      </c>
      <c r="F2711" s="950">
        <v>1</v>
      </c>
      <c r="G2711" s="951">
        <v>5200</v>
      </c>
      <c r="H2711" s="951">
        <v>5130</v>
      </c>
      <c r="I2711" s="18"/>
    </row>
    <row r="2712" spans="1:9">
      <c r="A2712" s="943" t="s">
        <v>81</v>
      </c>
      <c r="B2712" s="944">
        <v>945.40300000000002</v>
      </c>
      <c r="C2712" s="944" t="s">
        <v>3527</v>
      </c>
      <c r="D2712" s="943" t="s">
        <v>17</v>
      </c>
      <c r="E2712" s="945">
        <v>100</v>
      </c>
      <c r="F2712" s="945">
        <v>1</v>
      </c>
      <c r="G2712" s="946">
        <v>1800</v>
      </c>
      <c r="H2712" s="946">
        <v>1876</v>
      </c>
    </row>
    <row r="2713" spans="1:9" s="26" customFormat="1">
      <c r="A2713" s="947" t="s">
        <v>81</v>
      </c>
      <c r="B2713" s="948">
        <v>945.404</v>
      </c>
      <c r="C2713" s="948" t="s">
        <v>3528</v>
      </c>
      <c r="D2713" s="947" t="s">
        <v>17</v>
      </c>
      <c r="E2713" s="950">
        <v>50</v>
      </c>
      <c r="F2713" s="950">
        <v>1</v>
      </c>
      <c r="G2713" s="951">
        <v>1900</v>
      </c>
      <c r="H2713" s="951">
        <v>1972</v>
      </c>
      <c r="I2713" s="18"/>
    </row>
    <row r="2714" spans="1:9">
      <c r="A2714" s="943" t="s">
        <v>81</v>
      </c>
      <c r="B2714" s="944">
        <v>945.50300000000004</v>
      </c>
      <c r="C2714" s="944" t="s">
        <v>3538</v>
      </c>
      <c r="D2714" s="943" t="s">
        <v>17</v>
      </c>
      <c r="E2714" s="952">
        <v>1030</v>
      </c>
      <c r="F2714" s="945">
        <v>2</v>
      </c>
      <c r="G2714" s="946">
        <v>2120</v>
      </c>
      <c r="H2714" s="946">
        <v>1847</v>
      </c>
    </row>
    <row r="2715" spans="1:9" s="26" customFormat="1">
      <c r="A2715" s="947" t="s">
        <v>81</v>
      </c>
      <c r="B2715" s="948">
        <v>945.50400000000002</v>
      </c>
      <c r="C2715" s="948" t="s">
        <v>3539</v>
      </c>
      <c r="D2715" s="947" t="s">
        <v>17</v>
      </c>
      <c r="E2715" s="950">
        <v>125</v>
      </c>
      <c r="F2715" s="950">
        <v>1</v>
      </c>
      <c r="G2715" s="951">
        <v>2850</v>
      </c>
      <c r="H2715" s="951">
        <v>2696</v>
      </c>
      <c r="I2715" s="18"/>
    </row>
    <row r="2716" spans="1:9">
      <c r="A2716" s="943" t="s">
        <v>81</v>
      </c>
      <c r="B2716" s="944">
        <v>945.71</v>
      </c>
      <c r="C2716" s="944" t="s">
        <v>651</v>
      </c>
      <c r="D2716" s="943" t="s">
        <v>17</v>
      </c>
      <c r="E2716" s="952">
        <v>3560</v>
      </c>
      <c r="F2716" s="945">
        <v>3</v>
      </c>
      <c r="G2716" s="946">
        <v>11</v>
      </c>
      <c r="H2716" s="946">
        <v>18.75</v>
      </c>
    </row>
    <row r="2717" spans="1:9" s="26" customFormat="1">
      <c r="A2717" s="947" t="s">
        <v>81</v>
      </c>
      <c r="B2717" s="948">
        <v>945.72</v>
      </c>
      <c r="C2717" s="948" t="s">
        <v>652</v>
      </c>
      <c r="D2717" s="947" t="s">
        <v>2</v>
      </c>
      <c r="E2717" s="950">
        <v>53</v>
      </c>
      <c r="F2717" s="950">
        <v>3</v>
      </c>
      <c r="G2717" s="951">
        <v>3265</v>
      </c>
      <c r="H2717" s="951">
        <v>2912.91</v>
      </c>
      <c r="I2717" s="18"/>
    </row>
    <row r="2718" spans="1:9">
      <c r="A2718" s="943" t="s">
        <v>81</v>
      </c>
      <c r="B2718" s="944">
        <v>945.81</v>
      </c>
      <c r="C2718" s="944" t="s">
        <v>653</v>
      </c>
      <c r="D2718" s="943" t="s">
        <v>2</v>
      </c>
      <c r="E2718" s="945">
        <v>4</v>
      </c>
      <c r="F2718" s="945">
        <v>1</v>
      </c>
      <c r="G2718" s="946">
        <v>120000</v>
      </c>
      <c r="H2718" s="946">
        <v>115975</v>
      </c>
    </row>
    <row r="2719" spans="1:9" s="26" customFormat="1">
      <c r="A2719" s="947" t="s">
        <v>81</v>
      </c>
      <c r="B2719" s="948">
        <v>948.41</v>
      </c>
      <c r="C2719" s="948" t="s">
        <v>654</v>
      </c>
      <c r="D2719" s="947" t="s">
        <v>2</v>
      </c>
      <c r="E2719" s="950">
        <v>24</v>
      </c>
      <c r="F2719" s="950">
        <v>2</v>
      </c>
      <c r="G2719" s="951">
        <v>9000</v>
      </c>
      <c r="H2719" s="951">
        <v>8591.67</v>
      </c>
      <c r="I2719" s="18"/>
    </row>
    <row r="2720" spans="1:9">
      <c r="A2720" s="943" t="s">
        <v>81</v>
      </c>
      <c r="B2720" s="944">
        <v>948.5</v>
      </c>
      <c r="C2720" s="944" t="s">
        <v>655</v>
      </c>
      <c r="D2720" s="943" t="s">
        <v>2</v>
      </c>
      <c r="E2720" s="945">
        <v>184</v>
      </c>
      <c r="F2720" s="945">
        <v>2</v>
      </c>
      <c r="G2720" s="946">
        <v>175</v>
      </c>
      <c r="H2720" s="946">
        <v>174.63</v>
      </c>
    </row>
    <row r="2721" spans="1:9" s="26" customFormat="1">
      <c r="A2721" s="947" t="s">
        <v>81</v>
      </c>
      <c r="B2721" s="948">
        <v>950.1</v>
      </c>
      <c r="C2721" s="948" t="s">
        <v>656</v>
      </c>
      <c r="D2721" s="947" t="s">
        <v>22</v>
      </c>
      <c r="E2721" s="950">
        <v>7</v>
      </c>
      <c r="F2721" s="950">
        <v>3</v>
      </c>
      <c r="G2721" s="951">
        <v>140000</v>
      </c>
      <c r="H2721" s="951">
        <v>107142.87</v>
      </c>
      <c r="I2721" s="18"/>
    </row>
    <row r="2722" spans="1:9">
      <c r="A2722" s="943" t="s">
        <v>81</v>
      </c>
      <c r="B2722" s="944">
        <v>955</v>
      </c>
      <c r="C2722" s="944" t="s">
        <v>657</v>
      </c>
      <c r="D2722" s="943" t="s">
        <v>658</v>
      </c>
      <c r="E2722" s="945">
        <v>8</v>
      </c>
      <c r="F2722" s="945">
        <v>1</v>
      </c>
      <c r="G2722" s="946">
        <v>5013</v>
      </c>
      <c r="H2722" s="946">
        <v>5013</v>
      </c>
    </row>
    <row r="2723" spans="1:9" s="26" customFormat="1">
      <c r="A2723" s="947" t="s">
        <v>81</v>
      </c>
      <c r="B2723" s="948">
        <v>961.20100000000002</v>
      </c>
      <c r="C2723" s="948" t="s">
        <v>660</v>
      </c>
      <c r="D2723" s="947" t="s">
        <v>22</v>
      </c>
      <c r="E2723" s="950">
        <v>41</v>
      </c>
      <c r="F2723" s="950">
        <v>13</v>
      </c>
      <c r="G2723" s="951">
        <v>900000</v>
      </c>
      <c r="H2723" s="951">
        <v>859646.73</v>
      </c>
      <c r="I2723" s="18"/>
    </row>
    <row r="2724" spans="1:9">
      <c r="A2724" s="943" t="s">
        <v>81</v>
      </c>
      <c r="B2724" s="944">
        <v>961.202</v>
      </c>
      <c r="C2724" s="944" t="s">
        <v>660</v>
      </c>
      <c r="D2724" s="943" t="s">
        <v>22</v>
      </c>
      <c r="E2724" s="945">
        <v>39</v>
      </c>
      <c r="F2724" s="945">
        <v>12</v>
      </c>
      <c r="G2724" s="946">
        <v>750000</v>
      </c>
      <c r="H2724" s="946">
        <v>723081.05</v>
      </c>
    </row>
    <row r="2725" spans="1:9" s="26" customFormat="1">
      <c r="A2725" s="947" t="s">
        <v>81</v>
      </c>
      <c r="B2725" s="948">
        <v>961.20299999999997</v>
      </c>
      <c r="C2725" s="948" t="s">
        <v>661</v>
      </c>
      <c r="D2725" s="947" t="s">
        <v>22</v>
      </c>
      <c r="E2725" s="950">
        <v>40</v>
      </c>
      <c r="F2725" s="950">
        <v>12</v>
      </c>
      <c r="G2725" s="951">
        <v>604500</v>
      </c>
      <c r="H2725" s="951">
        <v>604156.94999999995</v>
      </c>
      <c r="I2725" s="18"/>
    </row>
    <row r="2726" spans="1:9">
      <c r="A2726" s="943" t="s">
        <v>81</v>
      </c>
      <c r="B2726" s="944">
        <v>961.20399999999995</v>
      </c>
      <c r="C2726" s="944" t="s">
        <v>660</v>
      </c>
      <c r="D2726" s="943" t="s">
        <v>22</v>
      </c>
      <c r="E2726" s="945">
        <v>37</v>
      </c>
      <c r="F2726" s="945">
        <v>11</v>
      </c>
      <c r="G2726" s="946">
        <v>557500</v>
      </c>
      <c r="H2726" s="946">
        <v>562907.11</v>
      </c>
    </row>
    <row r="2727" spans="1:9" s="26" customFormat="1">
      <c r="A2727" s="947" t="s">
        <v>81</v>
      </c>
      <c r="B2727" s="948">
        <v>961.20500000000004</v>
      </c>
      <c r="C2727" s="948" t="s">
        <v>662</v>
      </c>
      <c r="D2727" s="947" t="s">
        <v>22</v>
      </c>
      <c r="E2727" s="950">
        <v>12</v>
      </c>
      <c r="F2727" s="950">
        <v>3</v>
      </c>
      <c r="G2727" s="951">
        <v>585950</v>
      </c>
      <c r="H2727" s="951">
        <v>628716</v>
      </c>
      <c r="I2727" s="18"/>
    </row>
    <row r="2728" spans="1:9">
      <c r="A2728" s="943" t="s">
        <v>81</v>
      </c>
      <c r="B2728" s="944">
        <v>961.20600000000002</v>
      </c>
      <c r="C2728" s="944" t="s">
        <v>662</v>
      </c>
      <c r="D2728" s="943" t="s">
        <v>22</v>
      </c>
      <c r="E2728" s="945">
        <v>3</v>
      </c>
      <c r="F2728" s="945">
        <v>1</v>
      </c>
      <c r="G2728" s="946">
        <v>470000</v>
      </c>
      <c r="H2728" s="946">
        <v>414140</v>
      </c>
    </row>
    <row r="2729" spans="1:9" s="26" customFormat="1">
      <c r="A2729" s="947" t="s">
        <v>81</v>
      </c>
      <c r="B2729" s="948">
        <v>961.20699999999999</v>
      </c>
      <c r="C2729" s="948" t="s">
        <v>662</v>
      </c>
      <c r="D2729" s="947" t="s">
        <v>22</v>
      </c>
      <c r="E2729" s="950">
        <v>3</v>
      </c>
      <c r="F2729" s="950">
        <v>1</v>
      </c>
      <c r="G2729" s="951">
        <v>435000</v>
      </c>
      <c r="H2729" s="951">
        <v>391210</v>
      </c>
      <c r="I2729" s="18"/>
    </row>
    <row r="2730" spans="1:9">
      <c r="A2730" s="943" t="s">
        <v>81</v>
      </c>
      <c r="B2730" s="944">
        <v>964.1</v>
      </c>
      <c r="C2730" s="944" t="s">
        <v>663</v>
      </c>
      <c r="D2730" s="943" t="s">
        <v>3</v>
      </c>
      <c r="E2730" s="952">
        <v>103632</v>
      </c>
      <c r="F2730" s="945">
        <v>9</v>
      </c>
      <c r="G2730" s="946">
        <v>5</v>
      </c>
      <c r="H2730" s="946">
        <v>6.84</v>
      </c>
    </row>
    <row r="2731" spans="1:9" s="26" customFormat="1">
      <c r="A2731" s="947" t="s">
        <v>81</v>
      </c>
      <c r="B2731" s="948">
        <v>964.7</v>
      </c>
      <c r="C2731" s="948" t="s">
        <v>664</v>
      </c>
      <c r="D2731" s="947" t="s">
        <v>3</v>
      </c>
      <c r="E2731" s="949">
        <v>3381</v>
      </c>
      <c r="F2731" s="950">
        <v>4</v>
      </c>
      <c r="G2731" s="951">
        <v>114.5</v>
      </c>
      <c r="H2731" s="951">
        <v>94.86</v>
      </c>
      <c r="I2731" s="18"/>
    </row>
    <row r="2732" spans="1:9">
      <c r="A2732" s="943" t="s">
        <v>81</v>
      </c>
      <c r="B2732" s="944">
        <v>965</v>
      </c>
      <c r="C2732" s="944" t="s">
        <v>665</v>
      </c>
      <c r="D2732" s="943" t="s">
        <v>3</v>
      </c>
      <c r="E2732" s="952">
        <v>123100</v>
      </c>
      <c r="F2732" s="945">
        <v>2</v>
      </c>
      <c r="G2732" s="946">
        <v>11</v>
      </c>
      <c r="H2732" s="946">
        <v>11.62</v>
      </c>
    </row>
    <row r="2733" spans="1:9" s="26" customFormat="1">
      <c r="A2733" s="947" t="s">
        <v>81</v>
      </c>
      <c r="B2733" s="948">
        <v>966</v>
      </c>
      <c r="C2733" s="948" t="s">
        <v>1466</v>
      </c>
      <c r="D2733" s="947" t="s">
        <v>3</v>
      </c>
      <c r="E2733" s="949">
        <v>329080</v>
      </c>
      <c r="F2733" s="950">
        <v>14</v>
      </c>
      <c r="G2733" s="951">
        <v>5.18</v>
      </c>
      <c r="H2733" s="951">
        <v>4.84</v>
      </c>
      <c r="I2733" s="18"/>
    </row>
    <row r="2734" spans="1:9">
      <c r="A2734" s="943" t="s">
        <v>81</v>
      </c>
      <c r="B2734" s="944">
        <v>968.4</v>
      </c>
      <c r="C2734" s="944" t="s">
        <v>1468</v>
      </c>
      <c r="D2734" s="943" t="s">
        <v>2</v>
      </c>
      <c r="E2734" s="945">
        <v>54</v>
      </c>
      <c r="F2734" s="945">
        <v>1</v>
      </c>
      <c r="G2734" s="946">
        <v>4330</v>
      </c>
      <c r="H2734" s="946">
        <v>4330</v>
      </c>
    </row>
    <row r="2735" spans="1:9" s="26" customFormat="1">
      <c r="A2735" s="947" t="s">
        <v>81</v>
      </c>
      <c r="B2735" s="948">
        <v>970</v>
      </c>
      <c r="C2735" s="948" t="s">
        <v>3585</v>
      </c>
      <c r="D2735" s="947" t="s">
        <v>3</v>
      </c>
      <c r="E2735" s="949">
        <v>4000</v>
      </c>
      <c r="F2735" s="950">
        <v>2</v>
      </c>
      <c r="G2735" s="951">
        <v>11</v>
      </c>
      <c r="H2735" s="951">
        <v>10.07</v>
      </c>
      <c r="I2735" s="18"/>
    </row>
    <row r="2736" spans="1:9">
      <c r="A2736" s="943" t="s">
        <v>81</v>
      </c>
      <c r="B2736" s="944">
        <v>971</v>
      </c>
      <c r="C2736" s="944" t="s">
        <v>667</v>
      </c>
      <c r="D2736" s="943" t="s">
        <v>17</v>
      </c>
      <c r="E2736" s="945">
        <v>400</v>
      </c>
      <c r="F2736" s="945">
        <v>1</v>
      </c>
      <c r="G2736" s="946">
        <v>347.5</v>
      </c>
      <c r="H2736" s="946">
        <v>342.5</v>
      </c>
    </row>
    <row r="2737" spans="1:9" s="26" customFormat="1">
      <c r="A2737" s="947" t="s">
        <v>81</v>
      </c>
      <c r="B2737" s="948">
        <v>972</v>
      </c>
      <c r="C2737" s="948" t="s">
        <v>669</v>
      </c>
      <c r="D2737" s="947" t="s">
        <v>17</v>
      </c>
      <c r="E2737" s="950">
        <v>620</v>
      </c>
      <c r="F2737" s="950">
        <v>1</v>
      </c>
      <c r="G2737" s="951">
        <v>850</v>
      </c>
      <c r="H2737" s="951">
        <v>850</v>
      </c>
      <c r="I2737" s="18"/>
    </row>
    <row r="2738" spans="1:9">
      <c r="A2738" s="943" t="s">
        <v>81</v>
      </c>
      <c r="B2738" s="944">
        <v>974.1</v>
      </c>
      <c r="C2738" s="944" t="s">
        <v>3586</v>
      </c>
      <c r="D2738" s="943" t="s">
        <v>17</v>
      </c>
      <c r="E2738" s="945">
        <v>860</v>
      </c>
      <c r="F2738" s="945">
        <v>1</v>
      </c>
      <c r="G2738" s="946">
        <v>432.5</v>
      </c>
      <c r="H2738" s="946">
        <v>441.25</v>
      </c>
    </row>
    <row r="2739" spans="1:9" s="26" customFormat="1">
      <c r="A2739" s="947" t="s">
        <v>81</v>
      </c>
      <c r="B2739" s="948">
        <v>974.3</v>
      </c>
      <c r="C2739" s="948" t="s">
        <v>1469</v>
      </c>
      <c r="D2739" s="947" t="s">
        <v>17</v>
      </c>
      <c r="E2739" s="950">
        <v>280</v>
      </c>
      <c r="F2739" s="950">
        <v>1</v>
      </c>
      <c r="G2739" s="951">
        <v>49.5</v>
      </c>
      <c r="H2739" s="951">
        <v>49.5</v>
      </c>
      <c r="I2739" s="18"/>
    </row>
    <row r="2740" spans="1:9">
      <c r="A2740" s="943" t="s">
        <v>81</v>
      </c>
      <c r="B2740" s="944">
        <v>975.1</v>
      </c>
      <c r="C2740" s="944" t="s">
        <v>3588</v>
      </c>
      <c r="D2740" s="943" t="s">
        <v>17</v>
      </c>
      <c r="E2740" s="952">
        <v>5120</v>
      </c>
      <c r="F2740" s="945">
        <v>2</v>
      </c>
      <c r="G2740" s="946">
        <v>1200</v>
      </c>
      <c r="H2740" s="946">
        <v>932.5</v>
      </c>
    </row>
    <row r="2741" spans="1:9" s="26" customFormat="1">
      <c r="A2741" s="947" t="s">
        <v>81</v>
      </c>
      <c r="B2741" s="948">
        <v>975.5</v>
      </c>
      <c r="C2741" s="948" t="s">
        <v>670</v>
      </c>
      <c r="D2741" s="947" t="s">
        <v>17</v>
      </c>
      <c r="E2741" s="950">
        <v>160</v>
      </c>
      <c r="F2741" s="950">
        <v>1</v>
      </c>
      <c r="G2741" s="951">
        <v>740</v>
      </c>
      <c r="H2741" s="951">
        <v>740</v>
      </c>
      <c r="I2741" s="18"/>
    </row>
    <row r="2742" spans="1:9">
      <c r="A2742" s="943" t="s">
        <v>81</v>
      </c>
      <c r="B2742" s="944">
        <v>983</v>
      </c>
      <c r="C2742" s="944" t="s">
        <v>671</v>
      </c>
      <c r="D2742" s="943" t="s">
        <v>7</v>
      </c>
      <c r="E2742" s="952">
        <v>4962</v>
      </c>
      <c r="F2742" s="945">
        <v>7</v>
      </c>
      <c r="G2742" s="946">
        <v>100</v>
      </c>
      <c r="H2742" s="946">
        <v>103.18</v>
      </c>
    </row>
    <row r="2743" spans="1:9" s="26" customFormat="1">
      <c r="A2743" s="947" t="s">
        <v>81</v>
      </c>
      <c r="B2743" s="948">
        <v>983.01</v>
      </c>
      <c r="C2743" s="948" t="s">
        <v>671</v>
      </c>
      <c r="D2743" s="947" t="s">
        <v>4</v>
      </c>
      <c r="E2743" s="950">
        <v>360</v>
      </c>
      <c r="F2743" s="950">
        <v>1</v>
      </c>
      <c r="G2743" s="951">
        <v>140</v>
      </c>
      <c r="H2743" s="951">
        <v>137.5</v>
      </c>
      <c r="I2743" s="18"/>
    </row>
    <row r="2744" spans="1:9">
      <c r="A2744" s="943" t="s">
        <v>81</v>
      </c>
      <c r="B2744" s="944">
        <v>983.1</v>
      </c>
      <c r="C2744" s="944" t="s">
        <v>672</v>
      </c>
      <c r="D2744" s="943" t="s">
        <v>7</v>
      </c>
      <c r="E2744" s="952">
        <v>2770</v>
      </c>
      <c r="F2744" s="945">
        <v>8</v>
      </c>
      <c r="G2744" s="946">
        <v>100</v>
      </c>
      <c r="H2744" s="946">
        <v>108.67</v>
      </c>
    </row>
    <row r="2745" spans="1:9" s="26" customFormat="1">
      <c r="A2745" s="947" t="s">
        <v>81</v>
      </c>
      <c r="B2745" s="948">
        <v>983.11</v>
      </c>
      <c r="C2745" s="948" t="s">
        <v>673</v>
      </c>
      <c r="D2745" s="947" t="s">
        <v>7</v>
      </c>
      <c r="E2745" s="949">
        <v>7520</v>
      </c>
      <c r="F2745" s="950">
        <v>4</v>
      </c>
      <c r="G2745" s="951">
        <v>117.5</v>
      </c>
      <c r="H2745" s="951">
        <v>123.42</v>
      </c>
      <c r="I2745" s="18"/>
    </row>
    <row r="2746" spans="1:9">
      <c r="A2746" s="943" t="s">
        <v>81</v>
      </c>
      <c r="B2746" s="944">
        <v>983.3</v>
      </c>
      <c r="C2746" s="944" t="s">
        <v>674</v>
      </c>
      <c r="D2746" s="943" t="s">
        <v>4</v>
      </c>
      <c r="E2746" s="952">
        <v>1000</v>
      </c>
      <c r="F2746" s="945">
        <v>2</v>
      </c>
      <c r="G2746" s="946">
        <v>150</v>
      </c>
      <c r="H2746" s="946">
        <v>170.8</v>
      </c>
    </row>
    <row r="2747" spans="1:9" s="26" customFormat="1">
      <c r="A2747" s="947" t="s">
        <v>81</v>
      </c>
      <c r="B2747" s="948">
        <v>985.01</v>
      </c>
      <c r="C2747" s="948" t="s">
        <v>1531</v>
      </c>
      <c r="D2747" s="947" t="s">
        <v>1</v>
      </c>
      <c r="E2747" s="949">
        <v>1100</v>
      </c>
      <c r="F2747" s="950">
        <v>1</v>
      </c>
      <c r="G2747" s="951">
        <v>225</v>
      </c>
      <c r="H2747" s="951">
        <v>182</v>
      </c>
      <c r="I2747" s="18"/>
    </row>
    <row r="2748" spans="1:9">
      <c r="A2748" s="943" t="s">
        <v>81</v>
      </c>
      <c r="B2748" s="944">
        <v>986</v>
      </c>
      <c r="C2748" s="944" t="s">
        <v>675</v>
      </c>
      <c r="D2748" s="943" t="s">
        <v>7</v>
      </c>
      <c r="E2748" s="952">
        <v>10950</v>
      </c>
      <c r="F2748" s="945">
        <v>17</v>
      </c>
      <c r="G2748" s="946">
        <v>100</v>
      </c>
      <c r="H2748" s="946">
        <v>100.89</v>
      </c>
    </row>
    <row r="2749" spans="1:9" s="26" customFormat="1">
      <c r="A2749" s="947" t="s">
        <v>81</v>
      </c>
      <c r="B2749" s="948">
        <v>986.1</v>
      </c>
      <c r="C2749" s="948" t="s">
        <v>675</v>
      </c>
      <c r="D2749" s="947" t="s">
        <v>1</v>
      </c>
      <c r="E2749" s="950">
        <v>775</v>
      </c>
      <c r="F2749" s="950">
        <v>1</v>
      </c>
      <c r="G2749" s="951">
        <v>120</v>
      </c>
      <c r="H2749" s="951">
        <v>109</v>
      </c>
      <c r="I2749" s="18"/>
    </row>
    <row r="2750" spans="1:9">
      <c r="A2750" s="943" t="s">
        <v>81</v>
      </c>
      <c r="B2750" s="944">
        <v>986.2</v>
      </c>
      <c r="C2750" s="944" t="s">
        <v>675</v>
      </c>
      <c r="D2750" s="943" t="s">
        <v>4</v>
      </c>
      <c r="E2750" s="945">
        <v>104</v>
      </c>
      <c r="F2750" s="945">
        <v>2</v>
      </c>
      <c r="G2750" s="946">
        <v>450</v>
      </c>
      <c r="H2750" s="946">
        <v>527.5</v>
      </c>
    </row>
    <row r="2751" spans="1:9" s="26" customFormat="1">
      <c r="A2751" s="947" t="s">
        <v>81</v>
      </c>
      <c r="B2751" s="948">
        <v>987</v>
      </c>
      <c r="C2751" s="948" t="s">
        <v>1433</v>
      </c>
      <c r="D2751" s="947" t="s">
        <v>1</v>
      </c>
      <c r="E2751" s="949">
        <v>7932</v>
      </c>
      <c r="F2751" s="950">
        <v>12</v>
      </c>
      <c r="G2751" s="951">
        <v>175</v>
      </c>
      <c r="H2751" s="951">
        <v>186.03</v>
      </c>
      <c r="I2751" s="18"/>
    </row>
    <row r="2752" spans="1:9">
      <c r="A2752" s="943" t="s">
        <v>81</v>
      </c>
      <c r="B2752" s="944">
        <v>987.02</v>
      </c>
      <c r="C2752" s="944" t="s">
        <v>676</v>
      </c>
      <c r="D2752" s="943" t="s">
        <v>1</v>
      </c>
      <c r="E2752" s="952">
        <v>5660</v>
      </c>
      <c r="F2752" s="945">
        <v>7</v>
      </c>
      <c r="G2752" s="946">
        <v>160</v>
      </c>
      <c r="H2752" s="946">
        <v>175.68</v>
      </c>
    </row>
    <row r="2753" spans="1:9" s="26" customFormat="1">
      <c r="A2753" s="947" t="s">
        <v>81</v>
      </c>
      <c r="B2753" s="948">
        <v>987.3</v>
      </c>
      <c r="C2753" s="948" t="s">
        <v>677</v>
      </c>
      <c r="D2753" s="947" t="s">
        <v>1</v>
      </c>
      <c r="E2753" s="949">
        <v>3435</v>
      </c>
      <c r="F2753" s="950">
        <v>2</v>
      </c>
      <c r="G2753" s="951">
        <v>201</v>
      </c>
      <c r="H2753" s="951">
        <v>207.43</v>
      </c>
      <c r="I2753" s="18"/>
    </row>
    <row r="2754" spans="1:9">
      <c r="A2754" s="943" t="s">
        <v>81</v>
      </c>
      <c r="B2754" s="944">
        <v>991.1</v>
      </c>
      <c r="C2754" s="944" t="s">
        <v>678</v>
      </c>
      <c r="D2754" s="943" t="s">
        <v>22</v>
      </c>
      <c r="E2754" s="945">
        <v>33</v>
      </c>
      <c r="F2754" s="945">
        <v>8</v>
      </c>
      <c r="G2754" s="946">
        <v>197250</v>
      </c>
      <c r="H2754" s="946">
        <v>182075.79</v>
      </c>
    </row>
    <row r="2755" spans="1:9" s="26" customFormat="1">
      <c r="A2755" s="947" t="s">
        <v>81</v>
      </c>
      <c r="B2755" s="948">
        <v>991.2</v>
      </c>
      <c r="C2755" s="948" t="s">
        <v>678</v>
      </c>
      <c r="D2755" s="947" t="s">
        <v>22</v>
      </c>
      <c r="E2755" s="950">
        <v>6</v>
      </c>
      <c r="F2755" s="950">
        <v>2</v>
      </c>
      <c r="G2755" s="951">
        <v>70000</v>
      </c>
      <c r="H2755" s="951">
        <v>61391.67</v>
      </c>
      <c r="I2755" s="18"/>
    </row>
    <row r="2756" spans="1:9">
      <c r="A2756" s="943" t="s">
        <v>81</v>
      </c>
      <c r="B2756" s="944">
        <v>992.1</v>
      </c>
      <c r="C2756" s="944" t="s">
        <v>679</v>
      </c>
      <c r="D2756" s="943" t="s">
        <v>22</v>
      </c>
      <c r="E2756" s="945">
        <v>7</v>
      </c>
      <c r="F2756" s="945">
        <v>2</v>
      </c>
      <c r="G2756" s="946">
        <v>700000</v>
      </c>
      <c r="H2756" s="946">
        <v>760709.98</v>
      </c>
    </row>
    <row r="2757" spans="1:9" s="26" customFormat="1">
      <c r="A2757" s="947" t="s">
        <v>81</v>
      </c>
      <c r="B2757" s="948">
        <v>992.31</v>
      </c>
      <c r="C2757" s="948" t="s">
        <v>3612</v>
      </c>
      <c r="D2757" s="947" t="s">
        <v>22</v>
      </c>
      <c r="E2757" s="950">
        <v>3</v>
      </c>
      <c r="F2757" s="950">
        <v>1</v>
      </c>
      <c r="G2757" s="951">
        <v>287500</v>
      </c>
      <c r="H2757" s="951">
        <v>299651</v>
      </c>
      <c r="I2757" s="18"/>
    </row>
    <row r="2758" spans="1:9">
      <c r="A2758" s="943" t="s">
        <v>81</v>
      </c>
      <c r="B2758" s="944">
        <v>993.1</v>
      </c>
      <c r="C2758" s="944" t="s">
        <v>681</v>
      </c>
      <c r="D2758" s="943" t="s">
        <v>22</v>
      </c>
      <c r="E2758" s="945">
        <v>7</v>
      </c>
      <c r="F2758" s="945">
        <v>1</v>
      </c>
      <c r="G2758" s="946">
        <v>819440</v>
      </c>
      <c r="H2758" s="946">
        <v>822697.14</v>
      </c>
    </row>
    <row r="2759" spans="1:9" s="26" customFormat="1">
      <c r="A2759" s="947" t="s">
        <v>81</v>
      </c>
      <c r="B2759" s="948">
        <v>994.01</v>
      </c>
      <c r="C2759" s="948" t="s">
        <v>682</v>
      </c>
      <c r="D2759" s="947" t="s">
        <v>22</v>
      </c>
      <c r="E2759" s="950">
        <v>15</v>
      </c>
      <c r="F2759" s="950">
        <v>5</v>
      </c>
      <c r="G2759" s="951">
        <v>80000</v>
      </c>
      <c r="H2759" s="951">
        <v>66160.33</v>
      </c>
      <c r="I2759" s="18"/>
    </row>
    <row r="2760" spans="1:9">
      <c r="A2760" s="943" t="s">
        <v>81</v>
      </c>
      <c r="B2760" s="944">
        <v>994.1</v>
      </c>
      <c r="C2760" s="944" t="s">
        <v>683</v>
      </c>
      <c r="D2760" s="943" t="s">
        <v>3</v>
      </c>
      <c r="E2760" s="952">
        <v>668975</v>
      </c>
      <c r="F2760" s="945">
        <v>32</v>
      </c>
      <c r="G2760" s="946">
        <v>14</v>
      </c>
      <c r="H2760" s="946">
        <v>13.38</v>
      </c>
    </row>
    <row r="2761" spans="1:9" s="26" customFormat="1">
      <c r="A2761" s="947" t="s">
        <v>81</v>
      </c>
      <c r="B2761" s="948">
        <v>994.2</v>
      </c>
      <c r="C2761" s="948" t="s">
        <v>3616</v>
      </c>
      <c r="D2761" s="947" t="s">
        <v>3</v>
      </c>
      <c r="E2761" s="949">
        <v>25200</v>
      </c>
      <c r="F2761" s="950">
        <v>2</v>
      </c>
      <c r="G2761" s="951">
        <v>12</v>
      </c>
      <c r="H2761" s="951">
        <v>11.72</v>
      </c>
      <c r="I2761" s="18"/>
    </row>
    <row r="2762" spans="1:9">
      <c r="A2762" s="943" t="s">
        <v>81</v>
      </c>
      <c r="B2762" s="944">
        <v>994.3</v>
      </c>
      <c r="C2762" s="944" t="s">
        <v>3617</v>
      </c>
      <c r="D2762" s="943" t="s">
        <v>3</v>
      </c>
      <c r="E2762" s="952">
        <v>2700</v>
      </c>
      <c r="F2762" s="945">
        <v>1</v>
      </c>
      <c r="G2762" s="946">
        <v>10</v>
      </c>
      <c r="H2762" s="946">
        <v>9</v>
      </c>
    </row>
    <row r="2763" spans="1:9" s="26" customFormat="1">
      <c r="A2763" s="947" t="s">
        <v>81</v>
      </c>
      <c r="B2763" s="948">
        <v>995</v>
      </c>
      <c r="C2763" s="948" t="s">
        <v>684</v>
      </c>
      <c r="D2763" s="947" t="s">
        <v>22</v>
      </c>
      <c r="E2763" s="950">
        <v>5</v>
      </c>
      <c r="F2763" s="950">
        <v>1</v>
      </c>
      <c r="G2763" s="951">
        <v>1200000</v>
      </c>
      <c r="H2763" s="951">
        <v>1163075.8</v>
      </c>
      <c r="I2763" s="18"/>
    </row>
    <row r="2764" spans="1:9">
      <c r="A2764" s="943" t="s">
        <v>81</v>
      </c>
      <c r="B2764" s="944">
        <v>995.01</v>
      </c>
      <c r="C2764" s="944" t="s">
        <v>685</v>
      </c>
      <c r="D2764" s="943" t="s">
        <v>22</v>
      </c>
      <c r="E2764" s="945">
        <v>30</v>
      </c>
      <c r="F2764" s="945">
        <v>6</v>
      </c>
      <c r="G2764" s="946">
        <v>1700000</v>
      </c>
      <c r="H2764" s="946">
        <v>1470131.82</v>
      </c>
    </row>
    <row r="2765" spans="1:9" s="26" customFormat="1">
      <c r="A2765" s="947" t="s">
        <v>81</v>
      </c>
      <c r="B2765" s="948">
        <v>995.01099999999997</v>
      </c>
      <c r="C2765" s="948" t="s">
        <v>686</v>
      </c>
      <c r="D2765" s="947" t="s">
        <v>22</v>
      </c>
      <c r="E2765" s="950">
        <v>8</v>
      </c>
      <c r="F2765" s="950">
        <v>1</v>
      </c>
      <c r="G2765" s="951">
        <v>380000</v>
      </c>
      <c r="H2765" s="951">
        <v>373875</v>
      </c>
      <c r="I2765" s="18"/>
    </row>
    <row r="2766" spans="1:9">
      <c r="A2766" s="943" t="s">
        <v>81</v>
      </c>
      <c r="B2766" s="944">
        <v>995.02099999999996</v>
      </c>
      <c r="C2766" s="944" t="s">
        <v>4068</v>
      </c>
      <c r="D2766" s="943" t="s">
        <v>22</v>
      </c>
      <c r="E2766" s="945">
        <v>8</v>
      </c>
      <c r="F2766" s="945">
        <v>1</v>
      </c>
      <c r="G2766" s="946">
        <v>495000</v>
      </c>
      <c r="H2766" s="946">
        <v>491250</v>
      </c>
    </row>
    <row r="2767" spans="1:9" s="26" customFormat="1">
      <c r="A2767" s="947" t="s">
        <v>81</v>
      </c>
      <c r="B2767" s="948">
        <v>995.03</v>
      </c>
      <c r="C2767" s="948" t="s">
        <v>687</v>
      </c>
      <c r="D2767" s="947" t="s">
        <v>22</v>
      </c>
      <c r="E2767" s="950">
        <v>4</v>
      </c>
      <c r="F2767" s="950">
        <v>2</v>
      </c>
      <c r="G2767" s="951">
        <v>9230461.5</v>
      </c>
      <c r="H2767" s="951">
        <v>7315230.75</v>
      </c>
      <c r="I2767" s="18"/>
    </row>
    <row r="2768" spans="1:9">
      <c r="A2768" s="943" t="s">
        <v>81</v>
      </c>
      <c r="B2768" s="944">
        <v>996.01</v>
      </c>
      <c r="C2768" s="944" t="s">
        <v>688</v>
      </c>
      <c r="D2768" s="943" t="s">
        <v>22</v>
      </c>
      <c r="E2768" s="945">
        <v>19</v>
      </c>
      <c r="F2768" s="945">
        <v>5</v>
      </c>
      <c r="G2768" s="946">
        <v>972500</v>
      </c>
      <c r="H2768" s="946">
        <v>898529.66</v>
      </c>
    </row>
    <row r="2769" spans="1:9" s="26" customFormat="1">
      <c r="A2769" s="947" t="s">
        <v>81</v>
      </c>
      <c r="B2769" s="948">
        <v>996.02</v>
      </c>
      <c r="C2769" s="948" t="s">
        <v>688</v>
      </c>
      <c r="D2769" s="947" t="s">
        <v>22</v>
      </c>
      <c r="E2769" s="950">
        <v>4</v>
      </c>
      <c r="F2769" s="950">
        <v>1</v>
      </c>
      <c r="G2769" s="951">
        <v>622500</v>
      </c>
      <c r="H2769" s="951">
        <v>622500</v>
      </c>
      <c r="I2769" s="18"/>
    </row>
    <row r="2770" spans="1:9">
      <c r="A2770" s="943" t="s">
        <v>81</v>
      </c>
      <c r="B2770" s="944">
        <v>996.31</v>
      </c>
      <c r="C2770" s="944" t="s">
        <v>3627</v>
      </c>
      <c r="D2770" s="943" t="s">
        <v>1</v>
      </c>
      <c r="E2770" s="945">
        <v>300</v>
      </c>
      <c r="F2770" s="945">
        <v>1</v>
      </c>
      <c r="G2770" s="946">
        <v>230</v>
      </c>
      <c r="H2770" s="946">
        <v>220</v>
      </c>
    </row>
    <row r="2771" spans="1:9" s="26" customFormat="1">
      <c r="A2771" s="947">
        <v>1</v>
      </c>
      <c r="B2771" s="948">
        <v>100</v>
      </c>
      <c r="C2771" s="948" t="s">
        <v>51</v>
      </c>
      <c r="D2771" s="947" t="s">
        <v>22</v>
      </c>
      <c r="E2771" s="950">
        <v>31</v>
      </c>
      <c r="F2771" s="950">
        <v>6</v>
      </c>
      <c r="G2771" s="951">
        <v>34500</v>
      </c>
      <c r="H2771" s="951">
        <v>31774.19</v>
      </c>
      <c r="I2771" s="18"/>
    </row>
    <row r="2772" spans="1:9">
      <c r="A2772" s="943">
        <v>1</v>
      </c>
      <c r="B2772" s="944">
        <v>100.002</v>
      </c>
      <c r="C2772" s="944" t="s">
        <v>83</v>
      </c>
      <c r="D2772" s="943" t="s">
        <v>24</v>
      </c>
      <c r="E2772" s="945">
        <v>800</v>
      </c>
      <c r="F2772" s="945">
        <v>3</v>
      </c>
      <c r="G2772" s="946">
        <v>121</v>
      </c>
      <c r="H2772" s="946">
        <v>122.73</v>
      </c>
    </row>
    <row r="2773" spans="1:9" s="26" customFormat="1">
      <c r="A2773" s="947">
        <v>1</v>
      </c>
      <c r="B2773" s="948">
        <v>100.1</v>
      </c>
      <c r="C2773" s="948" t="s">
        <v>85</v>
      </c>
      <c r="D2773" s="947" t="s">
        <v>24</v>
      </c>
      <c r="E2773" s="949">
        <v>8084</v>
      </c>
      <c r="F2773" s="950">
        <v>7</v>
      </c>
      <c r="G2773" s="951">
        <v>132.5</v>
      </c>
      <c r="H2773" s="951">
        <v>135.69999999999999</v>
      </c>
      <c r="I2773" s="18"/>
    </row>
    <row r="2774" spans="1:9">
      <c r="A2774" s="943">
        <v>1</v>
      </c>
      <c r="B2774" s="944">
        <v>101</v>
      </c>
      <c r="C2774" s="944" t="s">
        <v>54</v>
      </c>
      <c r="D2774" s="943" t="s">
        <v>55</v>
      </c>
      <c r="E2774" s="945">
        <v>5.99</v>
      </c>
      <c r="F2774" s="945">
        <v>5</v>
      </c>
      <c r="G2774" s="946">
        <v>52000</v>
      </c>
      <c r="H2774" s="946">
        <v>53687.5</v>
      </c>
    </row>
    <row r="2775" spans="1:9" s="26" customFormat="1">
      <c r="A2775" s="947">
        <v>1</v>
      </c>
      <c r="B2775" s="948">
        <v>102</v>
      </c>
      <c r="C2775" s="948" t="s">
        <v>92</v>
      </c>
      <c r="D2775" s="947" t="s">
        <v>55</v>
      </c>
      <c r="E2775" s="950">
        <v>1</v>
      </c>
      <c r="F2775" s="950">
        <v>2</v>
      </c>
      <c r="G2775" s="951">
        <v>97000</v>
      </c>
      <c r="H2775" s="951">
        <v>74571.429999999993</v>
      </c>
      <c r="I2775" s="18"/>
    </row>
    <row r="2776" spans="1:9">
      <c r="A2776" s="943">
        <v>1</v>
      </c>
      <c r="B2776" s="944">
        <v>102.01</v>
      </c>
      <c r="C2776" s="944" t="s">
        <v>1950</v>
      </c>
      <c r="D2776" s="943" t="s">
        <v>22</v>
      </c>
      <c r="E2776" s="945">
        <v>6</v>
      </c>
      <c r="F2776" s="945">
        <v>1</v>
      </c>
      <c r="G2776" s="946">
        <v>25000</v>
      </c>
      <c r="H2776" s="946">
        <v>22500</v>
      </c>
    </row>
    <row r="2777" spans="1:9" s="26" customFormat="1">
      <c r="A2777" s="947">
        <v>1</v>
      </c>
      <c r="B2777" s="948">
        <v>102.1</v>
      </c>
      <c r="C2777" s="948" t="s">
        <v>93</v>
      </c>
      <c r="D2777" s="947" t="s">
        <v>17</v>
      </c>
      <c r="E2777" s="949">
        <v>9732</v>
      </c>
      <c r="F2777" s="950">
        <v>6</v>
      </c>
      <c r="G2777" s="951">
        <v>20</v>
      </c>
      <c r="H2777" s="951">
        <v>19.329999999999998</v>
      </c>
      <c r="I2777" s="18"/>
    </row>
    <row r="2778" spans="1:9">
      <c r="A2778" s="943">
        <v>1</v>
      </c>
      <c r="B2778" s="944">
        <v>102.2</v>
      </c>
      <c r="C2778" s="944" t="s">
        <v>93</v>
      </c>
      <c r="D2778" s="943" t="s">
        <v>22</v>
      </c>
      <c r="E2778" s="945">
        <v>7</v>
      </c>
      <c r="F2778" s="945">
        <v>1</v>
      </c>
      <c r="G2778" s="946">
        <v>17000</v>
      </c>
      <c r="H2778" s="946">
        <v>18428.57</v>
      </c>
    </row>
    <row r="2779" spans="1:9" s="26" customFormat="1">
      <c r="A2779" s="947">
        <v>1</v>
      </c>
      <c r="B2779" s="948">
        <v>102.3</v>
      </c>
      <c r="C2779" s="948" t="s">
        <v>3995</v>
      </c>
      <c r="D2779" s="947" t="s">
        <v>24</v>
      </c>
      <c r="E2779" s="950">
        <v>140</v>
      </c>
      <c r="F2779" s="950">
        <v>1</v>
      </c>
      <c r="G2779" s="951">
        <v>647.5</v>
      </c>
      <c r="H2779" s="951">
        <v>584.14</v>
      </c>
      <c r="I2779" s="18"/>
    </row>
    <row r="2780" spans="1:9">
      <c r="A2780" s="943">
        <v>1</v>
      </c>
      <c r="B2780" s="944">
        <v>102.33</v>
      </c>
      <c r="C2780" s="944" t="s">
        <v>1275</v>
      </c>
      <c r="D2780" s="943" t="s">
        <v>24</v>
      </c>
      <c r="E2780" s="945">
        <v>70</v>
      </c>
      <c r="F2780" s="945">
        <v>1</v>
      </c>
      <c r="G2780" s="946">
        <v>625</v>
      </c>
      <c r="H2780" s="946">
        <v>591.42999999999995</v>
      </c>
    </row>
    <row r="2781" spans="1:9" s="26" customFormat="1">
      <c r="A2781" s="947">
        <v>1</v>
      </c>
      <c r="B2781" s="948">
        <v>102.511</v>
      </c>
      <c r="C2781" s="948" t="s">
        <v>4029</v>
      </c>
      <c r="D2781" s="947" t="s">
        <v>2</v>
      </c>
      <c r="E2781" s="950">
        <v>280</v>
      </c>
      <c r="F2781" s="950">
        <v>4</v>
      </c>
      <c r="G2781" s="951">
        <v>600</v>
      </c>
      <c r="H2781" s="951">
        <v>599.99</v>
      </c>
      <c r="I2781" s="18"/>
    </row>
    <row r="2782" spans="1:9">
      <c r="A2782" s="943">
        <v>1</v>
      </c>
      <c r="B2782" s="944">
        <v>102.521</v>
      </c>
      <c r="C2782" s="944" t="s">
        <v>1276</v>
      </c>
      <c r="D2782" s="943" t="s">
        <v>17</v>
      </c>
      <c r="E2782" s="952">
        <v>10670</v>
      </c>
      <c r="F2782" s="945">
        <v>4</v>
      </c>
      <c r="G2782" s="946">
        <v>10</v>
      </c>
      <c r="H2782" s="946">
        <v>9.56</v>
      </c>
    </row>
    <row r="2783" spans="1:9" s="26" customFormat="1">
      <c r="A2783" s="947">
        <v>1</v>
      </c>
      <c r="B2783" s="948">
        <v>102.55</v>
      </c>
      <c r="C2783" s="948" t="s">
        <v>1277</v>
      </c>
      <c r="D2783" s="947" t="s">
        <v>24</v>
      </c>
      <c r="E2783" s="950">
        <v>555</v>
      </c>
      <c r="F2783" s="950">
        <v>3</v>
      </c>
      <c r="G2783" s="951">
        <v>170</v>
      </c>
      <c r="H2783" s="951">
        <v>174.56</v>
      </c>
      <c r="I2783" s="18"/>
    </row>
    <row r="2784" spans="1:9">
      <c r="A2784" s="943">
        <v>1</v>
      </c>
      <c r="B2784" s="944">
        <v>103</v>
      </c>
      <c r="C2784" s="944" t="s">
        <v>35</v>
      </c>
      <c r="D2784" s="943" t="s">
        <v>2</v>
      </c>
      <c r="E2784" s="945">
        <v>87</v>
      </c>
      <c r="F2784" s="945">
        <v>4</v>
      </c>
      <c r="G2784" s="946">
        <v>1800</v>
      </c>
      <c r="H2784" s="946">
        <v>1776.14</v>
      </c>
    </row>
    <row r="2785" spans="1:9" s="26" customFormat="1">
      <c r="A2785" s="947">
        <v>1</v>
      </c>
      <c r="B2785" s="948">
        <v>104</v>
      </c>
      <c r="C2785" s="948" t="s">
        <v>94</v>
      </c>
      <c r="D2785" s="947" t="s">
        <v>2</v>
      </c>
      <c r="E2785" s="950">
        <v>22</v>
      </c>
      <c r="F2785" s="950">
        <v>2</v>
      </c>
      <c r="G2785" s="951">
        <v>3800</v>
      </c>
      <c r="H2785" s="951">
        <v>3568.61</v>
      </c>
      <c r="I2785" s="18"/>
    </row>
    <row r="2786" spans="1:9">
      <c r="A2786" s="943">
        <v>1</v>
      </c>
      <c r="B2786" s="944">
        <v>105</v>
      </c>
      <c r="C2786" s="944" t="s">
        <v>95</v>
      </c>
      <c r="D2786" s="943" t="s">
        <v>2</v>
      </c>
      <c r="E2786" s="945">
        <v>27</v>
      </c>
      <c r="F2786" s="945">
        <v>3</v>
      </c>
      <c r="G2786" s="946">
        <v>700</v>
      </c>
      <c r="H2786" s="946">
        <v>715.94</v>
      </c>
    </row>
    <row r="2787" spans="1:9" s="26" customFormat="1">
      <c r="A2787" s="947">
        <v>1</v>
      </c>
      <c r="B2787" s="948">
        <v>106.12</v>
      </c>
      <c r="C2787" s="948" t="s">
        <v>96</v>
      </c>
      <c r="D2787" s="947" t="s">
        <v>17</v>
      </c>
      <c r="E2787" s="950">
        <v>340</v>
      </c>
      <c r="F2787" s="950">
        <v>2</v>
      </c>
      <c r="G2787" s="951">
        <v>102</v>
      </c>
      <c r="H2787" s="951">
        <v>109.88</v>
      </c>
      <c r="I2787" s="18"/>
    </row>
    <row r="2788" spans="1:9">
      <c r="A2788" s="943">
        <v>1</v>
      </c>
      <c r="B2788" s="944">
        <v>106.30200000000001</v>
      </c>
      <c r="C2788" s="944" t="s">
        <v>1962</v>
      </c>
      <c r="D2788" s="943" t="s">
        <v>3</v>
      </c>
      <c r="E2788" s="952">
        <v>6000</v>
      </c>
      <c r="F2788" s="945">
        <v>1</v>
      </c>
      <c r="G2788" s="946">
        <v>170</v>
      </c>
      <c r="H2788" s="946">
        <v>146.66999999999999</v>
      </c>
    </row>
    <row r="2789" spans="1:9" s="26" customFormat="1">
      <c r="A2789" s="947">
        <v>1</v>
      </c>
      <c r="B2789" s="948">
        <v>106.49</v>
      </c>
      <c r="C2789" s="948" t="s">
        <v>1968</v>
      </c>
      <c r="D2789" s="947" t="s">
        <v>17</v>
      </c>
      <c r="E2789" s="949">
        <v>1640</v>
      </c>
      <c r="F2789" s="950">
        <v>3</v>
      </c>
      <c r="G2789" s="951">
        <v>327.5</v>
      </c>
      <c r="H2789" s="951">
        <v>453.38</v>
      </c>
      <c r="I2789" s="18"/>
    </row>
    <row r="2790" spans="1:9">
      <c r="A2790" s="943">
        <v>1</v>
      </c>
      <c r="B2790" s="944">
        <v>107.02</v>
      </c>
      <c r="C2790" s="944" t="s">
        <v>99</v>
      </c>
      <c r="D2790" s="943" t="s">
        <v>100</v>
      </c>
      <c r="E2790" s="952">
        <v>77000</v>
      </c>
      <c r="F2790" s="945">
        <v>3</v>
      </c>
      <c r="G2790" s="946">
        <v>3</v>
      </c>
      <c r="H2790" s="946">
        <v>3.86</v>
      </c>
    </row>
    <row r="2791" spans="1:9" s="26" customFormat="1">
      <c r="A2791" s="947">
        <v>1</v>
      </c>
      <c r="B2791" s="948">
        <v>107.855</v>
      </c>
      <c r="C2791" s="948" t="s">
        <v>102</v>
      </c>
      <c r="D2791" s="947" t="s">
        <v>17</v>
      </c>
      <c r="E2791" s="950">
        <v>440</v>
      </c>
      <c r="F2791" s="950">
        <v>2</v>
      </c>
      <c r="G2791" s="951">
        <v>200</v>
      </c>
      <c r="H2791" s="951">
        <v>209</v>
      </c>
      <c r="I2791" s="18"/>
    </row>
    <row r="2792" spans="1:9">
      <c r="A2792" s="943">
        <v>1</v>
      </c>
      <c r="B2792" s="944">
        <v>107.97</v>
      </c>
      <c r="C2792" s="944" t="s">
        <v>103</v>
      </c>
      <c r="D2792" s="943" t="s">
        <v>100</v>
      </c>
      <c r="E2792" s="952">
        <v>101066</v>
      </c>
      <c r="F2792" s="945">
        <v>4</v>
      </c>
      <c r="G2792" s="946">
        <v>46.5</v>
      </c>
      <c r="H2792" s="946">
        <v>57.4</v>
      </c>
    </row>
    <row r="2793" spans="1:9" s="26" customFormat="1">
      <c r="A2793" s="947">
        <v>1</v>
      </c>
      <c r="B2793" s="948">
        <v>114.1</v>
      </c>
      <c r="C2793" s="948" t="s">
        <v>104</v>
      </c>
      <c r="D2793" s="947" t="s">
        <v>22</v>
      </c>
      <c r="E2793" s="950">
        <v>4</v>
      </c>
      <c r="F2793" s="950">
        <v>1</v>
      </c>
      <c r="G2793" s="951">
        <v>210000</v>
      </c>
      <c r="H2793" s="951">
        <v>150050</v>
      </c>
      <c r="I2793" s="18"/>
    </row>
    <row r="2794" spans="1:9">
      <c r="A2794" s="943">
        <v>1</v>
      </c>
      <c r="B2794" s="944">
        <v>120</v>
      </c>
      <c r="C2794" s="944" t="s">
        <v>107</v>
      </c>
      <c r="D2794" s="943" t="s">
        <v>4</v>
      </c>
      <c r="E2794" s="952">
        <v>157300</v>
      </c>
      <c r="F2794" s="945">
        <v>9</v>
      </c>
      <c r="G2794" s="946">
        <v>45</v>
      </c>
      <c r="H2794" s="946">
        <v>45.74</v>
      </c>
    </row>
    <row r="2795" spans="1:9" s="26" customFormat="1">
      <c r="A2795" s="947">
        <v>1</v>
      </c>
      <c r="B2795" s="948">
        <v>120.1</v>
      </c>
      <c r="C2795" s="948" t="s">
        <v>19</v>
      </c>
      <c r="D2795" s="947" t="s">
        <v>4</v>
      </c>
      <c r="E2795" s="949">
        <v>2850</v>
      </c>
      <c r="F2795" s="950">
        <v>8</v>
      </c>
      <c r="G2795" s="951">
        <v>100</v>
      </c>
      <c r="H2795" s="951">
        <v>87.1</v>
      </c>
      <c r="I2795" s="18"/>
    </row>
    <row r="2796" spans="1:9">
      <c r="A2796" s="943">
        <v>1</v>
      </c>
      <c r="B2796" s="944">
        <v>121</v>
      </c>
      <c r="C2796" s="944" t="s">
        <v>108</v>
      </c>
      <c r="D2796" s="943" t="s">
        <v>4</v>
      </c>
      <c r="E2796" s="952">
        <v>4076</v>
      </c>
      <c r="F2796" s="945">
        <v>8</v>
      </c>
      <c r="G2796" s="946">
        <v>150</v>
      </c>
      <c r="H2796" s="946">
        <v>132.01</v>
      </c>
    </row>
    <row r="2797" spans="1:9" s="26" customFormat="1">
      <c r="A2797" s="947">
        <v>1</v>
      </c>
      <c r="B2797" s="948">
        <v>127</v>
      </c>
      <c r="C2797" s="948" t="s">
        <v>111</v>
      </c>
      <c r="D2797" s="947" t="s">
        <v>4</v>
      </c>
      <c r="E2797" s="950">
        <v>320</v>
      </c>
      <c r="F2797" s="950">
        <v>1</v>
      </c>
      <c r="G2797" s="951">
        <v>300</v>
      </c>
      <c r="H2797" s="951">
        <v>262.5</v>
      </c>
      <c r="I2797" s="18"/>
    </row>
    <row r="2798" spans="1:9">
      <c r="A2798" s="943">
        <v>1</v>
      </c>
      <c r="B2798" s="944">
        <v>127.1</v>
      </c>
      <c r="C2798" s="944" t="s">
        <v>112</v>
      </c>
      <c r="D2798" s="943" t="s">
        <v>4</v>
      </c>
      <c r="E2798" s="945">
        <v>118</v>
      </c>
      <c r="F2798" s="945">
        <v>5</v>
      </c>
      <c r="G2798" s="946">
        <v>1500</v>
      </c>
      <c r="H2798" s="946">
        <v>1131.25</v>
      </c>
    </row>
    <row r="2799" spans="1:9" s="26" customFormat="1">
      <c r="A2799" s="947">
        <v>1</v>
      </c>
      <c r="B2799" s="948">
        <v>127.4</v>
      </c>
      <c r="C2799" s="948" t="s">
        <v>113</v>
      </c>
      <c r="D2799" s="947" t="s">
        <v>1</v>
      </c>
      <c r="E2799" s="950">
        <v>446</v>
      </c>
      <c r="F2799" s="950">
        <v>4</v>
      </c>
      <c r="G2799" s="951">
        <v>1670</v>
      </c>
      <c r="H2799" s="951">
        <v>1625</v>
      </c>
      <c r="I2799" s="18"/>
    </row>
    <row r="2800" spans="1:9">
      <c r="A2800" s="943">
        <v>1</v>
      </c>
      <c r="B2800" s="944">
        <v>127.41</v>
      </c>
      <c r="C2800" s="944" t="s">
        <v>114</v>
      </c>
      <c r="D2800" s="943" t="s">
        <v>4</v>
      </c>
      <c r="E2800" s="945">
        <v>272</v>
      </c>
      <c r="F2800" s="945">
        <v>4</v>
      </c>
      <c r="G2800" s="946">
        <v>4210</v>
      </c>
      <c r="H2800" s="946">
        <v>3988.46</v>
      </c>
    </row>
    <row r="2801" spans="1:9" s="26" customFormat="1">
      <c r="A2801" s="947">
        <v>1</v>
      </c>
      <c r="B2801" s="948">
        <v>129.5</v>
      </c>
      <c r="C2801" s="948" t="s">
        <v>116</v>
      </c>
      <c r="D2801" s="947" t="s">
        <v>17</v>
      </c>
      <c r="E2801" s="949">
        <v>22980</v>
      </c>
      <c r="F2801" s="950">
        <v>1</v>
      </c>
      <c r="G2801" s="951">
        <v>25.25</v>
      </c>
      <c r="H2801" s="951">
        <v>24.08</v>
      </c>
      <c r="I2801" s="18"/>
    </row>
    <row r="2802" spans="1:9">
      <c r="A2802" s="943">
        <v>1</v>
      </c>
      <c r="B2802" s="944">
        <v>129.6</v>
      </c>
      <c r="C2802" s="944" t="s">
        <v>117</v>
      </c>
      <c r="D2802" s="943" t="s">
        <v>1</v>
      </c>
      <c r="E2802" s="952">
        <v>7080</v>
      </c>
      <c r="F2802" s="945">
        <v>4</v>
      </c>
      <c r="G2802" s="946">
        <v>46</v>
      </c>
      <c r="H2802" s="946">
        <v>39</v>
      </c>
    </row>
    <row r="2803" spans="1:9" s="26" customFormat="1">
      <c r="A2803" s="947">
        <v>1</v>
      </c>
      <c r="B2803" s="948">
        <v>140</v>
      </c>
      <c r="C2803" s="948" t="s">
        <v>118</v>
      </c>
      <c r="D2803" s="947" t="s">
        <v>4</v>
      </c>
      <c r="E2803" s="949">
        <v>5310</v>
      </c>
      <c r="F2803" s="950">
        <v>2</v>
      </c>
      <c r="G2803" s="951">
        <v>60</v>
      </c>
      <c r="H2803" s="951">
        <v>67</v>
      </c>
      <c r="I2803" s="18"/>
    </row>
    <row r="2804" spans="1:9">
      <c r="A2804" s="943">
        <v>1</v>
      </c>
      <c r="B2804" s="944">
        <v>141</v>
      </c>
      <c r="C2804" s="944" t="s">
        <v>120</v>
      </c>
      <c r="D2804" s="943" t="s">
        <v>4</v>
      </c>
      <c r="E2804" s="952">
        <v>8678</v>
      </c>
      <c r="F2804" s="945">
        <v>11</v>
      </c>
      <c r="G2804" s="946">
        <v>55.5</v>
      </c>
      <c r="H2804" s="946">
        <v>54.02</v>
      </c>
    </row>
    <row r="2805" spans="1:9" s="26" customFormat="1">
      <c r="A2805" s="947">
        <v>1</v>
      </c>
      <c r="B2805" s="948">
        <v>141.1</v>
      </c>
      <c r="C2805" s="948" t="s">
        <v>121</v>
      </c>
      <c r="D2805" s="947" t="s">
        <v>4</v>
      </c>
      <c r="E2805" s="949">
        <v>3466</v>
      </c>
      <c r="F2805" s="950">
        <v>12</v>
      </c>
      <c r="G2805" s="951">
        <v>150</v>
      </c>
      <c r="H2805" s="951">
        <v>140.79</v>
      </c>
      <c r="I2805" s="18"/>
    </row>
    <row r="2806" spans="1:9">
      <c r="A2806" s="943">
        <v>1</v>
      </c>
      <c r="B2806" s="944">
        <v>142</v>
      </c>
      <c r="C2806" s="944" t="s">
        <v>122</v>
      </c>
      <c r="D2806" s="943" t="s">
        <v>4</v>
      </c>
      <c r="E2806" s="952">
        <v>2699</v>
      </c>
      <c r="F2806" s="945">
        <v>10</v>
      </c>
      <c r="G2806" s="946">
        <v>50</v>
      </c>
      <c r="H2806" s="946">
        <v>47.56</v>
      </c>
    </row>
    <row r="2807" spans="1:9" s="26" customFormat="1">
      <c r="A2807" s="947">
        <v>1</v>
      </c>
      <c r="B2807" s="948">
        <v>143</v>
      </c>
      <c r="C2807" s="948" t="s">
        <v>123</v>
      </c>
      <c r="D2807" s="947" t="s">
        <v>4</v>
      </c>
      <c r="E2807" s="950">
        <v>980</v>
      </c>
      <c r="F2807" s="950">
        <v>2</v>
      </c>
      <c r="G2807" s="951">
        <v>100</v>
      </c>
      <c r="H2807" s="951">
        <v>114.2</v>
      </c>
      <c r="I2807" s="18"/>
    </row>
    <row r="2808" spans="1:9">
      <c r="A2808" s="943">
        <v>1</v>
      </c>
      <c r="B2808" s="944">
        <v>144</v>
      </c>
      <c r="C2808" s="944" t="s">
        <v>124</v>
      </c>
      <c r="D2808" s="943" t="s">
        <v>4</v>
      </c>
      <c r="E2808" s="952">
        <v>1566</v>
      </c>
      <c r="F2808" s="945">
        <v>14</v>
      </c>
      <c r="G2808" s="946">
        <v>245</v>
      </c>
      <c r="H2808" s="946">
        <v>219.32</v>
      </c>
    </row>
    <row r="2809" spans="1:9" s="26" customFormat="1">
      <c r="A2809" s="947">
        <v>1</v>
      </c>
      <c r="B2809" s="948">
        <v>146</v>
      </c>
      <c r="C2809" s="948" t="s">
        <v>126</v>
      </c>
      <c r="D2809" s="947" t="s">
        <v>2</v>
      </c>
      <c r="E2809" s="950">
        <v>288</v>
      </c>
      <c r="F2809" s="950">
        <v>9</v>
      </c>
      <c r="G2809" s="951">
        <v>800</v>
      </c>
      <c r="H2809" s="951">
        <v>760.25</v>
      </c>
      <c r="I2809" s="18"/>
    </row>
    <row r="2810" spans="1:9">
      <c r="A2810" s="943">
        <v>1</v>
      </c>
      <c r="B2810" s="944">
        <v>150</v>
      </c>
      <c r="C2810" s="944" t="s">
        <v>128</v>
      </c>
      <c r="D2810" s="943" t="s">
        <v>4</v>
      </c>
      <c r="E2810" s="952">
        <v>3515</v>
      </c>
      <c r="F2810" s="945">
        <v>3</v>
      </c>
      <c r="G2810" s="946">
        <v>55</v>
      </c>
      <c r="H2810" s="946">
        <v>54.89</v>
      </c>
    </row>
    <row r="2811" spans="1:9" s="26" customFormat="1">
      <c r="A2811" s="947">
        <v>1</v>
      </c>
      <c r="B2811" s="948">
        <v>150.1</v>
      </c>
      <c r="C2811" s="948" t="s">
        <v>129</v>
      </c>
      <c r="D2811" s="947" t="s">
        <v>4</v>
      </c>
      <c r="E2811" s="949">
        <v>1503</v>
      </c>
      <c r="F2811" s="950">
        <v>5</v>
      </c>
      <c r="G2811" s="951">
        <v>60</v>
      </c>
      <c r="H2811" s="951">
        <v>55.78</v>
      </c>
      <c r="I2811" s="18"/>
    </row>
    <row r="2812" spans="1:9">
      <c r="A2812" s="943">
        <v>1</v>
      </c>
      <c r="B2812" s="944">
        <v>151</v>
      </c>
      <c r="C2812" s="944" t="s">
        <v>5</v>
      </c>
      <c r="D2812" s="943" t="s">
        <v>4</v>
      </c>
      <c r="E2812" s="952">
        <v>81975</v>
      </c>
      <c r="F2812" s="945">
        <v>13</v>
      </c>
      <c r="G2812" s="946">
        <v>65</v>
      </c>
      <c r="H2812" s="946">
        <v>64.709999999999994</v>
      </c>
    </row>
    <row r="2813" spans="1:9" s="26" customFormat="1">
      <c r="A2813" s="947">
        <v>1</v>
      </c>
      <c r="B2813" s="948">
        <v>151.01</v>
      </c>
      <c r="C2813" s="948" t="s">
        <v>130</v>
      </c>
      <c r="D2813" s="947" t="s">
        <v>4</v>
      </c>
      <c r="E2813" s="949">
        <v>3060</v>
      </c>
      <c r="F2813" s="950">
        <v>8</v>
      </c>
      <c r="G2813" s="951">
        <v>81.08</v>
      </c>
      <c r="H2813" s="951">
        <v>76.17</v>
      </c>
      <c r="I2813" s="18"/>
    </row>
    <row r="2814" spans="1:9">
      <c r="A2814" s="943">
        <v>1</v>
      </c>
      <c r="B2814" s="944">
        <v>151.1</v>
      </c>
      <c r="C2814" s="944" t="s">
        <v>131</v>
      </c>
      <c r="D2814" s="943" t="s">
        <v>4</v>
      </c>
      <c r="E2814" s="952">
        <v>1150</v>
      </c>
      <c r="F2814" s="945">
        <v>2</v>
      </c>
      <c r="G2814" s="946">
        <v>70</v>
      </c>
      <c r="H2814" s="946">
        <v>66.25</v>
      </c>
    </row>
    <row r="2815" spans="1:9" s="26" customFormat="1">
      <c r="A2815" s="947">
        <v>1</v>
      </c>
      <c r="B2815" s="948">
        <v>151.19999999999999</v>
      </c>
      <c r="C2815" s="948" t="s">
        <v>52</v>
      </c>
      <c r="D2815" s="947" t="s">
        <v>4</v>
      </c>
      <c r="E2815" s="949">
        <v>6015</v>
      </c>
      <c r="F2815" s="950">
        <v>7</v>
      </c>
      <c r="G2815" s="951">
        <v>70.62</v>
      </c>
      <c r="H2815" s="951">
        <v>66.099999999999994</v>
      </c>
      <c r="I2815" s="18"/>
    </row>
    <row r="2816" spans="1:9">
      <c r="A2816" s="943">
        <v>1</v>
      </c>
      <c r="B2816" s="944">
        <v>153</v>
      </c>
      <c r="C2816" s="944" t="s">
        <v>134</v>
      </c>
      <c r="D2816" s="943" t="s">
        <v>4</v>
      </c>
      <c r="E2816" s="945">
        <v>420</v>
      </c>
      <c r="F2816" s="945">
        <v>4</v>
      </c>
      <c r="G2816" s="946">
        <v>275</v>
      </c>
      <c r="H2816" s="946">
        <v>293.82</v>
      </c>
    </row>
    <row r="2817" spans="1:9" s="26" customFormat="1">
      <c r="A2817" s="947">
        <v>1</v>
      </c>
      <c r="B2817" s="948">
        <v>153.1</v>
      </c>
      <c r="C2817" s="948" t="s">
        <v>135</v>
      </c>
      <c r="D2817" s="947" t="s">
        <v>4</v>
      </c>
      <c r="E2817" s="950">
        <v>130</v>
      </c>
      <c r="F2817" s="950">
        <v>3</v>
      </c>
      <c r="G2817" s="951">
        <v>300</v>
      </c>
      <c r="H2817" s="951">
        <v>287.63</v>
      </c>
      <c r="I2817" s="18"/>
    </row>
    <row r="2818" spans="1:9">
      <c r="A2818" s="943">
        <v>1</v>
      </c>
      <c r="B2818" s="944">
        <v>156</v>
      </c>
      <c r="C2818" s="944" t="s">
        <v>26</v>
      </c>
      <c r="D2818" s="943" t="s">
        <v>7</v>
      </c>
      <c r="E2818" s="952">
        <v>11064</v>
      </c>
      <c r="F2818" s="945">
        <v>12</v>
      </c>
      <c r="G2818" s="946">
        <v>65</v>
      </c>
      <c r="H2818" s="946">
        <v>66.400000000000006</v>
      </c>
    </row>
    <row r="2819" spans="1:9" s="26" customFormat="1">
      <c r="A2819" s="947">
        <v>1</v>
      </c>
      <c r="B2819" s="948">
        <v>156.1</v>
      </c>
      <c r="C2819" s="948" t="s">
        <v>137</v>
      </c>
      <c r="D2819" s="947" t="s">
        <v>7</v>
      </c>
      <c r="E2819" s="950">
        <v>290</v>
      </c>
      <c r="F2819" s="950">
        <v>2</v>
      </c>
      <c r="G2819" s="951">
        <v>85.5</v>
      </c>
      <c r="H2819" s="951">
        <v>82.91</v>
      </c>
      <c r="I2819" s="18"/>
    </row>
    <row r="2820" spans="1:9">
      <c r="A2820" s="943">
        <v>1</v>
      </c>
      <c r="B2820" s="944">
        <v>157.1</v>
      </c>
      <c r="C2820" s="944" t="s">
        <v>139</v>
      </c>
      <c r="D2820" s="943" t="s">
        <v>4</v>
      </c>
      <c r="E2820" s="945">
        <v>160</v>
      </c>
      <c r="F2820" s="945">
        <v>1</v>
      </c>
      <c r="G2820" s="946">
        <v>600</v>
      </c>
      <c r="H2820" s="946">
        <v>593.5</v>
      </c>
    </row>
    <row r="2821" spans="1:9" s="26" customFormat="1">
      <c r="A2821" s="947">
        <v>1</v>
      </c>
      <c r="B2821" s="948">
        <v>157.19999999999999</v>
      </c>
      <c r="C2821" s="948" t="s">
        <v>140</v>
      </c>
      <c r="D2821" s="947" t="s">
        <v>4</v>
      </c>
      <c r="E2821" s="950">
        <v>160</v>
      </c>
      <c r="F2821" s="950">
        <v>1</v>
      </c>
      <c r="G2821" s="951">
        <v>600</v>
      </c>
      <c r="H2821" s="951">
        <v>605</v>
      </c>
      <c r="I2821" s="18"/>
    </row>
    <row r="2822" spans="1:9">
      <c r="A2822" s="943">
        <v>1</v>
      </c>
      <c r="B2822" s="944">
        <v>170</v>
      </c>
      <c r="C2822" s="944" t="s">
        <v>1287</v>
      </c>
      <c r="D2822" s="943" t="s">
        <v>1</v>
      </c>
      <c r="E2822" s="952">
        <v>279210</v>
      </c>
      <c r="F2822" s="945">
        <v>12</v>
      </c>
      <c r="G2822" s="946">
        <v>7.25</v>
      </c>
      <c r="H2822" s="946">
        <v>6.99</v>
      </c>
    </row>
    <row r="2823" spans="1:9" s="26" customFormat="1">
      <c r="A2823" s="947">
        <v>1</v>
      </c>
      <c r="B2823" s="948">
        <v>180.01</v>
      </c>
      <c r="C2823" s="948" t="s">
        <v>1288</v>
      </c>
      <c r="D2823" s="947" t="s">
        <v>22</v>
      </c>
      <c r="E2823" s="950">
        <v>29</v>
      </c>
      <c r="F2823" s="950">
        <v>7</v>
      </c>
      <c r="G2823" s="951">
        <v>6000</v>
      </c>
      <c r="H2823" s="951">
        <v>5223.8</v>
      </c>
      <c r="I2823" s="18"/>
    </row>
    <row r="2824" spans="1:9">
      <c r="A2824" s="943">
        <v>1</v>
      </c>
      <c r="B2824" s="944">
        <v>180.02</v>
      </c>
      <c r="C2824" s="944" t="s">
        <v>1289</v>
      </c>
      <c r="D2824" s="943" t="s">
        <v>24</v>
      </c>
      <c r="E2824" s="952">
        <v>1070</v>
      </c>
      <c r="F2824" s="945">
        <v>6</v>
      </c>
      <c r="G2824" s="946">
        <v>13</v>
      </c>
      <c r="H2824" s="946">
        <v>15.6</v>
      </c>
    </row>
    <row r="2825" spans="1:9" s="26" customFormat="1">
      <c r="A2825" s="947">
        <v>1</v>
      </c>
      <c r="B2825" s="948">
        <v>180.03</v>
      </c>
      <c r="C2825" s="948" t="s">
        <v>1290</v>
      </c>
      <c r="D2825" s="947" t="s">
        <v>24</v>
      </c>
      <c r="E2825" s="949">
        <v>1303</v>
      </c>
      <c r="F2825" s="950">
        <v>7</v>
      </c>
      <c r="G2825" s="951">
        <v>150</v>
      </c>
      <c r="H2825" s="951">
        <v>160.09</v>
      </c>
      <c r="I2825" s="18"/>
    </row>
    <row r="2826" spans="1:9">
      <c r="A2826" s="943">
        <v>1</v>
      </c>
      <c r="B2826" s="944">
        <v>181.11</v>
      </c>
      <c r="C2826" s="944" t="s">
        <v>58</v>
      </c>
      <c r="D2826" s="943" t="s">
        <v>7</v>
      </c>
      <c r="E2826" s="952">
        <v>10045</v>
      </c>
      <c r="F2826" s="945">
        <v>8</v>
      </c>
      <c r="G2826" s="946">
        <v>110</v>
      </c>
      <c r="H2826" s="946">
        <v>97.66</v>
      </c>
    </row>
    <row r="2827" spans="1:9" s="26" customFormat="1">
      <c r="A2827" s="947">
        <v>1</v>
      </c>
      <c r="B2827" s="948">
        <v>181.12</v>
      </c>
      <c r="C2827" s="948" t="s">
        <v>141</v>
      </c>
      <c r="D2827" s="947" t="s">
        <v>7</v>
      </c>
      <c r="E2827" s="949">
        <v>4309</v>
      </c>
      <c r="F2827" s="950">
        <v>8</v>
      </c>
      <c r="G2827" s="951">
        <v>152.5</v>
      </c>
      <c r="H2827" s="951">
        <v>137.18</v>
      </c>
      <c r="I2827" s="18"/>
    </row>
    <row r="2828" spans="1:9">
      <c r="A2828" s="943">
        <v>1</v>
      </c>
      <c r="B2828" s="944">
        <v>181.13</v>
      </c>
      <c r="C2828" s="944" t="s">
        <v>142</v>
      </c>
      <c r="D2828" s="943" t="s">
        <v>7</v>
      </c>
      <c r="E2828" s="952">
        <v>3716</v>
      </c>
      <c r="F2828" s="945">
        <v>8</v>
      </c>
      <c r="G2828" s="946">
        <v>300</v>
      </c>
      <c r="H2828" s="946">
        <v>290.3</v>
      </c>
    </row>
    <row r="2829" spans="1:9" s="26" customFormat="1">
      <c r="A2829" s="947">
        <v>1</v>
      </c>
      <c r="B2829" s="948">
        <v>181.14</v>
      </c>
      <c r="C2829" s="948" t="s">
        <v>59</v>
      </c>
      <c r="D2829" s="947" t="s">
        <v>7</v>
      </c>
      <c r="E2829" s="950">
        <v>986</v>
      </c>
      <c r="F2829" s="950">
        <v>8</v>
      </c>
      <c r="G2829" s="951">
        <v>705</v>
      </c>
      <c r="H2829" s="951">
        <v>687.8</v>
      </c>
      <c r="I2829" s="18"/>
    </row>
    <row r="2830" spans="1:9">
      <c r="A2830" s="943">
        <v>1</v>
      </c>
      <c r="B2830" s="944">
        <v>182.1</v>
      </c>
      <c r="C2830" s="944" t="s">
        <v>143</v>
      </c>
      <c r="D2830" s="943" t="s">
        <v>22</v>
      </c>
      <c r="E2830" s="945">
        <v>10</v>
      </c>
      <c r="F2830" s="945">
        <v>3</v>
      </c>
      <c r="G2830" s="946">
        <v>3100</v>
      </c>
      <c r="H2830" s="946">
        <v>3070</v>
      </c>
    </row>
    <row r="2831" spans="1:9" s="26" customFormat="1">
      <c r="A2831" s="947">
        <v>1</v>
      </c>
      <c r="B2831" s="948">
        <v>182.2</v>
      </c>
      <c r="C2831" s="948" t="s">
        <v>144</v>
      </c>
      <c r="D2831" s="947" t="s">
        <v>17</v>
      </c>
      <c r="E2831" s="949">
        <v>1665</v>
      </c>
      <c r="F2831" s="950">
        <v>3</v>
      </c>
      <c r="G2831" s="951">
        <v>140</v>
      </c>
      <c r="H2831" s="951">
        <v>130.41</v>
      </c>
      <c r="I2831" s="18"/>
    </row>
    <row r="2832" spans="1:9">
      <c r="A2832" s="943">
        <v>1</v>
      </c>
      <c r="B2832" s="944">
        <v>183.1</v>
      </c>
      <c r="C2832" s="944" t="s">
        <v>146</v>
      </c>
      <c r="D2832" s="943" t="s">
        <v>20</v>
      </c>
      <c r="E2832" s="952">
        <v>36600</v>
      </c>
      <c r="F2832" s="945">
        <v>4</v>
      </c>
      <c r="G2832" s="946">
        <v>10</v>
      </c>
      <c r="H2832" s="946">
        <v>13.46</v>
      </c>
    </row>
    <row r="2833" spans="1:9" s="26" customFormat="1">
      <c r="A2833" s="947">
        <v>1</v>
      </c>
      <c r="B2833" s="948">
        <v>183.2</v>
      </c>
      <c r="C2833" s="948" t="s">
        <v>147</v>
      </c>
      <c r="D2833" s="947" t="s">
        <v>100</v>
      </c>
      <c r="E2833" s="949">
        <v>23160</v>
      </c>
      <c r="F2833" s="950">
        <v>4</v>
      </c>
      <c r="G2833" s="951">
        <v>10</v>
      </c>
      <c r="H2833" s="951">
        <v>11.95</v>
      </c>
      <c r="I2833" s="18"/>
    </row>
    <row r="2834" spans="1:9">
      <c r="A2834" s="943">
        <v>1</v>
      </c>
      <c r="B2834" s="944">
        <v>184.1</v>
      </c>
      <c r="C2834" s="944" t="s">
        <v>148</v>
      </c>
      <c r="D2834" s="943" t="s">
        <v>7</v>
      </c>
      <c r="E2834" s="952">
        <v>1177</v>
      </c>
      <c r="F2834" s="945">
        <v>8</v>
      </c>
      <c r="G2834" s="946">
        <v>303.7</v>
      </c>
      <c r="H2834" s="946">
        <v>319.94</v>
      </c>
    </row>
    <row r="2835" spans="1:9" s="26" customFormat="1">
      <c r="A2835" s="947">
        <v>1</v>
      </c>
      <c r="B2835" s="948">
        <v>201</v>
      </c>
      <c r="C2835" s="948" t="s">
        <v>155</v>
      </c>
      <c r="D2835" s="947" t="s">
        <v>2</v>
      </c>
      <c r="E2835" s="950">
        <v>847.8</v>
      </c>
      <c r="F2835" s="950">
        <v>11</v>
      </c>
      <c r="G2835" s="951">
        <v>5500</v>
      </c>
      <c r="H2835" s="951">
        <v>5367.5</v>
      </c>
      <c r="I2835" s="18"/>
    </row>
    <row r="2836" spans="1:9">
      <c r="A2836" s="943">
        <v>1</v>
      </c>
      <c r="B2836" s="944">
        <v>202</v>
      </c>
      <c r="C2836" s="944" t="s">
        <v>157</v>
      </c>
      <c r="D2836" s="943" t="s">
        <v>2</v>
      </c>
      <c r="E2836" s="945">
        <v>461.2</v>
      </c>
      <c r="F2836" s="945">
        <v>10</v>
      </c>
      <c r="G2836" s="946">
        <v>6000</v>
      </c>
      <c r="H2836" s="946">
        <v>6023.47</v>
      </c>
    </row>
    <row r="2837" spans="1:9" s="26" customFormat="1">
      <c r="A2837" s="947">
        <v>1</v>
      </c>
      <c r="B2837" s="948">
        <v>202.2</v>
      </c>
      <c r="C2837" s="948" t="s">
        <v>158</v>
      </c>
      <c r="D2837" s="947" t="s">
        <v>2</v>
      </c>
      <c r="E2837" s="950">
        <v>25</v>
      </c>
      <c r="F2837" s="950">
        <v>2</v>
      </c>
      <c r="G2837" s="951">
        <v>8000</v>
      </c>
      <c r="H2837" s="951">
        <v>8176.6</v>
      </c>
      <c r="I2837" s="18"/>
    </row>
    <row r="2838" spans="1:9">
      <c r="A2838" s="943">
        <v>1</v>
      </c>
      <c r="B2838" s="944">
        <v>203</v>
      </c>
      <c r="C2838" s="944" t="s">
        <v>159</v>
      </c>
      <c r="D2838" s="943" t="s">
        <v>2</v>
      </c>
      <c r="E2838" s="945">
        <v>8</v>
      </c>
      <c r="F2838" s="945">
        <v>1</v>
      </c>
      <c r="G2838" s="946">
        <v>10500</v>
      </c>
      <c r="H2838" s="946">
        <v>10500</v>
      </c>
    </row>
    <row r="2839" spans="1:9" s="26" customFormat="1">
      <c r="A2839" s="947">
        <v>1</v>
      </c>
      <c r="B2839" s="948">
        <v>204</v>
      </c>
      <c r="C2839" s="948" t="s">
        <v>160</v>
      </c>
      <c r="D2839" s="947" t="s">
        <v>2</v>
      </c>
      <c r="E2839" s="950">
        <v>48</v>
      </c>
      <c r="F2839" s="950">
        <v>4</v>
      </c>
      <c r="G2839" s="951">
        <v>3000</v>
      </c>
      <c r="H2839" s="951">
        <v>2775.85</v>
      </c>
      <c r="I2839" s="18"/>
    </row>
    <row r="2840" spans="1:9">
      <c r="A2840" s="943">
        <v>1</v>
      </c>
      <c r="B2840" s="944">
        <v>204.11</v>
      </c>
      <c r="C2840" s="944" t="s">
        <v>1294</v>
      </c>
      <c r="D2840" s="943" t="s">
        <v>2</v>
      </c>
      <c r="E2840" s="945">
        <v>36</v>
      </c>
      <c r="F2840" s="945">
        <v>1</v>
      </c>
      <c r="G2840" s="946">
        <v>4500</v>
      </c>
      <c r="H2840" s="946">
        <v>3883.33</v>
      </c>
    </row>
    <row r="2841" spans="1:9" s="26" customFormat="1">
      <c r="A2841" s="947">
        <v>1</v>
      </c>
      <c r="B2841" s="948">
        <v>206.1</v>
      </c>
      <c r="C2841" s="948" t="s">
        <v>163</v>
      </c>
      <c r="D2841" s="947" t="s">
        <v>2</v>
      </c>
      <c r="E2841" s="950">
        <v>22</v>
      </c>
      <c r="F2841" s="950">
        <v>2</v>
      </c>
      <c r="G2841" s="951">
        <v>6800</v>
      </c>
      <c r="H2841" s="951">
        <v>6600</v>
      </c>
      <c r="I2841" s="18"/>
    </row>
    <row r="2842" spans="1:9">
      <c r="A2842" s="943">
        <v>1</v>
      </c>
      <c r="B2842" s="944">
        <v>207</v>
      </c>
      <c r="C2842" s="944" t="s">
        <v>164</v>
      </c>
      <c r="D2842" s="943" t="s">
        <v>2</v>
      </c>
      <c r="E2842" s="945">
        <v>8</v>
      </c>
      <c r="F2842" s="945">
        <v>1</v>
      </c>
      <c r="G2842" s="946">
        <v>6125</v>
      </c>
      <c r="H2842" s="946">
        <v>6312.5</v>
      </c>
    </row>
    <row r="2843" spans="1:9" s="26" customFormat="1">
      <c r="A2843" s="947">
        <v>1</v>
      </c>
      <c r="B2843" s="948">
        <v>207.1</v>
      </c>
      <c r="C2843" s="948" t="s">
        <v>165</v>
      </c>
      <c r="D2843" s="947" t="s">
        <v>2</v>
      </c>
      <c r="E2843" s="950">
        <v>24</v>
      </c>
      <c r="F2843" s="950">
        <v>3</v>
      </c>
      <c r="G2843" s="951">
        <v>5850</v>
      </c>
      <c r="H2843" s="951">
        <v>5866.98</v>
      </c>
      <c r="I2843" s="18"/>
    </row>
    <row r="2844" spans="1:9">
      <c r="A2844" s="943">
        <v>1</v>
      </c>
      <c r="B2844" s="944">
        <v>209.1</v>
      </c>
      <c r="C2844" s="944" t="s">
        <v>166</v>
      </c>
      <c r="D2844" s="943" t="s">
        <v>2</v>
      </c>
      <c r="E2844" s="945">
        <v>14</v>
      </c>
      <c r="F2844" s="945">
        <v>2</v>
      </c>
      <c r="G2844" s="946">
        <v>5000</v>
      </c>
      <c r="H2844" s="946">
        <v>5031.25</v>
      </c>
    </row>
    <row r="2845" spans="1:9" s="26" customFormat="1">
      <c r="A2845" s="947">
        <v>1</v>
      </c>
      <c r="B2845" s="948">
        <v>209.3</v>
      </c>
      <c r="C2845" s="948" t="s">
        <v>168</v>
      </c>
      <c r="D2845" s="947" t="s">
        <v>2</v>
      </c>
      <c r="E2845" s="950">
        <v>6</v>
      </c>
      <c r="F2845" s="950">
        <v>1</v>
      </c>
      <c r="G2845" s="951">
        <v>2850</v>
      </c>
      <c r="H2845" s="951">
        <v>2616.67</v>
      </c>
      <c r="I2845" s="18"/>
    </row>
    <row r="2846" spans="1:9">
      <c r="A2846" s="943">
        <v>1</v>
      </c>
      <c r="B2846" s="944">
        <v>210</v>
      </c>
      <c r="C2846" s="944" t="s">
        <v>169</v>
      </c>
      <c r="D2846" s="943" t="s">
        <v>2</v>
      </c>
      <c r="E2846" s="945">
        <v>10</v>
      </c>
      <c r="F2846" s="945">
        <v>1</v>
      </c>
      <c r="G2846" s="946">
        <v>6250</v>
      </c>
      <c r="H2846" s="946">
        <v>6170</v>
      </c>
    </row>
    <row r="2847" spans="1:9" s="26" customFormat="1">
      <c r="A2847" s="947">
        <v>1</v>
      </c>
      <c r="B2847" s="948">
        <v>210.02</v>
      </c>
      <c r="C2847" s="948" t="s">
        <v>170</v>
      </c>
      <c r="D2847" s="947" t="s">
        <v>2</v>
      </c>
      <c r="E2847" s="950">
        <v>3</v>
      </c>
      <c r="F2847" s="950">
        <v>1</v>
      </c>
      <c r="G2847" s="951">
        <v>2300</v>
      </c>
      <c r="H2847" s="951">
        <v>2566.67</v>
      </c>
      <c r="I2847" s="18"/>
    </row>
    <row r="2848" spans="1:9">
      <c r="A2848" s="943">
        <v>1</v>
      </c>
      <c r="B2848" s="944">
        <v>220</v>
      </c>
      <c r="C2848" s="944" t="s">
        <v>172</v>
      </c>
      <c r="D2848" s="943" t="s">
        <v>2</v>
      </c>
      <c r="E2848" s="952">
        <v>2198</v>
      </c>
      <c r="F2848" s="945">
        <v>10</v>
      </c>
      <c r="G2848" s="946">
        <v>600</v>
      </c>
      <c r="H2848" s="946">
        <v>560.39</v>
      </c>
    </row>
    <row r="2849" spans="1:9" s="26" customFormat="1">
      <c r="A2849" s="947">
        <v>1</v>
      </c>
      <c r="B2849" s="948">
        <v>220.2</v>
      </c>
      <c r="C2849" s="948" t="s">
        <v>173</v>
      </c>
      <c r="D2849" s="947" t="s">
        <v>17</v>
      </c>
      <c r="E2849" s="950">
        <v>927</v>
      </c>
      <c r="F2849" s="950">
        <v>6</v>
      </c>
      <c r="G2849" s="951">
        <v>735</v>
      </c>
      <c r="H2849" s="951">
        <v>676.1</v>
      </c>
      <c r="I2849" s="18"/>
    </row>
    <row r="2850" spans="1:9">
      <c r="A2850" s="943">
        <v>1</v>
      </c>
      <c r="B2850" s="944">
        <v>220.3</v>
      </c>
      <c r="C2850" s="944" t="s">
        <v>174</v>
      </c>
      <c r="D2850" s="943" t="s">
        <v>2</v>
      </c>
      <c r="E2850" s="945">
        <v>106</v>
      </c>
      <c r="F2850" s="945">
        <v>6</v>
      </c>
      <c r="G2850" s="946">
        <v>1300</v>
      </c>
      <c r="H2850" s="946">
        <v>1293.8399999999999</v>
      </c>
    </row>
    <row r="2851" spans="1:9" s="26" customFormat="1">
      <c r="A2851" s="947">
        <v>1</v>
      </c>
      <c r="B2851" s="948">
        <v>220.5</v>
      </c>
      <c r="C2851" s="948" t="s">
        <v>175</v>
      </c>
      <c r="D2851" s="947" t="s">
        <v>2</v>
      </c>
      <c r="E2851" s="950">
        <v>119</v>
      </c>
      <c r="F2851" s="950">
        <v>4</v>
      </c>
      <c r="G2851" s="951">
        <v>1099.2</v>
      </c>
      <c r="H2851" s="951">
        <v>1028.57</v>
      </c>
      <c r="I2851" s="18"/>
    </row>
    <row r="2852" spans="1:9">
      <c r="A2852" s="943">
        <v>1</v>
      </c>
      <c r="B2852" s="944">
        <v>220.6</v>
      </c>
      <c r="C2852" s="944" t="s">
        <v>176</v>
      </c>
      <c r="D2852" s="943" t="s">
        <v>17</v>
      </c>
      <c r="E2852" s="945">
        <v>27</v>
      </c>
      <c r="F2852" s="945">
        <v>2</v>
      </c>
      <c r="G2852" s="946">
        <v>742.5</v>
      </c>
      <c r="H2852" s="946">
        <v>745.45</v>
      </c>
    </row>
    <row r="2853" spans="1:9" s="26" customFormat="1">
      <c r="A2853" s="947">
        <v>1</v>
      </c>
      <c r="B2853" s="948">
        <v>220.7</v>
      </c>
      <c r="C2853" s="948" t="s">
        <v>177</v>
      </c>
      <c r="D2853" s="947" t="s">
        <v>2</v>
      </c>
      <c r="E2853" s="950">
        <v>154</v>
      </c>
      <c r="F2853" s="950">
        <v>5</v>
      </c>
      <c r="G2853" s="951">
        <v>550</v>
      </c>
      <c r="H2853" s="951">
        <v>532.79</v>
      </c>
      <c r="I2853" s="18"/>
    </row>
    <row r="2854" spans="1:9">
      <c r="A2854" s="943">
        <v>1</v>
      </c>
      <c r="B2854" s="944">
        <v>220.8</v>
      </c>
      <c r="C2854" s="944" t="s">
        <v>178</v>
      </c>
      <c r="D2854" s="943" t="s">
        <v>2</v>
      </c>
      <c r="E2854" s="945">
        <v>44</v>
      </c>
      <c r="F2854" s="945">
        <v>2</v>
      </c>
      <c r="G2854" s="946">
        <v>1025</v>
      </c>
      <c r="H2854" s="946">
        <v>972.2</v>
      </c>
    </row>
    <row r="2855" spans="1:9" s="26" customFormat="1">
      <c r="A2855" s="947">
        <v>1</v>
      </c>
      <c r="B2855" s="948">
        <v>221</v>
      </c>
      <c r="C2855" s="948" t="s">
        <v>180</v>
      </c>
      <c r="D2855" s="947" t="s">
        <v>2</v>
      </c>
      <c r="E2855" s="950">
        <v>667</v>
      </c>
      <c r="F2855" s="950">
        <v>11</v>
      </c>
      <c r="G2855" s="951">
        <v>1200</v>
      </c>
      <c r="H2855" s="951">
        <v>1233.54</v>
      </c>
      <c r="I2855" s="18"/>
    </row>
    <row r="2856" spans="1:9">
      <c r="A2856" s="943">
        <v>1</v>
      </c>
      <c r="B2856" s="944">
        <v>221.1</v>
      </c>
      <c r="C2856" s="944" t="s">
        <v>1300</v>
      </c>
      <c r="D2856" s="943" t="s">
        <v>2</v>
      </c>
      <c r="E2856" s="945">
        <v>65</v>
      </c>
      <c r="F2856" s="945">
        <v>5</v>
      </c>
      <c r="G2856" s="946">
        <v>1200</v>
      </c>
      <c r="H2856" s="946">
        <v>1191.9000000000001</v>
      </c>
    </row>
    <row r="2857" spans="1:9" s="26" customFormat="1">
      <c r="A2857" s="947">
        <v>1</v>
      </c>
      <c r="B2857" s="948">
        <v>222</v>
      </c>
      <c r="C2857" s="948" t="s">
        <v>181</v>
      </c>
      <c r="D2857" s="947" t="s">
        <v>2</v>
      </c>
      <c r="E2857" s="950">
        <v>112</v>
      </c>
      <c r="F2857" s="950">
        <v>4</v>
      </c>
      <c r="G2857" s="951">
        <v>1500</v>
      </c>
      <c r="H2857" s="951">
        <v>1485</v>
      </c>
      <c r="I2857" s="18"/>
    </row>
    <row r="2858" spans="1:9">
      <c r="A2858" s="943">
        <v>1</v>
      </c>
      <c r="B2858" s="944">
        <v>222.1</v>
      </c>
      <c r="C2858" s="944" t="s">
        <v>182</v>
      </c>
      <c r="D2858" s="943" t="s">
        <v>2</v>
      </c>
      <c r="E2858" s="945">
        <v>925</v>
      </c>
      <c r="F2858" s="945">
        <v>11</v>
      </c>
      <c r="G2858" s="946">
        <v>1300</v>
      </c>
      <c r="H2858" s="946">
        <v>1323.85</v>
      </c>
    </row>
    <row r="2859" spans="1:9" s="26" customFormat="1">
      <c r="A2859" s="947">
        <v>1</v>
      </c>
      <c r="B2859" s="948">
        <v>222.2</v>
      </c>
      <c r="C2859" s="948" t="s">
        <v>183</v>
      </c>
      <c r="D2859" s="947" t="s">
        <v>2</v>
      </c>
      <c r="E2859" s="950">
        <v>27</v>
      </c>
      <c r="F2859" s="950">
        <v>4</v>
      </c>
      <c r="G2859" s="951">
        <v>1250</v>
      </c>
      <c r="H2859" s="951">
        <v>1316.19</v>
      </c>
      <c r="I2859" s="18"/>
    </row>
    <row r="2860" spans="1:9">
      <c r="A2860" s="943">
        <v>1</v>
      </c>
      <c r="B2860" s="944">
        <v>222.4</v>
      </c>
      <c r="C2860" s="944" t="s">
        <v>4031</v>
      </c>
      <c r="D2860" s="943" t="s">
        <v>2</v>
      </c>
      <c r="E2860" s="945">
        <v>330</v>
      </c>
      <c r="F2860" s="945">
        <v>1</v>
      </c>
      <c r="G2860" s="946">
        <v>2500</v>
      </c>
      <c r="H2860" s="946">
        <v>2400</v>
      </c>
    </row>
    <row r="2861" spans="1:9" s="26" customFormat="1">
      <c r="A2861" s="947">
        <v>1</v>
      </c>
      <c r="B2861" s="948">
        <v>223.1</v>
      </c>
      <c r="C2861" s="948" t="s">
        <v>184</v>
      </c>
      <c r="D2861" s="947" t="s">
        <v>2</v>
      </c>
      <c r="E2861" s="950">
        <v>97</v>
      </c>
      <c r="F2861" s="950">
        <v>3</v>
      </c>
      <c r="G2861" s="951">
        <v>200</v>
      </c>
      <c r="H2861" s="951">
        <v>191.62</v>
      </c>
      <c r="I2861" s="18"/>
    </row>
    <row r="2862" spans="1:9">
      <c r="A2862" s="943">
        <v>1</v>
      </c>
      <c r="B2862" s="944">
        <v>223.2</v>
      </c>
      <c r="C2862" s="944" t="s">
        <v>185</v>
      </c>
      <c r="D2862" s="943" t="s">
        <v>2</v>
      </c>
      <c r="E2862" s="945">
        <v>399</v>
      </c>
      <c r="F2862" s="945">
        <v>7</v>
      </c>
      <c r="G2862" s="946">
        <v>150</v>
      </c>
      <c r="H2862" s="946">
        <v>145</v>
      </c>
    </row>
    <row r="2863" spans="1:9" s="26" customFormat="1">
      <c r="A2863" s="947">
        <v>1</v>
      </c>
      <c r="B2863" s="948">
        <v>224.12</v>
      </c>
      <c r="C2863" s="948" t="s">
        <v>187</v>
      </c>
      <c r="D2863" s="947" t="s">
        <v>2</v>
      </c>
      <c r="E2863" s="950">
        <v>12</v>
      </c>
      <c r="F2863" s="950">
        <v>1</v>
      </c>
      <c r="G2863" s="951">
        <v>890</v>
      </c>
      <c r="H2863" s="951">
        <v>766</v>
      </c>
      <c r="I2863" s="18"/>
    </row>
    <row r="2864" spans="1:9">
      <c r="A2864" s="943">
        <v>1</v>
      </c>
      <c r="B2864" s="944">
        <v>227.3</v>
      </c>
      <c r="C2864" s="944" t="s">
        <v>189</v>
      </c>
      <c r="D2864" s="943" t="s">
        <v>4</v>
      </c>
      <c r="E2864" s="952">
        <v>1759</v>
      </c>
      <c r="F2864" s="945">
        <v>10</v>
      </c>
      <c r="G2864" s="946">
        <v>400</v>
      </c>
      <c r="H2864" s="946">
        <v>407.17</v>
      </c>
    </row>
    <row r="2865" spans="1:9" s="26" customFormat="1">
      <c r="A2865" s="947">
        <v>1</v>
      </c>
      <c r="B2865" s="948">
        <v>227.31</v>
      </c>
      <c r="C2865" s="948" t="s">
        <v>190</v>
      </c>
      <c r="D2865" s="947" t="s">
        <v>17</v>
      </c>
      <c r="E2865" s="949">
        <v>9594</v>
      </c>
      <c r="F2865" s="950">
        <v>9</v>
      </c>
      <c r="G2865" s="951">
        <v>20</v>
      </c>
      <c r="H2865" s="951">
        <v>16.93</v>
      </c>
      <c r="I2865" s="18"/>
    </row>
    <row r="2866" spans="1:9">
      <c r="A2866" s="943">
        <v>1</v>
      </c>
      <c r="B2866" s="944">
        <v>227.4</v>
      </c>
      <c r="C2866" s="944" t="s">
        <v>191</v>
      </c>
      <c r="D2866" s="943" t="s">
        <v>3</v>
      </c>
      <c r="E2866" s="945">
        <v>988</v>
      </c>
      <c r="F2866" s="945">
        <v>3</v>
      </c>
      <c r="G2866" s="946">
        <v>100</v>
      </c>
      <c r="H2866" s="946">
        <v>91.83</v>
      </c>
    </row>
    <row r="2867" spans="1:9" s="26" customFormat="1">
      <c r="A2867" s="947">
        <v>1</v>
      </c>
      <c r="B2867" s="948">
        <v>230.21199999999999</v>
      </c>
      <c r="C2867" s="948" t="s">
        <v>2092</v>
      </c>
      <c r="D2867" s="947" t="s">
        <v>17</v>
      </c>
      <c r="E2867" s="950">
        <v>70</v>
      </c>
      <c r="F2867" s="950">
        <v>1</v>
      </c>
      <c r="G2867" s="951">
        <v>215</v>
      </c>
      <c r="H2867" s="951">
        <v>220.71</v>
      </c>
      <c r="I2867" s="18"/>
    </row>
    <row r="2868" spans="1:9">
      <c r="A2868" s="943">
        <v>1</v>
      </c>
      <c r="B2868" s="944">
        <v>230.21799999999999</v>
      </c>
      <c r="C2868" s="944" t="s">
        <v>2094</v>
      </c>
      <c r="D2868" s="943" t="s">
        <v>17</v>
      </c>
      <c r="E2868" s="945">
        <v>40</v>
      </c>
      <c r="F2868" s="945">
        <v>1</v>
      </c>
      <c r="G2868" s="946">
        <v>300</v>
      </c>
      <c r="H2868" s="946">
        <v>286.2</v>
      </c>
    </row>
    <row r="2869" spans="1:9" s="26" customFormat="1">
      <c r="A2869" s="947">
        <v>1</v>
      </c>
      <c r="B2869" s="948">
        <v>234.12</v>
      </c>
      <c r="C2869" s="948" t="s">
        <v>195</v>
      </c>
      <c r="D2869" s="947" t="s">
        <v>17</v>
      </c>
      <c r="E2869" s="949">
        <v>26500</v>
      </c>
      <c r="F2869" s="950">
        <v>7</v>
      </c>
      <c r="G2869" s="951">
        <v>125</v>
      </c>
      <c r="H2869" s="951">
        <v>121.21</v>
      </c>
      <c r="I2869" s="18"/>
    </row>
    <row r="2870" spans="1:9">
      <c r="A2870" s="943">
        <v>1</v>
      </c>
      <c r="B2870" s="944">
        <v>234.15</v>
      </c>
      <c r="C2870" s="944" t="s">
        <v>196</v>
      </c>
      <c r="D2870" s="943" t="s">
        <v>17</v>
      </c>
      <c r="E2870" s="952">
        <v>1780</v>
      </c>
      <c r="F2870" s="945">
        <v>2</v>
      </c>
      <c r="G2870" s="946">
        <v>140</v>
      </c>
      <c r="H2870" s="946">
        <v>144</v>
      </c>
    </row>
    <row r="2871" spans="1:9" s="26" customFormat="1">
      <c r="A2871" s="947">
        <v>1</v>
      </c>
      <c r="B2871" s="948">
        <v>234.18</v>
      </c>
      <c r="C2871" s="948" t="s">
        <v>197</v>
      </c>
      <c r="D2871" s="947" t="s">
        <v>17</v>
      </c>
      <c r="E2871" s="950">
        <v>370</v>
      </c>
      <c r="F2871" s="950">
        <v>3</v>
      </c>
      <c r="G2871" s="951">
        <v>160</v>
      </c>
      <c r="H2871" s="951">
        <v>154.38</v>
      </c>
      <c r="I2871" s="18"/>
    </row>
    <row r="2872" spans="1:9">
      <c r="A2872" s="943">
        <v>1</v>
      </c>
      <c r="B2872" s="944">
        <v>234.24</v>
      </c>
      <c r="C2872" s="944" t="s">
        <v>198</v>
      </c>
      <c r="D2872" s="943" t="s">
        <v>17</v>
      </c>
      <c r="E2872" s="952">
        <v>1040</v>
      </c>
      <c r="F2872" s="945">
        <v>5</v>
      </c>
      <c r="G2872" s="946">
        <v>177.5</v>
      </c>
      <c r="H2872" s="946">
        <v>179.71</v>
      </c>
    </row>
    <row r="2873" spans="1:9" s="26" customFormat="1">
      <c r="A2873" s="947">
        <v>1</v>
      </c>
      <c r="B2873" s="948">
        <v>234.36</v>
      </c>
      <c r="C2873" s="948" t="s">
        <v>200</v>
      </c>
      <c r="D2873" s="947" t="s">
        <v>17</v>
      </c>
      <c r="E2873" s="950">
        <v>280</v>
      </c>
      <c r="F2873" s="950">
        <v>2</v>
      </c>
      <c r="G2873" s="951">
        <v>240</v>
      </c>
      <c r="H2873" s="951">
        <v>235</v>
      </c>
      <c r="I2873" s="18"/>
    </row>
    <row r="2874" spans="1:9">
      <c r="A2874" s="943">
        <v>1</v>
      </c>
      <c r="B2874" s="944">
        <v>235.12</v>
      </c>
      <c r="C2874" s="944" t="s">
        <v>201</v>
      </c>
      <c r="D2874" s="943" t="s">
        <v>2</v>
      </c>
      <c r="E2874" s="945">
        <v>24</v>
      </c>
      <c r="F2874" s="945">
        <v>3</v>
      </c>
      <c r="G2874" s="946">
        <v>1300</v>
      </c>
      <c r="H2874" s="946">
        <v>1293.92</v>
      </c>
    </row>
    <row r="2875" spans="1:9" s="26" customFormat="1">
      <c r="A2875" s="947">
        <v>1</v>
      </c>
      <c r="B2875" s="948">
        <v>235.18</v>
      </c>
      <c r="C2875" s="948" t="s">
        <v>203</v>
      </c>
      <c r="D2875" s="947" t="s">
        <v>2</v>
      </c>
      <c r="E2875" s="950">
        <v>9</v>
      </c>
      <c r="F2875" s="950">
        <v>2</v>
      </c>
      <c r="G2875" s="951">
        <v>1450</v>
      </c>
      <c r="H2875" s="951">
        <v>1775</v>
      </c>
      <c r="I2875" s="18"/>
    </row>
    <row r="2876" spans="1:9">
      <c r="A2876" s="943">
        <v>1</v>
      </c>
      <c r="B2876" s="944">
        <v>235.24</v>
      </c>
      <c r="C2876" s="944" t="s">
        <v>204</v>
      </c>
      <c r="D2876" s="943" t="s">
        <v>2</v>
      </c>
      <c r="E2876" s="945">
        <v>28</v>
      </c>
      <c r="F2876" s="945">
        <v>4</v>
      </c>
      <c r="G2876" s="946">
        <v>1687.5</v>
      </c>
      <c r="H2876" s="946">
        <v>1763.24</v>
      </c>
    </row>
    <row r="2877" spans="1:9" s="26" customFormat="1">
      <c r="A2877" s="947">
        <v>1</v>
      </c>
      <c r="B2877" s="948">
        <v>235.36</v>
      </c>
      <c r="C2877" s="948" t="s">
        <v>206</v>
      </c>
      <c r="D2877" s="947" t="s">
        <v>2</v>
      </c>
      <c r="E2877" s="950">
        <v>14</v>
      </c>
      <c r="F2877" s="950">
        <v>2</v>
      </c>
      <c r="G2877" s="951">
        <v>2300</v>
      </c>
      <c r="H2877" s="951">
        <v>2424.83</v>
      </c>
      <c r="I2877" s="18"/>
    </row>
    <row r="2878" spans="1:9">
      <c r="A2878" s="943">
        <v>1</v>
      </c>
      <c r="B2878" s="944">
        <v>238.1</v>
      </c>
      <c r="C2878" s="944" t="s">
        <v>207</v>
      </c>
      <c r="D2878" s="943" t="s">
        <v>17</v>
      </c>
      <c r="E2878" s="952">
        <v>1027</v>
      </c>
      <c r="F2878" s="945">
        <v>3</v>
      </c>
      <c r="G2878" s="946">
        <v>240</v>
      </c>
      <c r="H2878" s="946">
        <v>226.32</v>
      </c>
    </row>
    <row r="2879" spans="1:9" s="26" customFormat="1">
      <c r="A2879" s="947">
        <v>1</v>
      </c>
      <c r="B2879" s="948">
        <v>238.12</v>
      </c>
      <c r="C2879" s="948" t="s">
        <v>208</v>
      </c>
      <c r="D2879" s="947" t="s">
        <v>17</v>
      </c>
      <c r="E2879" s="950">
        <v>980</v>
      </c>
      <c r="F2879" s="950">
        <v>2</v>
      </c>
      <c r="G2879" s="951">
        <v>177.5</v>
      </c>
      <c r="H2879" s="951">
        <v>178.18</v>
      </c>
      <c r="I2879" s="18"/>
    </row>
    <row r="2880" spans="1:9">
      <c r="A2880" s="943">
        <v>1</v>
      </c>
      <c r="B2880" s="944">
        <v>238.18</v>
      </c>
      <c r="C2880" s="944" t="s">
        <v>2139</v>
      </c>
      <c r="D2880" s="943" t="s">
        <v>17</v>
      </c>
      <c r="E2880" s="945">
        <v>40</v>
      </c>
      <c r="F2880" s="945">
        <v>1</v>
      </c>
      <c r="G2880" s="946">
        <v>375</v>
      </c>
      <c r="H2880" s="946">
        <v>362.5</v>
      </c>
    </row>
    <row r="2881" spans="1:9" s="26" customFormat="1">
      <c r="A2881" s="947">
        <v>1</v>
      </c>
      <c r="B2881" s="948">
        <v>241.12</v>
      </c>
      <c r="C2881" s="948" t="s">
        <v>3996</v>
      </c>
      <c r="D2881" s="947" t="s">
        <v>17</v>
      </c>
      <c r="E2881" s="949">
        <v>1564</v>
      </c>
      <c r="F2881" s="950">
        <v>4</v>
      </c>
      <c r="G2881" s="951">
        <v>135</v>
      </c>
      <c r="H2881" s="951">
        <v>134.66999999999999</v>
      </c>
      <c r="I2881" s="18"/>
    </row>
    <row r="2882" spans="1:9">
      <c r="A2882" s="943">
        <v>1</v>
      </c>
      <c r="B2882" s="944">
        <v>241.15</v>
      </c>
      <c r="C2882" s="944" t="s">
        <v>3997</v>
      </c>
      <c r="D2882" s="943" t="s">
        <v>17</v>
      </c>
      <c r="E2882" s="952">
        <v>2260</v>
      </c>
      <c r="F2882" s="945">
        <v>3</v>
      </c>
      <c r="G2882" s="946">
        <v>170</v>
      </c>
      <c r="H2882" s="946">
        <v>168.52</v>
      </c>
    </row>
    <row r="2883" spans="1:9" s="26" customFormat="1">
      <c r="A2883" s="947">
        <v>1</v>
      </c>
      <c r="B2883" s="948">
        <v>241.36</v>
      </c>
      <c r="C2883" s="948" t="s">
        <v>4000</v>
      </c>
      <c r="D2883" s="947" t="s">
        <v>17</v>
      </c>
      <c r="E2883" s="950">
        <v>350</v>
      </c>
      <c r="F2883" s="950">
        <v>1</v>
      </c>
      <c r="G2883" s="951">
        <v>500</v>
      </c>
      <c r="H2883" s="951">
        <v>484.71</v>
      </c>
      <c r="I2883" s="18"/>
    </row>
    <row r="2884" spans="1:9">
      <c r="A2884" s="943">
        <v>1</v>
      </c>
      <c r="B2884" s="944">
        <v>241.42</v>
      </c>
      <c r="C2884" s="944" t="s">
        <v>4032</v>
      </c>
      <c r="D2884" s="943" t="s">
        <v>17</v>
      </c>
      <c r="E2884" s="945">
        <v>90</v>
      </c>
      <c r="F2884" s="945">
        <v>1</v>
      </c>
      <c r="G2884" s="946">
        <v>550</v>
      </c>
      <c r="H2884" s="946">
        <v>555</v>
      </c>
    </row>
    <row r="2885" spans="1:9" s="26" customFormat="1">
      <c r="A2885" s="947">
        <v>1</v>
      </c>
      <c r="B2885" s="948">
        <v>242.15</v>
      </c>
      <c r="C2885" s="948" t="s">
        <v>220</v>
      </c>
      <c r="D2885" s="947" t="s">
        <v>2</v>
      </c>
      <c r="E2885" s="950">
        <v>6</v>
      </c>
      <c r="F2885" s="950">
        <v>1</v>
      </c>
      <c r="G2885" s="951">
        <v>2500</v>
      </c>
      <c r="H2885" s="951">
        <v>2458.33</v>
      </c>
      <c r="I2885" s="18"/>
    </row>
    <row r="2886" spans="1:9">
      <c r="A2886" s="943">
        <v>1</v>
      </c>
      <c r="B2886" s="944">
        <v>244.12</v>
      </c>
      <c r="C2886" s="944" t="s">
        <v>229</v>
      </c>
      <c r="D2886" s="943" t="s">
        <v>17</v>
      </c>
      <c r="E2886" s="945">
        <v>820</v>
      </c>
      <c r="F2886" s="945">
        <v>2</v>
      </c>
      <c r="G2886" s="946">
        <v>120</v>
      </c>
      <c r="H2886" s="946">
        <v>118.63</v>
      </c>
    </row>
    <row r="2887" spans="1:9" s="26" customFormat="1">
      <c r="A2887" s="947">
        <v>1</v>
      </c>
      <c r="B2887" s="948">
        <v>250.06</v>
      </c>
      <c r="C2887" s="948" t="s">
        <v>235</v>
      </c>
      <c r="D2887" s="947" t="s">
        <v>17</v>
      </c>
      <c r="E2887" s="950">
        <v>24</v>
      </c>
      <c r="F2887" s="950">
        <v>1</v>
      </c>
      <c r="G2887" s="951">
        <v>170</v>
      </c>
      <c r="H2887" s="951">
        <v>158.75</v>
      </c>
      <c r="I2887" s="18"/>
    </row>
    <row r="2888" spans="1:9">
      <c r="A2888" s="943">
        <v>1</v>
      </c>
      <c r="B2888" s="944">
        <v>250.08</v>
      </c>
      <c r="C2888" s="944" t="s">
        <v>236</v>
      </c>
      <c r="D2888" s="943" t="s">
        <v>17</v>
      </c>
      <c r="E2888" s="945">
        <v>975</v>
      </c>
      <c r="F2888" s="945">
        <v>2</v>
      </c>
      <c r="G2888" s="946">
        <v>150</v>
      </c>
      <c r="H2888" s="946">
        <v>178.91</v>
      </c>
    </row>
    <row r="2889" spans="1:9" s="26" customFormat="1">
      <c r="A2889" s="947">
        <v>1</v>
      </c>
      <c r="B2889" s="948">
        <v>254.08</v>
      </c>
      <c r="C2889" s="948" t="s">
        <v>2203</v>
      </c>
      <c r="D2889" s="947" t="s">
        <v>17</v>
      </c>
      <c r="E2889" s="950">
        <v>300</v>
      </c>
      <c r="F2889" s="950">
        <v>1</v>
      </c>
      <c r="G2889" s="951">
        <v>150</v>
      </c>
      <c r="H2889" s="951">
        <v>143.75</v>
      </c>
      <c r="I2889" s="18"/>
    </row>
    <row r="2890" spans="1:9">
      <c r="A2890" s="943">
        <v>1</v>
      </c>
      <c r="B2890" s="944">
        <v>258</v>
      </c>
      <c r="C2890" s="944" t="s">
        <v>238</v>
      </c>
      <c r="D2890" s="943" t="s">
        <v>1</v>
      </c>
      <c r="E2890" s="945">
        <v>736</v>
      </c>
      <c r="F2890" s="945">
        <v>7</v>
      </c>
      <c r="G2890" s="946">
        <v>117.5</v>
      </c>
      <c r="H2890" s="946">
        <v>111.79</v>
      </c>
    </row>
    <row r="2891" spans="1:9" s="26" customFormat="1">
      <c r="A2891" s="947">
        <v>1</v>
      </c>
      <c r="B2891" s="948">
        <v>265.06</v>
      </c>
      <c r="C2891" s="948" t="s">
        <v>239</v>
      </c>
      <c r="D2891" s="947" t="s">
        <v>17</v>
      </c>
      <c r="E2891" s="950">
        <v>700</v>
      </c>
      <c r="F2891" s="950">
        <v>2</v>
      </c>
      <c r="G2891" s="951">
        <v>79.989999999999995</v>
      </c>
      <c r="H2891" s="951">
        <v>79.28</v>
      </c>
      <c r="I2891" s="18"/>
    </row>
    <row r="2892" spans="1:9">
      <c r="A2892" s="943">
        <v>1</v>
      </c>
      <c r="B2892" s="944">
        <v>265.08</v>
      </c>
      <c r="C2892" s="944" t="s">
        <v>2230</v>
      </c>
      <c r="D2892" s="943" t="s">
        <v>17</v>
      </c>
      <c r="E2892" s="945">
        <v>390</v>
      </c>
      <c r="F2892" s="945">
        <v>3</v>
      </c>
      <c r="G2892" s="946">
        <v>100</v>
      </c>
      <c r="H2892" s="946">
        <v>133.33000000000001</v>
      </c>
    </row>
    <row r="2893" spans="1:9" s="26" customFormat="1">
      <c r="A2893" s="947">
        <v>1</v>
      </c>
      <c r="B2893" s="948">
        <v>269.08</v>
      </c>
      <c r="C2893" s="948" t="s">
        <v>241</v>
      </c>
      <c r="D2893" s="947" t="s">
        <v>17</v>
      </c>
      <c r="E2893" s="950">
        <v>30</v>
      </c>
      <c r="F2893" s="950">
        <v>1</v>
      </c>
      <c r="G2893" s="951">
        <v>132.5</v>
      </c>
      <c r="H2893" s="951">
        <v>121.67</v>
      </c>
      <c r="I2893" s="18"/>
    </row>
    <row r="2894" spans="1:9">
      <c r="A2894" s="943">
        <v>1</v>
      </c>
      <c r="B2894" s="944">
        <v>271.12</v>
      </c>
      <c r="C2894" s="944" t="s">
        <v>243</v>
      </c>
      <c r="D2894" s="943" t="s">
        <v>17</v>
      </c>
      <c r="E2894" s="952">
        <v>2400</v>
      </c>
      <c r="F2894" s="945">
        <v>1</v>
      </c>
      <c r="G2894" s="946">
        <v>35</v>
      </c>
      <c r="H2894" s="946">
        <v>36.25</v>
      </c>
    </row>
    <row r="2895" spans="1:9" s="26" customFormat="1">
      <c r="A2895" s="947">
        <v>1</v>
      </c>
      <c r="B2895" s="948">
        <v>271.24</v>
      </c>
      <c r="C2895" s="948" t="s">
        <v>2244</v>
      </c>
      <c r="D2895" s="947" t="s">
        <v>17</v>
      </c>
      <c r="E2895" s="950">
        <v>500</v>
      </c>
      <c r="F2895" s="950">
        <v>1</v>
      </c>
      <c r="G2895" s="951">
        <v>50</v>
      </c>
      <c r="H2895" s="951">
        <v>54</v>
      </c>
      <c r="I2895" s="18"/>
    </row>
    <row r="2896" spans="1:9">
      <c r="A2896" s="943">
        <v>1</v>
      </c>
      <c r="B2896" s="944">
        <v>280</v>
      </c>
      <c r="C2896" s="944" t="s">
        <v>244</v>
      </c>
      <c r="D2896" s="943" t="s">
        <v>1</v>
      </c>
      <c r="E2896" s="945">
        <v>911</v>
      </c>
      <c r="F2896" s="945">
        <v>5</v>
      </c>
      <c r="G2896" s="946">
        <v>198</v>
      </c>
      <c r="H2896" s="946">
        <v>174.76</v>
      </c>
    </row>
    <row r="2897" spans="1:9" s="26" customFormat="1">
      <c r="A2897" s="947">
        <v>1</v>
      </c>
      <c r="B2897" s="948">
        <v>280.10000000000002</v>
      </c>
      <c r="C2897" s="948" t="s">
        <v>244</v>
      </c>
      <c r="D2897" s="947" t="s">
        <v>7</v>
      </c>
      <c r="E2897" s="950">
        <v>383</v>
      </c>
      <c r="F2897" s="950">
        <v>3</v>
      </c>
      <c r="G2897" s="951">
        <v>350</v>
      </c>
      <c r="H2897" s="951">
        <v>372.5</v>
      </c>
      <c r="I2897" s="18"/>
    </row>
    <row r="2898" spans="1:9">
      <c r="A2898" s="943">
        <v>1</v>
      </c>
      <c r="B2898" s="944">
        <v>302.06</v>
      </c>
      <c r="C2898" s="944" t="s">
        <v>247</v>
      </c>
      <c r="D2898" s="943" t="s">
        <v>17</v>
      </c>
      <c r="E2898" s="945">
        <v>520</v>
      </c>
      <c r="F2898" s="945">
        <v>1</v>
      </c>
      <c r="G2898" s="946">
        <v>150</v>
      </c>
      <c r="H2898" s="946">
        <v>150</v>
      </c>
    </row>
    <row r="2899" spans="1:9" s="26" customFormat="1">
      <c r="A2899" s="947">
        <v>1</v>
      </c>
      <c r="B2899" s="948">
        <v>303.06</v>
      </c>
      <c r="C2899" s="948" t="s">
        <v>251</v>
      </c>
      <c r="D2899" s="947" t="s">
        <v>17</v>
      </c>
      <c r="E2899" s="949">
        <v>2990</v>
      </c>
      <c r="F2899" s="950">
        <v>3</v>
      </c>
      <c r="G2899" s="951">
        <v>177.5</v>
      </c>
      <c r="H2899" s="951">
        <v>176.64</v>
      </c>
      <c r="I2899" s="18"/>
    </row>
    <row r="2900" spans="1:9">
      <c r="A2900" s="943">
        <v>1</v>
      </c>
      <c r="B2900" s="944">
        <v>303.08</v>
      </c>
      <c r="C2900" s="944" t="s">
        <v>252</v>
      </c>
      <c r="D2900" s="943" t="s">
        <v>17</v>
      </c>
      <c r="E2900" s="952">
        <v>1190</v>
      </c>
      <c r="F2900" s="945">
        <v>2</v>
      </c>
      <c r="G2900" s="946">
        <v>200</v>
      </c>
      <c r="H2900" s="946">
        <v>196.87</v>
      </c>
    </row>
    <row r="2901" spans="1:9" s="26" customFormat="1">
      <c r="A2901" s="947">
        <v>1</v>
      </c>
      <c r="B2901" s="948">
        <v>303.10000000000002</v>
      </c>
      <c r="C2901" s="948" t="s">
        <v>253</v>
      </c>
      <c r="D2901" s="947" t="s">
        <v>17</v>
      </c>
      <c r="E2901" s="950">
        <v>720</v>
      </c>
      <c r="F2901" s="950">
        <v>1</v>
      </c>
      <c r="G2901" s="951">
        <v>230</v>
      </c>
      <c r="H2901" s="951">
        <v>231.88</v>
      </c>
      <c r="I2901" s="18"/>
    </row>
    <row r="2902" spans="1:9">
      <c r="A2902" s="943">
        <v>1</v>
      </c>
      <c r="B2902" s="944">
        <v>303.12</v>
      </c>
      <c r="C2902" s="944" t="s">
        <v>254</v>
      </c>
      <c r="D2902" s="943" t="s">
        <v>17</v>
      </c>
      <c r="E2902" s="945">
        <v>300</v>
      </c>
      <c r="F2902" s="945">
        <v>1</v>
      </c>
      <c r="G2902" s="946">
        <v>300</v>
      </c>
      <c r="H2902" s="946">
        <v>280</v>
      </c>
    </row>
    <row r="2903" spans="1:9" s="26" customFormat="1">
      <c r="A2903" s="947">
        <v>1</v>
      </c>
      <c r="B2903" s="948">
        <v>309</v>
      </c>
      <c r="C2903" s="948" t="s">
        <v>256</v>
      </c>
      <c r="D2903" s="947" t="s">
        <v>100</v>
      </c>
      <c r="E2903" s="949">
        <v>5480</v>
      </c>
      <c r="F2903" s="950">
        <v>5</v>
      </c>
      <c r="G2903" s="951">
        <v>13</v>
      </c>
      <c r="H2903" s="951">
        <v>12.45</v>
      </c>
      <c r="I2903" s="18"/>
    </row>
    <row r="2904" spans="1:9">
      <c r="A2904" s="943">
        <v>1</v>
      </c>
      <c r="B2904" s="944">
        <v>345.6</v>
      </c>
      <c r="C2904" s="944" t="s">
        <v>2284</v>
      </c>
      <c r="D2904" s="943" t="s">
        <v>17</v>
      </c>
      <c r="E2904" s="952">
        <v>1400</v>
      </c>
      <c r="F2904" s="945">
        <v>1</v>
      </c>
      <c r="G2904" s="946">
        <v>269.5</v>
      </c>
      <c r="H2904" s="946">
        <v>269.25</v>
      </c>
    </row>
    <row r="2905" spans="1:9" s="26" customFormat="1">
      <c r="A2905" s="947">
        <v>1</v>
      </c>
      <c r="B2905" s="948">
        <v>347.1</v>
      </c>
      <c r="C2905" s="948" t="s">
        <v>260</v>
      </c>
      <c r="D2905" s="947" t="s">
        <v>17</v>
      </c>
      <c r="E2905" s="950">
        <v>945</v>
      </c>
      <c r="F2905" s="950">
        <v>2</v>
      </c>
      <c r="G2905" s="951">
        <v>100</v>
      </c>
      <c r="H2905" s="951">
        <v>95.7</v>
      </c>
      <c r="I2905" s="18"/>
    </row>
    <row r="2906" spans="1:9">
      <c r="A2906" s="943">
        <v>1</v>
      </c>
      <c r="B2906" s="944">
        <v>349.08</v>
      </c>
      <c r="C2906" s="944" t="s">
        <v>1331</v>
      </c>
      <c r="D2906" s="943" t="s">
        <v>2</v>
      </c>
      <c r="E2906" s="945">
        <v>7</v>
      </c>
      <c r="F2906" s="945">
        <v>1</v>
      </c>
      <c r="G2906" s="946">
        <v>3300</v>
      </c>
      <c r="H2906" s="946">
        <v>3042.86</v>
      </c>
    </row>
    <row r="2907" spans="1:9" s="26" customFormat="1">
      <c r="A2907" s="947">
        <v>1</v>
      </c>
      <c r="B2907" s="948">
        <v>350.06</v>
      </c>
      <c r="C2907" s="948" t="s">
        <v>264</v>
      </c>
      <c r="D2907" s="947" t="s">
        <v>2</v>
      </c>
      <c r="E2907" s="950">
        <v>4</v>
      </c>
      <c r="F2907" s="950">
        <v>1</v>
      </c>
      <c r="G2907" s="951">
        <v>3375</v>
      </c>
      <c r="H2907" s="951">
        <v>3375</v>
      </c>
      <c r="I2907" s="18"/>
    </row>
    <row r="2908" spans="1:9">
      <c r="A2908" s="943">
        <v>1</v>
      </c>
      <c r="B2908" s="944">
        <v>357.06</v>
      </c>
      <c r="C2908" s="944" t="s">
        <v>268</v>
      </c>
      <c r="D2908" s="943" t="s">
        <v>2</v>
      </c>
      <c r="E2908" s="945">
        <v>9</v>
      </c>
      <c r="F2908" s="945">
        <v>2</v>
      </c>
      <c r="G2908" s="946">
        <v>600</v>
      </c>
      <c r="H2908" s="946">
        <v>581.32000000000005</v>
      </c>
    </row>
    <row r="2909" spans="1:9" s="26" customFormat="1">
      <c r="A2909" s="947">
        <v>1</v>
      </c>
      <c r="B2909" s="948">
        <v>357.08</v>
      </c>
      <c r="C2909" s="948" t="s">
        <v>269</v>
      </c>
      <c r="D2909" s="947" t="s">
        <v>2</v>
      </c>
      <c r="E2909" s="950">
        <v>7</v>
      </c>
      <c r="F2909" s="950">
        <v>1</v>
      </c>
      <c r="G2909" s="951">
        <v>600</v>
      </c>
      <c r="H2909" s="951">
        <v>604.55999999999995</v>
      </c>
      <c r="I2909" s="18"/>
    </row>
    <row r="2910" spans="1:9">
      <c r="A2910" s="943">
        <v>1</v>
      </c>
      <c r="B2910" s="944">
        <v>357.1</v>
      </c>
      <c r="C2910" s="944" t="s">
        <v>270</v>
      </c>
      <c r="D2910" s="943" t="s">
        <v>2</v>
      </c>
      <c r="E2910" s="945">
        <v>7</v>
      </c>
      <c r="F2910" s="945">
        <v>1</v>
      </c>
      <c r="G2910" s="946">
        <v>600</v>
      </c>
      <c r="H2910" s="946">
        <v>611.70000000000005</v>
      </c>
    </row>
    <row r="2911" spans="1:9" s="26" customFormat="1">
      <c r="A2911" s="947">
        <v>1</v>
      </c>
      <c r="B2911" s="948">
        <v>357.12</v>
      </c>
      <c r="C2911" s="948" t="s">
        <v>271</v>
      </c>
      <c r="D2911" s="947" t="s">
        <v>2</v>
      </c>
      <c r="E2911" s="950">
        <v>175</v>
      </c>
      <c r="F2911" s="950">
        <v>1</v>
      </c>
      <c r="G2911" s="951">
        <v>750</v>
      </c>
      <c r="H2911" s="951">
        <v>680</v>
      </c>
      <c r="I2911" s="18"/>
    </row>
    <row r="2912" spans="1:9">
      <c r="A2912" s="943">
        <v>1</v>
      </c>
      <c r="B2912" s="944">
        <v>358</v>
      </c>
      <c r="C2912" s="944" t="s">
        <v>274</v>
      </c>
      <c r="D2912" s="943" t="s">
        <v>2</v>
      </c>
      <c r="E2912" s="945">
        <v>840</v>
      </c>
      <c r="F2912" s="945">
        <v>6</v>
      </c>
      <c r="G2912" s="946">
        <v>350</v>
      </c>
      <c r="H2912" s="946">
        <v>326.2</v>
      </c>
    </row>
    <row r="2913" spans="1:9" s="26" customFormat="1">
      <c r="A2913" s="947">
        <v>1</v>
      </c>
      <c r="B2913" s="948">
        <v>358.1</v>
      </c>
      <c r="C2913" s="948" t="s">
        <v>275</v>
      </c>
      <c r="D2913" s="947" t="s">
        <v>2</v>
      </c>
      <c r="E2913" s="950">
        <v>10</v>
      </c>
      <c r="F2913" s="950">
        <v>3</v>
      </c>
      <c r="G2913" s="951">
        <v>160</v>
      </c>
      <c r="H2913" s="951">
        <v>160.02000000000001</v>
      </c>
      <c r="I2913" s="18"/>
    </row>
    <row r="2914" spans="1:9">
      <c r="A2914" s="943">
        <v>1</v>
      </c>
      <c r="B2914" s="944">
        <v>363.1</v>
      </c>
      <c r="C2914" s="944" t="s">
        <v>276</v>
      </c>
      <c r="D2914" s="943" t="s">
        <v>2</v>
      </c>
      <c r="E2914" s="945">
        <v>20</v>
      </c>
      <c r="F2914" s="945">
        <v>2</v>
      </c>
      <c r="G2914" s="946">
        <v>500</v>
      </c>
      <c r="H2914" s="946">
        <v>433.33</v>
      </c>
    </row>
    <row r="2915" spans="1:9" s="26" customFormat="1">
      <c r="A2915" s="947">
        <v>1</v>
      </c>
      <c r="B2915" s="948">
        <v>370.4</v>
      </c>
      <c r="C2915" s="948" t="s">
        <v>283</v>
      </c>
      <c r="D2915" s="947" t="s">
        <v>2</v>
      </c>
      <c r="E2915" s="950">
        <v>7</v>
      </c>
      <c r="F2915" s="950">
        <v>1</v>
      </c>
      <c r="G2915" s="951">
        <v>15000</v>
      </c>
      <c r="H2915" s="951">
        <v>13050</v>
      </c>
      <c r="I2915" s="18"/>
    </row>
    <row r="2916" spans="1:9">
      <c r="A2916" s="943">
        <v>1</v>
      </c>
      <c r="B2916" s="944">
        <v>373.06</v>
      </c>
      <c r="C2916" s="944" t="s">
        <v>1349</v>
      </c>
      <c r="D2916" s="943" t="s">
        <v>17</v>
      </c>
      <c r="E2916" s="945">
        <v>975</v>
      </c>
      <c r="F2916" s="945">
        <v>1</v>
      </c>
      <c r="G2916" s="946">
        <v>107.5</v>
      </c>
      <c r="H2916" s="946">
        <v>116.67</v>
      </c>
    </row>
    <row r="2917" spans="1:9" s="26" customFormat="1">
      <c r="A2917" s="947">
        <v>1</v>
      </c>
      <c r="B2917" s="948">
        <v>376.2</v>
      </c>
      <c r="C2917" s="948" t="s">
        <v>292</v>
      </c>
      <c r="D2917" s="947" t="s">
        <v>2</v>
      </c>
      <c r="E2917" s="950">
        <v>49</v>
      </c>
      <c r="F2917" s="950">
        <v>2</v>
      </c>
      <c r="G2917" s="951">
        <v>3879.65</v>
      </c>
      <c r="H2917" s="951">
        <v>3797.09</v>
      </c>
      <c r="I2917" s="18"/>
    </row>
    <row r="2918" spans="1:9">
      <c r="A2918" s="943">
        <v>1</v>
      </c>
      <c r="B2918" s="944">
        <v>376.5</v>
      </c>
      <c r="C2918" s="944" t="s">
        <v>294</v>
      </c>
      <c r="D2918" s="943" t="s">
        <v>2</v>
      </c>
      <c r="E2918" s="945">
        <v>53</v>
      </c>
      <c r="F2918" s="945">
        <v>2</v>
      </c>
      <c r="G2918" s="946">
        <v>2500</v>
      </c>
      <c r="H2918" s="946">
        <v>2250</v>
      </c>
    </row>
    <row r="2919" spans="1:9" s="26" customFormat="1">
      <c r="A2919" s="947">
        <v>1</v>
      </c>
      <c r="B2919" s="948">
        <v>381</v>
      </c>
      <c r="C2919" s="948" t="s">
        <v>295</v>
      </c>
      <c r="D2919" s="947" t="s">
        <v>2</v>
      </c>
      <c r="E2919" s="950">
        <v>257</v>
      </c>
      <c r="F2919" s="950">
        <v>3</v>
      </c>
      <c r="G2919" s="951">
        <v>487.5</v>
      </c>
      <c r="H2919" s="951">
        <v>500.16</v>
      </c>
      <c r="I2919" s="18"/>
    </row>
    <row r="2920" spans="1:9">
      <c r="A2920" s="943">
        <v>1</v>
      </c>
      <c r="B2920" s="944">
        <v>381.2</v>
      </c>
      <c r="C2920" s="944" t="s">
        <v>297</v>
      </c>
      <c r="D2920" s="943" t="s">
        <v>2</v>
      </c>
      <c r="E2920" s="945">
        <v>1</v>
      </c>
      <c r="F2920" s="945">
        <v>1</v>
      </c>
      <c r="G2920" s="946">
        <v>125</v>
      </c>
      <c r="H2920" s="946">
        <v>125</v>
      </c>
    </row>
    <row r="2921" spans="1:9" s="26" customFormat="1">
      <c r="A2921" s="947">
        <v>1</v>
      </c>
      <c r="B2921" s="948">
        <v>381.3</v>
      </c>
      <c r="C2921" s="948" t="s">
        <v>298</v>
      </c>
      <c r="D2921" s="947" t="s">
        <v>2</v>
      </c>
      <c r="E2921" s="950">
        <v>479</v>
      </c>
      <c r="F2921" s="950">
        <v>3</v>
      </c>
      <c r="G2921" s="951">
        <v>307.5</v>
      </c>
      <c r="H2921" s="951">
        <v>297.99</v>
      </c>
      <c r="I2921" s="18"/>
    </row>
    <row r="2922" spans="1:9">
      <c r="A2922" s="943">
        <v>1</v>
      </c>
      <c r="B2922" s="944">
        <v>384</v>
      </c>
      <c r="C2922" s="944" t="s">
        <v>299</v>
      </c>
      <c r="D2922" s="943" t="s">
        <v>2</v>
      </c>
      <c r="E2922" s="945">
        <v>20</v>
      </c>
      <c r="F2922" s="945">
        <v>1</v>
      </c>
      <c r="G2922" s="946">
        <v>625</v>
      </c>
      <c r="H2922" s="946">
        <v>531.25</v>
      </c>
    </row>
    <row r="2923" spans="1:9" s="26" customFormat="1">
      <c r="A2923" s="947">
        <v>1</v>
      </c>
      <c r="B2923" s="948">
        <v>402</v>
      </c>
      <c r="C2923" s="948" t="s">
        <v>301</v>
      </c>
      <c r="D2923" s="947" t="s">
        <v>4</v>
      </c>
      <c r="E2923" s="949">
        <v>23668</v>
      </c>
      <c r="F2923" s="950">
        <v>10</v>
      </c>
      <c r="G2923" s="951">
        <v>100</v>
      </c>
      <c r="H2923" s="951">
        <v>101.76</v>
      </c>
      <c r="I2923" s="18"/>
    </row>
    <row r="2924" spans="1:9">
      <c r="A2924" s="943">
        <v>1</v>
      </c>
      <c r="B2924" s="944">
        <v>402.11</v>
      </c>
      <c r="C2924" s="944" t="s">
        <v>302</v>
      </c>
      <c r="D2924" s="943" t="s">
        <v>7</v>
      </c>
      <c r="E2924" s="945">
        <v>60</v>
      </c>
      <c r="F2924" s="945">
        <v>1</v>
      </c>
      <c r="G2924" s="946">
        <v>100</v>
      </c>
      <c r="H2924" s="946">
        <v>103.33</v>
      </c>
    </row>
    <row r="2925" spans="1:9" s="26" customFormat="1">
      <c r="A2925" s="947">
        <v>1</v>
      </c>
      <c r="B2925" s="948">
        <v>402.12</v>
      </c>
      <c r="C2925" s="948" t="s">
        <v>302</v>
      </c>
      <c r="D2925" s="947" t="s">
        <v>4</v>
      </c>
      <c r="E2925" s="950">
        <v>860</v>
      </c>
      <c r="F2925" s="950">
        <v>2</v>
      </c>
      <c r="G2925" s="951">
        <v>113.5</v>
      </c>
      <c r="H2925" s="951">
        <v>116.57</v>
      </c>
      <c r="I2925" s="18"/>
    </row>
    <row r="2926" spans="1:9">
      <c r="A2926" s="943">
        <v>1</v>
      </c>
      <c r="B2926" s="944">
        <v>402.13</v>
      </c>
      <c r="C2926" s="944" t="s">
        <v>1359</v>
      </c>
      <c r="D2926" s="943" t="s">
        <v>17</v>
      </c>
      <c r="E2926" s="952">
        <v>132558</v>
      </c>
      <c r="F2926" s="945">
        <v>2</v>
      </c>
      <c r="G2926" s="946">
        <v>15</v>
      </c>
      <c r="H2926" s="946">
        <v>19.84</v>
      </c>
    </row>
    <row r="2927" spans="1:9" s="26" customFormat="1">
      <c r="A2927" s="947">
        <v>1</v>
      </c>
      <c r="B2927" s="948">
        <v>415.1</v>
      </c>
      <c r="C2927" s="948" t="s">
        <v>1360</v>
      </c>
      <c r="D2927" s="947" t="s">
        <v>1</v>
      </c>
      <c r="E2927" s="949">
        <v>93749</v>
      </c>
      <c r="F2927" s="950">
        <v>4</v>
      </c>
      <c r="G2927" s="951">
        <v>12.5</v>
      </c>
      <c r="H2927" s="951">
        <v>10.23</v>
      </c>
      <c r="I2927" s="18"/>
    </row>
    <row r="2928" spans="1:9">
      <c r="A2928" s="943">
        <v>1</v>
      </c>
      <c r="B2928" s="944">
        <v>415.2</v>
      </c>
      <c r="C2928" s="944" t="s">
        <v>1361</v>
      </c>
      <c r="D2928" s="943" t="s">
        <v>1</v>
      </c>
      <c r="E2928" s="952">
        <v>754125</v>
      </c>
      <c r="F2928" s="945">
        <v>4</v>
      </c>
      <c r="G2928" s="946">
        <v>30</v>
      </c>
      <c r="H2928" s="946">
        <v>26.01</v>
      </c>
    </row>
    <row r="2929" spans="1:9" s="26" customFormat="1">
      <c r="A2929" s="947">
        <v>1</v>
      </c>
      <c r="B2929" s="948">
        <v>415.3</v>
      </c>
      <c r="C2929" s="948" t="s">
        <v>1230</v>
      </c>
      <c r="D2929" s="947" t="s">
        <v>1</v>
      </c>
      <c r="E2929" s="949">
        <v>19000</v>
      </c>
      <c r="F2929" s="950">
        <v>2</v>
      </c>
      <c r="G2929" s="951">
        <v>27.5</v>
      </c>
      <c r="H2929" s="951">
        <v>27.71</v>
      </c>
      <c r="I2929" s="18"/>
    </row>
    <row r="2930" spans="1:9">
      <c r="A2930" s="943">
        <v>1</v>
      </c>
      <c r="B2930" s="944">
        <v>431</v>
      </c>
      <c r="C2930" s="944" t="s">
        <v>27</v>
      </c>
      <c r="D2930" s="943" t="s">
        <v>1</v>
      </c>
      <c r="E2930" s="952">
        <v>9730</v>
      </c>
      <c r="F2930" s="945">
        <v>2</v>
      </c>
      <c r="G2930" s="946">
        <v>77.5</v>
      </c>
      <c r="H2930" s="946">
        <v>78.64</v>
      </c>
    </row>
    <row r="2931" spans="1:9" s="26" customFormat="1">
      <c r="A2931" s="947">
        <v>1</v>
      </c>
      <c r="B2931" s="948">
        <v>440</v>
      </c>
      <c r="C2931" s="948" t="s">
        <v>305</v>
      </c>
      <c r="D2931" s="947" t="s">
        <v>100</v>
      </c>
      <c r="E2931" s="949">
        <v>325510</v>
      </c>
      <c r="F2931" s="950">
        <v>6</v>
      </c>
      <c r="G2931" s="951">
        <v>0.5</v>
      </c>
      <c r="H2931" s="951">
        <v>0.5</v>
      </c>
      <c r="I2931" s="18"/>
    </row>
    <row r="2932" spans="1:9">
      <c r="A2932" s="943">
        <v>1</v>
      </c>
      <c r="B2932" s="944">
        <v>443</v>
      </c>
      <c r="C2932" s="944" t="s">
        <v>306</v>
      </c>
      <c r="D2932" s="943" t="s">
        <v>307</v>
      </c>
      <c r="E2932" s="945">
        <v>481</v>
      </c>
      <c r="F2932" s="945">
        <v>6</v>
      </c>
      <c r="G2932" s="946">
        <v>75</v>
      </c>
      <c r="H2932" s="946">
        <v>68.87</v>
      </c>
    </row>
    <row r="2933" spans="1:9" s="26" customFormat="1">
      <c r="A2933" s="947">
        <v>1</v>
      </c>
      <c r="B2933" s="948">
        <v>450.22</v>
      </c>
      <c r="C2933" s="948" t="s">
        <v>4033</v>
      </c>
      <c r="D2933" s="947" t="s">
        <v>7</v>
      </c>
      <c r="E2933" s="949">
        <v>3945</v>
      </c>
      <c r="F2933" s="950">
        <v>5</v>
      </c>
      <c r="G2933" s="951">
        <v>267.5</v>
      </c>
      <c r="H2933" s="951">
        <v>280.35000000000002</v>
      </c>
      <c r="I2933" s="18"/>
    </row>
    <row r="2934" spans="1:9">
      <c r="A2934" s="943">
        <v>1</v>
      </c>
      <c r="B2934" s="944">
        <v>450.23</v>
      </c>
      <c r="C2934" s="944" t="s">
        <v>308</v>
      </c>
      <c r="D2934" s="943" t="s">
        <v>7</v>
      </c>
      <c r="E2934" s="952">
        <v>45220</v>
      </c>
      <c r="F2934" s="945">
        <v>3</v>
      </c>
      <c r="G2934" s="946">
        <v>135</v>
      </c>
      <c r="H2934" s="946">
        <v>139.31</v>
      </c>
    </row>
    <row r="2935" spans="1:9" s="26" customFormat="1">
      <c r="A2935" s="947">
        <v>1</v>
      </c>
      <c r="B2935" s="948">
        <v>450.23099999999999</v>
      </c>
      <c r="C2935" s="948" t="s">
        <v>1367</v>
      </c>
      <c r="D2935" s="947" t="s">
        <v>7</v>
      </c>
      <c r="E2935" s="949">
        <v>122560</v>
      </c>
      <c r="F2935" s="950">
        <v>5</v>
      </c>
      <c r="G2935" s="951">
        <v>173</v>
      </c>
      <c r="H2935" s="951">
        <v>179.25</v>
      </c>
      <c r="I2935" s="18"/>
    </row>
    <row r="2936" spans="1:9">
      <c r="A2936" s="943">
        <v>1</v>
      </c>
      <c r="B2936" s="944">
        <v>450.31</v>
      </c>
      <c r="C2936" s="944" t="s">
        <v>53</v>
      </c>
      <c r="D2936" s="943" t="s">
        <v>7</v>
      </c>
      <c r="E2936" s="952">
        <v>21655</v>
      </c>
      <c r="F2936" s="945">
        <v>5</v>
      </c>
      <c r="G2936" s="946">
        <v>185</v>
      </c>
      <c r="H2936" s="946">
        <v>173.01</v>
      </c>
    </row>
    <row r="2937" spans="1:9" s="26" customFormat="1">
      <c r="A2937" s="947">
        <v>1</v>
      </c>
      <c r="B2937" s="948">
        <v>450.31099999999998</v>
      </c>
      <c r="C2937" s="948" t="s">
        <v>1369</v>
      </c>
      <c r="D2937" s="947" t="s">
        <v>7</v>
      </c>
      <c r="E2937" s="949">
        <v>4440</v>
      </c>
      <c r="F2937" s="950">
        <v>2</v>
      </c>
      <c r="G2937" s="951">
        <v>170</v>
      </c>
      <c r="H2937" s="951">
        <v>171.8</v>
      </c>
      <c r="I2937" s="18"/>
    </row>
    <row r="2938" spans="1:9">
      <c r="A2938" s="943">
        <v>1</v>
      </c>
      <c r="B2938" s="944">
        <v>450.32</v>
      </c>
      <c r="C2938" s="944" t="s">
        <v>309</v>
      </c>
      <c r="D2938" s="943" t="s">
        <v>7</v>
      </c>
      <c r="E2938" s="952">
        <v>23240</v>
      </c>
      <c r="F2938" s="945">
        <v>5</v>
      </c>
      <c r="G2938" s="946">
        <v>190</v>
      </c>
      <c r="H2938" s="946">
        <v>192.52</v>
      </c>
    </row>
    <row r="2939" spans="1:9" s="26" customFormat="1">
      <c r="A2939" s="947">
        <v>1</v>
      </c>
      <c r="B2939" s="948">
        <v>450.41</v>
      </c>
      <c r="C2939" s="948" t="s">
        <v>1371</v>
      </c>
      <c r="D2939" s="947" t="s">
        <v>7</v>
      </c>
      <c r="E2939" s="949">
        <v>18580</v>
      </c>
      <c r="F2939" s="950">
        <v>2</v>
      </c>
      <c r="G2939" s="951">
        <v>130</v>
      </c>
      <c r="H2939" s="951">
        <v>135.72999999999999</v>
      </c>
      <c r="I2939" s="18"/>
    </row>
    <row r="2940" spans="1:9">
      <c r="A2940" s="943">
        <v>1</v>
      </c>
      <c r="B2940" s="944">
        <v>450.42</v>
      </c>
      <c r="C2940" s="944" t="s">
        <v>37</v>
      </c>
      <c r="D2940" s="943" t="s">
        <v>7</v>
      </c>
      <c r="E2940" s="952">
        <v>4845</v>
      </c>
      <c r="F2940" s="945">
        <v>5</v>
      </c>
      <c r="G2940" s="946">
        <v>228</v>
      </c>
      <c r="H2940" s="946">
        <v>208.24</v>
      </c>
    </row>
    <row r="2941" spans="1:9" s="26" customFormat="1">
      <c r="A2941" s="947">
        <v>1</v>
      </c>
      <c r="B2941" s="948">
        <v>450.53</v>
      </c>
      <c r="C2941" s="948" t="s">
        <v>1372</v>
      </c>
      <c r="D2941" s="947" t="s">
        <v>7</v>
      </c>
      <c r="E2941" s="950">
        <v>45</v>
      </c>
      <c r="F2941" s="950">
        <v>1</v>
      </c>
      <c r="G2941" s="951">
        <v>495</v>
      </c>
      <c r="H2941" s="951">
        <v>487.8</v>
      </c>
      <c r="I2941" s="18"/>
    </row>
    <row r="2942" spans="1:9">
      <c r="A2942" s="943">
        <v>1</v>
      </c>
      <c r="B2942" s="944">
        <v>450.6</v>
      </c>
      <c r="C2942" s="944" t="s">
        <v>311</v>
      </c>
      <c r="D2942" s="943" t="s">
        <v>7</v>
      </c>
      <c r="E2942" s="945">
        <v>50</v>
      </c>
      <c r="F2942" s="945">
        <v>1</v>
      </c>
      <c r="G2942" s="946">
        <v>480</v>
      </c>
      <c r="H2942" s="946">
        <v>445.5</v>
      </c>
    </row>
    <row r="2943" spans="1:9" s="26" customFormat="1">
      <c r="A2943" s="947">
        <v>1</v>
      </c>
      <c r="B2943" s="948">
        <v>450.601</v>
      </c>
      <c r="C2943" s="948" t="s">
        <v>1373</v>
      </c>
      <c r="D2943" s="947" t="s">
        <v>7</v>
      </c>
      <c r="E2943" s="950">
        <v>500</v>
      </c>
      <c r="F2943" s="950">
        <v>2</v>
      </c>
      <c r="G2943" s="951">
        <v>507.5</v>
      </c>
      <c r="H2943" s="951">
        <v>556.88</v>
      </c>
      <c r="I2943" s="18"/>
    </row>
    <row r="2944" spans="1:9">
      <c r="A2944" s="943">
        <v>1</v>
      </c>
      <c r="B2944" s="944">
        <v>450.61099999999999</v>
      </c>
      <c r="C2944" s="944" t="s">
        <v>1374</v>
      </c>
      <c r="D2944" s="943" t="s">
        <v>7</v>
      </c>
      <c r="E2944" s="945">
        <v>560</v>
      </c>
      <c r="F2944" s="945">
        <v>1</v>
      </c>
      <c r="G2944" s="946">
        <v>347.5</v>
      </c>
      <c r="H2944" s="946">
        <v>381.25</v>
      </c>
    </row>
    <row r="2945" spans="1:9" s="26" customFormat="1">
      <c r="A2945" s="947">
        <v>1</v>
      </c>
      <c r="B2945" s="948">
        <v>450.71</v>
      </c>
      <c r="C2945" s="948" t="s">
        <v>4035</v>
      </c>
      <c r="D2945" s="947" t="s">
        <v>7</v>
      </c>
      <c r="E2945" s="950">
        <v>50</v>
      </c>
      <c r="F2945" s="950">
        <v>1</v>
      </c>
      <c r="G2945" s="951">
        <v>480</v>
      </c>
      <c r="H2945" s="951">
        <v>429.8</v>
      </c>
      <c r="I2945" s="18"/>
    </row>
    <row r="2946" spans="1:9">
      <c r="A2946" s="943">
        <v>1</v>
      </c>
      <c r="B2946" s="944">
        <v>450.71100000000001</v>
      </c>
      <c r="C2946" s="944" t="s">
        <v>4036</v>
      </c>
      <c r="D2946" s="943" t="s">
        <v>7</v>
      </c>
      <c r="E2946" s="952">
        <v>1280</v>
      </c>
      <c r="F2946" s="945">
        <v>3</v>
      </c>
      <c r="G2946" s="946">
        <v>440</v>
      </c>
      <c r="H2946" s="946">
        <v>472.2</v>
      </c>
    </row>
    <row r="2947" spans="1:9" s="26" customFormat="1">
      <c r="A2947" s="947">
        <v>1</v>
      </c>
      <c r="B2947" s="948">
        <v>451</v>
      </c>
      <c r="C2947" s="948" t="s">
        <v>36</v>
      </c>
      <c r="D2947" s="947" t="s">
        <v>7</v>
      </c>
      <c r="E2947" s="949">
        <v>10860</v>
      </c>
      <c r="F2947" s="950">
        <v>16</v>
      </c>
      <c r="G2947" s="951">
        <v>300</v>
      </c>
      <c r="H2947" s="951">
        <v>300.47000000000003</v>
      </c>
      <c r="I2947" s="18"/>
    </row>
    <row r="2948" spans="1:9">
      <c r="A2948" s="943">
        <v>1</v>
      </c>
      <c r="B2948" s="944">
        <v>452</v>
      </c>
      <c r="C2948" s="944" t="s">
        <v>31</v>
      </c>
      <c r="D2948" s="943" t="s">
        <v>20</v>
      </c>
      <c r="E2948" s="952">
        <v>117034</v>
      </c>
      <c r="F2948" s="945">
        <v>14</v>
      </c>
      <c r="G2948" s="946">
        <v>15</v>
      </c>
      <c r="H2948" s="946">
        <v>13.22</v>
      </c>
    </row>
    <row r="2949" spans="1:9" s="26" customFormat="1">
      <c r="A2949" s="947">
        <v>1</v>
      </c>
      <c r="B2949" s="948">
        <v>453</v>
      </c>
      <c r="C2949" s="948" t="s">
        <v>3962</v>
      </c>
      <c r="D2949" s="947" t="s">
        <v>17</v>
      </c>
      <c r="E2949" s="949">
        <v>456000</v>
      </c>
      <c r="F2949" s="950">
        <v>9</v>
      </c>
      <c r="G2949" s="951">
        <v>1.8</v>
      </c>
      <c r="H2949" s="951">
        <v>1.45</v>
      </c>
      <c r="I2949" s="18"/>
    </row>
    <row r="2950" spans="1:9">
      <c r="A2950" s="943">
        <v>1</v>
      </c>
      <c r="B2950" s="944">
        <v>470</v>
      </c>
      <c r="C2950" s="944" t="s">
        <v>1382</v>
      </c>
      <c r="D2950" s="943" t="s">
        <v>7</v>
      </c>
      <c r="E2950" s="945">
        <v>27.5</v>
      </c>
      <c r="F2950" s="945">
        <v>2</v>
      </c>
      <c r="G2950" s="946">
        <v>715</v>
      </c>
      <c r="H2950" s="946">
        <v>751.33</v>
      </c>
    </row>
    <row r="2951" spans="1:9" s="26" customFormat="1">
      <c r="A2951" s="947">
        <v>1</v>
      </c>
      <c r="B2951" s="948">
        <v>472</v>
      </c>
      <c r="C2951" s="948" t="s">
        <v>1383</v>
      </c>
      <c r="D2951" s="947" t="s">
        <v>7</v>
      </c>
      <c r="E2951" s="949">
        <v>8610</v>
      </c>
      <c r="F2951" s="950">
        <v>16</v>
      </c>
      <c r="G2951" s="951">
        <v>300</v>
      </c>
      <c r="H2951" s="951">
        <v>316.83999999999997</v>
      </c>
      <c r="I2951" s="18"/>
    </row>
    <row r="2952" spans="1:9">
      <c r="A2952" s="943">
        <v>1</v>
      </c>
      <c r="B2952" s="944">
        <v>477</v>
      </c>
      <c r="C2952" s="944" t="s">
        <v>1384</v>
      </c>
      <c r="D2952" s="943" t="s">
        <v>17</v>
      </c>
      <c r="E2952" s="952">
        <v>348700</v>
      </c>
      <c r="F2952" s="945">
        <v>2</v>
      </c>
      <c r="G2952" s="946">
        <v>2.5</v>
      </c>
      <c r="H2952" s="946">
        <v>10.220000000000001</v>
      </c>
    </row>
    <row r="2953" spans="1:9" s="26" customFormat="1">
      <c r="A2953" s="947">
        <v>1</v>
      </c>
      <c r="B2953" s="948">
        <v>477.1</v>
      </c>
      <c r="C2953" s="948" t="s">
        <v>1385</v>
      </c>
      <c r="D2953" s="947" t="s">
        <v>17</v>
      </c>
      <c r="E2953" s="949">
        <v>26900</v>
      </c>
      <c r="F2953" s="950">
        <v>2</v>
      </c>
      <c r="G2953" s="951">
        <v>5</v>
      </c>
      <c r="H2953" s="951">
        <v>4.13</v>
      </c>
      <c r="I2953" s="18"/>
    </row>
    <row r="2954" spans="1:9">
      <c r="A2954" s="943">
        <v>1</v>
      </c>
      <c r="B2954" s="944">
        <v>477.2</v>
      </c>
      <c r="C2954" s="944" t="s">
        <v>1386</v>
      </c>
      <c r="D2954" s="943" t="s">
        <v>17</v>
      </c>
      <c r="E2954" s="952">
        <v>12600</v>
      </c>
      <c r="F2954" s="945">
        <v>1</v>
      </c>
      <c r="G2954" s="946">
        <v>5</v>
      </c>
      <c r="H2954" s="946">
        <v>4.6100000000000003</v>
      </c>
    </row>
    <row r="2955" spans="1:9" s="26" customFormat="1">
      <c r="A2955" s="947">
        <v>1</v>
      </c>
      <c r="B2955" s="948">
        <v>480.2</v>
      </c>
      <c r="C2955" s="948" t="s">
        <v>4002</v>
      </c>
      <c r="D2955" s="947" t="s">
        <v>20</v>
      </c>
      <c r="E2955" s="949">
        <v>23120</v>
      </c>
      <c r="F2955" s="950">
        <v>3</v>
      </c>
      <c r="G2955" s="951">
        <v>50</v>
      </c>
      <c r="H2955" s="951">
        <v>55.67</v>
      </c>
      <c r="I2955" s="18"/>
    </row>
    <row r="2956" spans="1:9">
      <c r="A2956" s="943">
        <v>1</v>
      </c>
      <c r="B2956" s="944">
        <v>482.31</v>
      </c>
      <c r="C2956" s="944" t="s">
        <v>4038</v>
      </c>
      <c r="D2956" s="943" t="s">
        <v>17</v>
      </c>
      <c r="E2956" s="952">
        <v>1587</v>
      </c>
      <c r="F2956" s="945">
        <v>4</v>
      </c>
      <c r="G2956" s="946">
        <v>55</v>
      </c>
      <c r="H2956" s="946">
        <v>52.55</v>
      </c>
    </row>
    <row r="2957" spans="1:9" s="26" customFormat="1">
      <c r="A2957" s="947">
        <v>1</v>
      </c>
      <c r="B2957" s="948">
        <v>482.4</v>
      </c>
      <c r="C2957" s="948" t="s">
        <v>321</v>
      </c>
      <c r="D2957" s="947" t="s">
        <v>17</v>
      </c>
      <c r="E2957" s="949">
        <v>5250</v>
      </c>
      <c r="F2957" s="950">
        <v>1</v>
      </c>
      <c r="G2957" s="951">
        <v>6</v>
      </c>
      <c r="H2957" s="951">
        <v>6.43</v>
      </c>
      <c r="I2957" s="18"/>
    </row>
    <row r="2958" spans="1:9">
      <c r="A2958" s="943">
        <v>1</v>
      </c>
      <c r="B2958" s="944">
        <v>482.5</v>
      </c>
      <c r="C2958" s="944" t="s">
        <v>43</v>
      </c>
      <c r="D2958" s="943" t="s">
        <v>17</v>
      </c>
      <c r="E2958" s="952">
        <v>19500</v>
      </c>
      <c r="F2958" s="945">
        <v>1</v>
      </c>
      <c r="G2958" s="946">
        <v>3</v>
      </c>
      <c r="H2958" s="946">
        <v>3.04</v>
      </c>
    </row>
    <row r="2959" spans="1:9" s="26" customFormat="1">
      <c r="A2959" s="947">
        <v>1</v>
      </c>
      <c r="B2959" s="948">
        <v>504</v>
      </c>
      <c r="C2959" s="948" t="s">
        <v>325</v>
      </c>
      <c r="D2959" s="947" t="s">
        <v>17</v>
      </c>
      <c r="E2959" s="949">
        <v>8205</v>
      </c>
      <c r="F2959" s="950">
        <v>6</v>
      </c>
      <c r="G2959" s="951">
        <v>95</v>
      </c>
      <c r="H2959" s="951">
        <v>98.19</v>
      </c>
      <c r="I2959" s="18"/>
    </row>
    <row r="2960" spans="1:9">
      <c r="A2960" s="943">
        <v>1</v>
      </c>
      <c r="B2960" s="944">
        <v>504.1</v>
      </c>
      <c r="C2960" s="944" t="s">
        <v>326</v>
      </c>
      <c r="D2960" s="943" t="s">
        <v>17</v>
      </c>
      <c r="E2960" s="952">
        <v>2455</v>
      </c>
      <c r="F2960" s="945">
        <v>5</v>
      </c>
      <c r="G2960" s="946">
        <v>103.12</v>
      </c>
      <c r="H2960" s="946">
        <v>113.05</v>
      </c>
    </row>
    <row r="2961" spans="1:9" s="26" customFormat="1">
      <c r="A2961" s="947">
        <v>1</v>
      </c>
      <c r="B2961" s="948">
        <v>504.2</v>
      </c>
      <c r="C2961" s="948" t="s">
        <v>327</v>
      </c>
      <c r="D2961" s="947" t="s">
        <v>2</v>
      </c>
      <c r="E2961" s="950">
        <v>4</v>
      </c>
      <c r="F2961" s="950">
        <v>1</v>
      </c>
      <c r="G2961" s="951">
        <v>785</v>
      </c>
      <c r="H2961" s="951">
        <v>721.25</v>
      </c>
      <c r="I2961" s="18"/>
    </row>
    <row r="2962" spans="1:9">
      <c r="A2962" s="943">
        <v>1</v>
      </c>
      <c r="B2962" s="944">
        <v>506</v>
      </c>
      <c r="C2962" s="944" t="s">
        <v>40</v>
      </c>
      <c r="D2962" s="943" t="s">
        <v>17</v>
      </c>
      <c r="E2962" s="952">
        <v>42340</v>
      </c>
      <c r="F2962" s="945">
        <v>2</v>
      </c>
      <c r="G2962" s="946">
        <v>70</v>
      </c>
      <c r="H2962" s="946">
        <v>83.17</v>
      </c>
    </row>
    <row r="2963" spans="1:9" s="26" customFormat="1">
      <c r="A2963" s="947">
        <v>1</v>
      </c>
      <c r="B2963" s="948">
        <v>506.1</v>
      </c>
      <c r="C2963" s="948" t="s">
        <v>41</v>
      </c>
      <c r="D2963" s="947" t="s">
        <v>17</v>
      </c>
      <c r="E2963" s="949">
        <v>8540</v>
      </c>
      <c r="F2963" s="950">
        <v>1</v>
      </c>
      <c r="G2963" s="951">
        <v>80</v>
      </c>
      <c r="H2963" s="951">
        <v>83.87</v>
      </c>
      <c r="I2963" s="18"/>
    </row>
    <row r="2964" spans="1:9">
      <c r="A2964" s="943">
        <v>1</v>
      </c>
      <c r="B2964" s="944">
        <v>509</v>
      </c>
      <c r="C2964" s="944" t="s">
        <v>1394</v>
      </c>
      <c r="D2964" s="943" t="s">
        <v>17</v>
      </c>
      <c r="E2964" s="952">
        <v>15020</v>
      </c>
      <c r="F2964" s="945">
        <v>5</v>
      </c>
      <c r="G2964" s="946">
        <v>95</v>
      </c>
      <c r="H2964" s="946">
        <v>106.64</v>
      </c>
    </row>
    <row r="2965" spans="1:9" s="26" customFormat="1">
      <c r="A2965" s="947">
        <v>1</v>
      </c>
      <c r="B2965" s="948">
        <v>509.1</v>
      </c>
      <c r="C2965" s="948" t="s">
        <v>1395</v>
      </c>
      <c r="D2965" s="947" t="s">
        <v>17</v>
      </c>
      <c r="E2965" s="954">
        <v>5196.5</v>
      </c>
      <c r="F2965" s="950">
        <v>4</v>
      </c>
      <c r="G2965" s="951">
        <v>100</v>
      </c>
      <c r="H2965" s="951">
        <v>110.13</v>
      </c>
      <c r="I2965" s="18"/>
    </row>
    <row r="2966" spans="1:9">
      <c r="A2966" s="943">
        <v>1</v>
      </c>
      <c r="B2966" s="944">
        <v>510</v>
      </c>
      <c r="C2966" s="944" t="s">
        <v>330</v>
      </c>
      <c r="D2966" s="943" t="s">
        <v>17</v>
      </c>
      <c r="E2966" s="952">
        <v>1210</v>
      </c>
      <c r="F2966" s="945">
        <v>2</v>
      </c>
      <c r="G2966" s="946">
        <v>63.5</v>
      </c>
      <c r="H2966" s="946">
        <v>70.400000000000006</v>
      </c>
    </row>
    <row r="2967" spans="1:9" s="26" customFormat="1">
      <c r="A2967" s="947">
        <v>1</v>
      </c>
      <c r="B2967" s="948">
        <v>510.1</v>
      </c>
      <c r="C2967" s="948" t="s">
        <v>331</v>
      </c>
      <c r="D2967" s="947" t="s">
        <v>17</v>
      </c>
      <c r="E2967" s="950">
        <v>210</v>
      </c>
      <c r="F2967" s="950">
        <v>1</v>
      </c>
      <c r="G2967" s="951">
        <v>80</v>
      </c>
      <c r="H2967" s="951">
        <v>79.709999999999994</v>
      </c>
      <c r="I2967" s="18"/>
    </row>
    <row r="2968" spans="1:9">
      <c r="A2968" s="943">
        <v>1</v>
      </c>
      <c r="B2968" s="944">
        <v>514</v>
      </c>
      <c r="C2968" s="944" t="s">
        <v>38</v>
      </c>
      <c r="D2968" s="943" t="s">
        <v>2</v>
      </c>
      <c r="E2968" s="945">
        <v>398</v>
      </c>
      <c r="F2968" s="945">
        <v>8</v>
      </c>
      <c r="G2968" s="946">
        <v>800</v>
      </c>
      <c r="H2968" s="946">
        <v>833.05</v>
      </c>
    </row>
    <row r="2969" spans="1:9" s="26" customFormat="1">
      <c r="A2969" s="947">
        <v>1</v>
      </c>
      <c r="B2969" s="948">
        <v>515</v>
      </c>
      <c r="C2969" s="948" t="s">
        <v>45</v>
      </c>
      <c r="D2969" s="947" t="s">
        <v>2</v>
      </c>
      <c r="E2969" s="950">
        <v>119</v>
      </c>
      <c r="F2969" s="950">
        <v>1</v>
      </c>
      <c r="G2969" s="951">
        <v>795</v>
      </c>
      <c r="H2969" s="951">
        <v>821.32</v>
      </c>
      <c r="I2969" s="18"/>
    </row>
    <row r="2970" spans="1:9">
      <c r="A2970" s="943">
        <v>1</v>
      </c>
      <c r="B2970" s="944">
        <v>516</v>
      </c>
      <c r="C2970" s="944" t="s">
        <v>47</v>
      </c>
      <c r="D2970" s="943" t="s">
        <v>2</v>
      </c>
      <c r="E2970" s="945">
        <v>336</v>
      </c>
      <c r="F2970" s="945">
        <v>1</v>
      </c>
      <c r="G2970" s="946">
        <v>480</v>
      </c>
      <c r="H2970" s="946">
        <v>500.76</v>
      </c>
    </row>
    <row r="2971" spans="1:9" s="26" customFormat="1">
      <c r="A2971" s="947">
        <v>1</v>
      </c>
      <c r="B2971" s="948">
        <v>517</v>
      </c>
      <c r="C2971" s="948" t="s">
        <v>334</v>
      </c>
      <c r="D2971" s="947" t="s">
        <v>2</v>
      </c>
      <c r="E2971" s="950">
        <v>6</v>
      </c>
      <c r="F2971" s="950">
        <v>1</v>
      </c>
      <c r="G2971" s="951">
        <v>1008.5</v>
      </c>
      <c r="H2971" s="951">
        <v>1035.67</v>
      </c>
      <c r="I2971" s="18"/>
    </row>
    <row r="2972" spans="1:9">
      <c r="A2972" s="943">
        <v>1</v>
      </c>
      <c r="B2972" s="944">
        <v>518</v>
      </c>
      <c r="C2972" s="944" t="s">
        <v>2393</v>
      </c>
      <c r="D2972" s="943" t="s">
        <v>2</v>
      </c>
      <c r="E2972" s="945">
        <v>72</v>
      </c>
      <c r="F2972" s="945">
        <v>1</v>
      </c>
      <c r="G2972" s="946">
        <v>387.5</v>
      </c>
      <c r="H2972" s="946">
        <v>381.67</v>
      </c>
    </row>
    <row r="2973" spans="1:9" s="26" customFormat="1">
      <c r="A2973" s="947">
        <v>1</v>
      </c>
      <c r="B2973" s="948">
        <v>520</v>
      </c>
      <c r="C2973" s="948" t="s">
        <v>336</v>
      </c>
      <c r="D2973" s="947" t="s">
        <v>17</v>
      </c>
      <c r="E2973" s="949">
        <v>18240</v>
      </c>
      <c r="F2973" s="950">
        <v>1</v>
      </c>
      <c r="G2973" s="951">
        <v>66</v>
      </c>
      <c r="H2973" s="951">
        <v>68.38</v>
      </c>
      <c r="I2973" s="18"/>
    </row>
    <row r="2974" spans="1:9">
      <c r="A2974" s="943">
        <v>1</v>
      </c>
      <c r="B2974" s="944">
        <v>520.1</v>
      </c>
      <c r="C2974" s="944" t="s">
        <v>2395</v>
      </c>
      <c r="D2974" s="943" t="s">
        <v>17</v>
      </c>
      <c r="E2974" s="952">
        <v>44100</v>
      </c>
      <c r="F2974" s="945">
        <v>1</v>
      </c>
      <c r="G2974" s="946">
        <v>63</v>
      </c>
      <c r="H2974" s="946">
        <v>61.86</v>
      </c>
    </row>
    <row r="2975" spans="1:9" s="26" customFormat="1">
      <c r="A2975" s="947">
        <v>1</v>
      </c>
      <c r="B2975" s="948">
        <v>570</v>
      </c>
      <c r="C2975" s="948" t="s">
        <v>337</v>
      </c>
      <c r="D2975" s="947" t="s">
        <v>17</v>
      </c>
      <c r="E2975" s="950">
        <v>600</v>
      </c>
      <c r="F2975" s="950">
        <v>1</v>
      </c>
      <c r="G2975" s="951">
        <v>30</v>
      </c>
      <c r="H2975" s="951">
        <v>31.67</v>
      </c>
      <c r="I2975" s="18"/>
    </row>
    <row r="2976" spans="1:9">
      <c r="A2976" s="943">
        <v>1</v>
      </c>
      <c r="B2976" s="944">
        <v>570.1</v>
      </c>
      <c r="C2976" s="944" t="s">
        <v>1396</v>
      </c>
      <c r="D2976" s="943" t="s">
        <v>17</v>
      </c>
      <c r="E2976" s="945">
        <v>270</v>
      </c>
      <c r="F2976" s="945">
        <v>1</v>
      </c>
      <c r="G2976" s="946">
        <v>45</v>
      </c>
      <c r="H2976" s="946">
        <v>47</v>
      </c>
    </row>
    <row r="2977" spans="1:9" s="26" customFormat="1">
      <c r="A2977" s="947">
        <v>1</v>
      </c>
      <c r="B2977" s="948">
        <v>570.20000000000005</v>
      </c>
      <c r="C2977" s="948" t="s">
        <v>338</v>
      </c>
      <c r="D2977" s="947" t="s">
        <v>17</v>
      </c>
      <c r="E2977" s="949">
        <v>10535</v>
      </c>
      <c r="F2977" s="950">
        <v>5</v>
      </c>
      <c r="G2977" s="951">
        <v>21</v>
      </c>
      <c r="H2977" s="951">
        <v>29.31</v>
      </c>
      <c r="I2977" s="18"/>
    </row>
    <row r="2978" spans="1:9">
      <c r="A2978" s="943">
        <v>1</v>
      </c>
      <c r="B2978" s="944">
        <v>580</v>
      </c>
      <c r="C2978" s="944" t="s">
        <v>56</v>
      </c>
      <c r="D2978" s="943" t="s">
        <v>17</v>
      </c>
      <c r="E2978" s="952">
        <v>12135</v>
      </c>
      <c r="F2978" s="945">
        <v>8</v>
      </c>
      <c r="G2978" s="946">
        <v>50</v>
      </c>
      <c r="H2978" s="946">
        <v>47.86</v>
      </c>
    </row>
    <row r="2979" spans="1:9" s="26" customFormat="1">
      <c r="A2979" s="947">
        <v>1</v>
      </c>
      <c r="B2979" s="948">
        <v>581</v>
      </c>
      <c r="C2979" s="948" t="s">
        <v>340</v>
      </c>
      <c r="D2979" s="947" t="s">
        <v>2</v>
      </c>
      <c r="E2979" s="950">
        <v>103</v>
      </c>
      <c r="F2979" s="950">
        <v>4</v>
      </c>
      <c r="G2979" s="951">
        <v>450</v>
      </c>
      <c r="H2979" s="951">
        <v>454.57</v>
      </c>
      <c r="I2979" s="18"/>
    </row>
    <row r="2980" spans="1:9">
      <c r="A2980" s="943">
        <v>1</v>
      </c>
      <c r="B2980" s="944">
        <v>583</v>
      </c>
      <c r="C2980" s="944" t="s">
        <v>342</v>
      </c>
      <c r="D2980" s="943" t="s">
        <v>17</v>
      </c>
      <c r="E2980" s="945">
        <v>700</v>
      </c>
      <c r="F2980" s="945">
        <v>2</v>
      </c>
      <c r="G2980" s="946">
        <v>72.5</v>
      </c>
      <c r="H2980" s="946">
        <v>65</v>
      </c>
    </row>
    <row r="2981" spans="1:9" s="26" customFormat="1">
      <c r="A2981" s="947">
        <v>1</v>
      </c>
      <c r="B2981" s="948">
        <v>590</v>
      </c>
      <c r="C2981" s="948" t="s">
        <v>343</v>
      </c>
      <c r="D2981" s="947" t="s">
        <v>17</v>
      </c>
      <c r="E2981" s="949">
        <v>31840</v>
      </c>
      <c r="F2981" s="950">
        <v>2</v>
      </c>
      <c r="G2981" s="951">
        <v>10.5</v>
      </c>
      <c r="H2981" s="951">
        <v>11.21</v>
      </c>
      <c r="I2981" s="18"/>
    </row>
    <row r="2982" spans="1:9">
      <c r="A2982" s="943">
        <v>1</v>
      </c>
      <c r="B2982" s="944">
        <v>591</v>
      </c>
      <c r="C2982" s="944" t="s">
        <v>344</v>
      </c>
      <c r="D2982" s="943" t="s">
        <v>2</v>
      </c>
      <c r="E2982" s="945">
        <v>60</v>
      </c>
      <c r="F2982" s="945">
        <v>1</v>
      </c>
      <c r="G2982" s="946">
        <v>100</v>
      </c>
      <c r="H2982" s="946">
        <v>76.97</v>
      </c>
    </row>
    <row r="2983" spans="1:9" s="26" customFormat="1">
      <c r="A2983" s="947">
        <v>1</v>
      </c>
      <c r="B2983" s="948">
        <v>592</v>
      </c>
      <c r="C2983" s="948" t="s">
        <v>345</v>
      </c>
      <c r="D2983" s="947" t="s">
        <v>2</v>
      </c>
      <c r="E2983" s="950">
        <v>117</v>
      </c>
      <c r="F2983" s="950">
        <v>1</v>
      </c>
      <c r="G2983" s="951">
        <v>100</v>
      </c>
      <c r="H2983" s="951">
        <v>116.67</v>
      </c>
      <c r="I2983" s="18"/>
    </row>
    <row r="2984" spans="1:9">
      <c r="A2984" s="943">
        <v>1</v>
      </c>
      <c r="B2984" s="944">
        <v>594</v>
      </c>
      <c r="C2984" s="944" t="s">
        <v>346</v>
      </c>
      <c r="D2984" s="943" t="s">
        <v>17</v>
      </c>
      <c r="E2984" s="952">
        <v>43250</v>
      </c>
      <c r="F2984" s="945">
        <v>6</v>
      </c>
      <c r="G2984" s="946">
        <v>8</v>
      </c>
      <c r="H2984" s="946">
        <v>7.58</v>
      </c>
    </row>
    <row r="2985" spans="1:9" s="26" customFormat="1">
      <c r="A2985" s="947">
        <v>1</v>
      </c>
      <c r="B2985" s="948">
        <v>595</v>
      </c>
      <c r="C2985" s="948" t="s">
        <v>347</v>
      </c>
      <c r="D2985" s="947" t="s">
        <v>2</v>
      </c>
      <c r="E2985" s="950">
        <v>20</v>
      </c>
      <c r="F2985" s="950">
        <v>2</v>
      </c>
      <c r="G2985" s="951">
        <v>100</v>
      </c>
      <c r="H2985" s="951">
        <v>97.5</v>
      </c>
      <c r="I2985" s="18"/>
    </row>
    <row r="2986" spans="1:9">
      <c r="A2986" s="943">
        <v>1</v>
      </c>
      <c r="B2986" s="944">
        <v>596</v>
      </c>
      <c r="C2986" s="944" t="s">
        <v>348</v>
      </c>
      <c r="D2986" s="943" t="s">
        <v>2</v>
      </c>
      <c r="E2986" s="945">
        <v>9</v>
      </c>
      <c r="F2986" s="945">
        <v>1</v>
      </c>
      <c r="G2986" s="946">
        <v>85</v>
      </c>
      <c r="H2986" s="946">
        <v>99</v>
      </c>
    </row>
    <row r="2987" spans="1:9" s="26" customFormat="1">
      <c r="A2987" s="947">
        <v>1</v>
      </c>
      <c r="B2987" s="948">
        <v>597</v>
      </c>
      <c r="C2987" s="948" t="s">
        <v>349</v>
      </c>
      <c r="D2987" s="947" t="s">
        <v>17</v>
      </c>
      <c r="E2987" s="950">
        <v>850</v>
      </c>
      <c r="F2987" s="950">
        <v>1</v>
      </c>
      <c r="G2987" s="951">
        <v>10</v>
      </c>
      <c r="H2987" s="951">
        <v>10</v>
      </c>
      <c r="I2987" s="18"/>
    </row>
    <row r="2988" spans="1:9">
      <c r="A2988" s="943">
        <v>1</v>
      </c>
      <c r="B2988" s="944">
        <v>620.12</v>
      </c>
      <c r="C2988" s="944" t="s">
        <v>1252</v>
      </c>
      <c r="D2988" s="943" t="s">
        <v>17</v>
      </c>
      <c r="E2988" s="952">
        <v>1310</v>
      </c>
      <c r="F2988" s="945">
        <v>3</v>
      </c>
      <c r="G2988" s="946">
        <v>48</v>
      </c>
      <c r="H2988" s="946">
        <v>41.03</v>
      </c>
    </row>
    <row r="2989" spans="1:9" s="26" customFormat="1">
      <c r="A2989" s="947">
        <v>1</v>
      </c>
      <c r="B2989" s="948">
        <v>620.13</v>
      </c>
      <c r="C2989" s="948" t="s">
        <v>1398</v>
      </c>
      <c r="D2989" s="947" t="s">
        <v>17</v>
      </c>
      <c r="E2989" s="949">
        <v>147140</v>
      </c>
      <c r="F2989" s="950">
        <v>9</v>
      </c>
      <c r="G2989" s="951">
        <v>40</v>
      </c>
      <c r="H2989" s="951">
        <v>40.32</v>
      </c>
      <c r="I2989" s="18"/>
    </row>
    <row r="2990" spans="1:9">
      <c r="A2990" s="943">
        <v>1</v>
      </c>
      <c r="B2990" s="944">
        <v>620.13099999999997</v>
      </c>
      <c r="C2990" s="944" t="s">
        <v>1399</v>
      </c>
      <c r="D2990" s="943" t="s">
        <v>17</v>
      </c>
      <c r="E2990" s="952">
        <v>18640</v>
      </c>
      <c r="F2990" s="945">
        <v>4</v>
      </c>
      <c r="G2990" s="946">
        <v>48</v>
      </c>
      <c r="H2990" s="946">
        <v>51.63</v>
      </c>
    </row>
    <row r="2991" spans="1:9" s="26" customFormat="1">
      <c r="A2991" s="947">
        <v>1</v>
      </c>
      <c r="B2991" s="948">
        <v>620.32000000000005</v>
      </c>
      <c r="C2991" s="948" t="s">
        <v>1253</v>
      </c>
      <c r="D2991" s="947" t="s">
        <v>17</v>
      </c>
      <c r="E2991" s="950">
        <v>915</v>
      </c>
      <c r="F2991" s="950">
        <v>3</v>
      </c>
      <c r="G2991" s="951">
        <v>50</v>
      </c>
      <c r="H2991" s="951">
        <v>52.93</v>
      </c>
      <c r="I2991" s="18"/>
    </row>
    <row r="2992" spans="1:9">
      <c r="A2992" s="943">
        <v>1</v>
      </c>
      <c r="B2992" s="944">
        <v>620.33000000000004</v>
      </c>
      <c r="C2992" s="944" t="s">
        <v>1400</v>
      </c>
      <c r="D2992" s="943" t="s">
        <v>17</v>
      </c>
      <c r="E2992" s="952">
        <v>1758</v>
      </c>
      <c r="F2992" s="945">
        <v>4</v>
      </c>
      <c r="G2992" s="946">
        <v>43.3</v>
      </c>
      <c r="H2992" s="946">
        <v>44.69</v>
      </c>
    </row>
    <row r="2993" spans="1:9" s="26" customFormat="1">
      <c r="A2993" s="947">
        <v>1</v>
      </c>
      <c r="B2993" s="948">
        <v>621.12</v>
      </c>
      <c r="C2993" s="948" t="s">
        <v>1401</v>
      </c>
      <c r="D2993" s="947" t="s">
        <v>17</v>
      </c>
      <c r="E2993" s="950">
        <v>150</v>
      </c>
      <c r="F2993" s="950">
        <v>1</v>
      </c>
      <c r="G2993" s="951">
        <v>50</v>
      </c>
      <c r="H2993" s="951">
        <v>54.26</v>
      </c>
      <c r="I2993" s="18"/>
    </row>
    <row r="2994" spans="1:9">
      <c r="A2994" s="943">
        <v>1</v>
      </c>
      <c r="B2994" s="944">
        <v>621.13</v>
      </c>
      <c r="C2994" s="944" t="s">
        <v>1402</v>
      </c>
      <c r="D2994" s="943" t="s">
        <v>17</v>
      </c>
      <c r="E2994" s="952">
        <v>66391</v>
      </c>
      <c r="F2994" s="945">
        <v>4</v>
      </c>
      <c r="G2994" s="946">
        <v>59.71</v>
      </c>
      <c r="H2994" s="946">
        <v>55.13</v>
      </c>
    </row>
    <row r="2995" spans="1:9" s="26" customFormat="1">
      <c r="A2995" s="947">
        <v>1</v>
      </c>
      <c r="B2995" s="948">
        <v>627.1</v>
      </c>
      <c r="C2995" s="948" t="s">
        <v>1403</v>
      </c>
      <c r="D2995" s="947" t="s">
        <v>2</v>
      </c>
      <c r="E2995" s="950">
        <v>216</v>
      </c>
      <c r="F2995" s="950">
        <v>8</v>
      </c>
      <c r="G2995" s="951">
        <v>2588</v>
      </c>
      <c r="H2995" s="951">
        <v>2645.71</v>
      </c>
      <c r="I2995" s="18"/>
    </row>
    <row r="2996" spans="1:9">
      <c r="A2996" s="943">
        <v>1</v>
      </c>
      <c r="B2996" s="944">
        <v>627.73</v>
      </c>
      <c r="C2996" s="944" t="s">
        <v>1405</v>
      </c>
      <c r="D2996" s="943" t="s">
        <v>2</v>
      </c>
      <c r="E2996" s="945">
        <v>30</v>
      </c>
      <c r="F2996" s="945">
        <v>3</v>
      </c>
      <c r="G2996" s="946">
        <v>14053.6</v>
      </c>
      <c r="H2996" s="946">
        <v>12758.73</v>
      </c>
    </row>
    <row r="2997" spans="1:9" s="26" customFormat="1">
      <c r="A2997" s="947">
        <v>1</v>
      </c>
      <c r="B2997" s="948">
        <v>627.82000000000005</v>
      </c>
      <c r="C2997" s="948" t="s">
        <v>1406</v>
      </c>
      <c r="D2997" s="947" t="s">
        <v>2</v>
      </c>
      <c r="E2997" s="950">
        <v>22</v>
      </c>
      <c r="F2997" s="950">
        <v>2</v>
      </c>
      <c r="G2997" s="951">
        <v>5681.31</v>
      </c>
      <c r="H2997" s="951">
        <v>5648.5</v>
      </c>
      <c r="I2997" s="18"/>
    </row>
    <row r="2998" spans="1:9">
      <c r="A2998" s="943">
        <v>1</v>
      </c>
      <c r="B2998" s="944">
        <v>627.83000000000004</v>
      </c>
      <c r="C2998" s="944" t="s">
        <v>1407</v>
      </c>
      <c r="D2998" s="943" t="s">
        <v>2</v>
      </c>
      <c r="E2998" s="945">
        <v>253</v>
      </c>
      <c r="F2998" s="945">
        <v>7</v>
      </c>
      <c r="G2998" s="946">
        <v>5700</v>
      </c>
      <c r="H2998" s="946">
        <v>5884.67</v>
      </c>
    </row>
    <row r="2999" spans="1:9" s="26" customFormat="1">
      <c r="A2999" s="947">
        <v>1</v>
      </c>
      <c r="B2999" s="948">
        <v>627.92999999999995</v>
      </c>
      <c r="C2999" s="948" t="s">
        <v>1409</v>
      </c>
      <c r="D2999" s="947" t="s">
        <v>2</v>
      </c>
      <c r="E2999" s="950">
        <v>2</v>
      </c>
      <c r="F2999" s="950">
        <v>1</v>
      </c>
      <c r="G2999" s="951">
        <v>7057.74</v>
      </c>
      <c r="H2999" s="951">
        <v>7057.74</v>
      </c>
      <c r="I2999" s="18"/>
    </row>
    <row r="3000" spans="1:9">
      <c r="A3000" s="943">
        <v>1</v>
      </c>
      <c r="B3000" s="944">
        <v>628.21</v>
      </c>
      <c r="C3000" s="944" t="s">
        <v>1410</v>
      </c>
      <c r="D3000" s="943" t="s">
        <v>2</v>
      </c>
      <c r="E3000" s="945">
        <v>178</v>
      </c>
      <c r="F3000" s="945">
        <v>7</v>
      </c>
      <c r="G3000" s="946">
        <v>2031.5</v>
      </c>
      <c r="H3000" s="946">
        <v>2134.7600000000002</v>
      </c>
    </row>
    <row r="3001" spans="1:9" s="26" customFormat="1">
      <c r="A3001" s="947">
        <v>1</v>
      </c>
      <c r="B3001" s="948">
        <v>628.22</v>
      </c>
      <c r="C3001" s="948" t="s">
        <v>1411</v>
      </c>
      <c r="D3001" s="947" t="s">
        <v>2</v>
      </c>
      <c r="E3001" s="950">
        <v>41</v>
      </c>
      <c r="F3001" s="950">
        <v>3</v>
      </c>
      <c r="G3001" s="951">
        <v>6157.5</v>
      </c>
      <c r="H3001" s="951">
        <v>6571.33</v>
      </c>
      <c r="I3001" s="18"/>
    </row>
    <row r="3002" spans="1:9">
      <c r="A3002" s="943">
        <v>1</v>
      </c>
      <c r="B3002" s="944">
        <v>628.23</v>
      </c>
      <c r="C3002" s="944" t="s">
        <v>1412</v>
      </c>
      <c r="D3002" s="943" t="s">
        <v>2</v>
      </c>
      <c r="E3002" s="945">
        <v>2</v>
      </c>
      <c r="F3002" s="945">
        <v>1</v>
      </c>
      <c r="G3002" s="946">
        <v>7909.96</v>
      </c>
      <c r="H3002" s="946">
        <v>7909.96</v>
      </c>
    </row>
    <row r="3003" spans="1:9" s="26" customFormat="1">
      <c r="A3003" s="947">
        <v>1</v>
      </c>
      <c r="B3003" s="948">
        <v>628.24</v>
      </c>
      <c r="C3003" s="948" t="s">
        <v>1413</v>
      </c>
      <c r="D3003" s="947" t="s">
        <v>2</v>
      </c>
      <c r="E3003" s="950">
        <v>61</v>
      </c>
      <c r="F3003" s="950">
        <v>6</v>
      </c>
      <c r="G3003" s="951">
        <v>6000</v>
      </c>
      <c r="H3003" s="951">
        <v>6257.19</v>
      </c>
      <c r="I3003" s="18"/>
    </row>
    <row r="3004" spans="1:9">
      <c r="A3004" s="943">
        <v>1</v>
      </c>
      <c r="B3004" s="944">
        <v>628.25</v>
      </c>
      <c r="C3004" s="944" t="s">
        <v>1414</v>
      </c>
      <c r="D3004" s="943" t="s">
        <v>2</v>
      </c>
      <c r="E3004" s="945">
        <v>25</v>
      </c>
      <c r="F3004" s="945">
        <v>2</v>
      </c>
      <c r="G3004" s="946">
        <v>880.37</v>
      </c>
      <c r="H3004" s="946">
        <v>799.68</v>
      </c>
    </row>
    <row r="3005" spans="1:9" s="26" customFormat="1">
      <c r="A3005" s="947">
        <v>1</v>
      </c>
      <c r="B3005" s="948">
        <v>628.30399999999997</v>
      </c>
      <c r="C3005" s="948" t="s">
        <v>2412</v>
      </c>
      <c r="D3005" s="947" t="s">
        <v>2</v>
      </c>
      <c r="E3005" s="950">
        <v>32</v>
      </c>
      <c r="F3005" s="950">
        <v>1</v>
      </c>
      <c r="G3005" s="951">
        <v>8500</v>
      </c>
      <c r="H3005" s="951">
        <v>8818.75</v>
      </c>
      <c r="I3005" s="18"/>
    </row>
    <row r="3006" spans="1:9">
      <c r="A3006" s="943">
        <v>1</v>
      </c>
      <c r="B3006" s="944">
        <v>628.30499999999995</v>
      </c>
      <c r="C3006" s="944" t="s">
        <v>2413</v>
      </c>
      <c r="D3006" s="943" t="s">
        <v>2</v>
      </c>
      <c r="E3006" s="945">
        <v>54</v>
      </c>
      <c r="F3006" s="945">
        <v>3</v>
      </c>
      <c r="G3006" s="946">
        <v>9000</v>
      </c>
      <c r="H3006" s="946">
        <v>9123.08</v>
      </c>
    </row>
    <row r="3007" spans="1:9" s="26" customFormat="1">
      <c r="A3007" s="947">
        <v>1</v>
      </c>
      <c r="B3007" s="948">
        <v>628.31500000000005</v>
      </c>
      <c r="C3007" s="948" t="s">
        <v>2417</v>
      </c>
      <c r="D3007" s="947" t="s">
        <v>2</v>
      </c>
      <c r="E3007" s="950">
        <v>22</v>
      </c>
      <c r="F3007" s="950">
        <v>2</v>
      </c>
      <c r="G3007" s="951">
        <v>9500</v>
      </c>
      <c r="H3007" s="951">
        <v>9094.44</v>
      </c>
      <c r="I3007" s="18"/>
    </row>
    <row r="3008" spans="1:9">
      <c r="A3008" s="943">
        <v>1</v>
      </c>
      <c r="B3008" s="944">
        <v>628.4</v>
      </c>
      <c r="C3008" s="944" t="s">
        <v>3901</v>
      </c>
      <c r="D3008" s="943" t="s">
        <v>2</v>
      </c>
      <c r="E3008" s="945">
        <v>124</v>
      </c>
      <c r="F3008" s="945">
        <v>5</v>
      </c>
      <c r="G3008" s="946">
        <v>2450</v>
      </c>
      <c r="H3008" s="946">
        <v>2411.9</v>
      </c>
    </row>
    <row r="3009" spans="1:9" s="26" customFormat="1">
      <c r="A3009" s="947">
        <v>1</v>
      </c>
      <c r="B3009" s="948">
        <v>629.1</v>
      </c>
      <c r="C3009" s="948" t="s">
        <v>353</v>
      </c>
      <c r="D3009" s="947" t="s">
        <v>17</v>
      </c>
      <c r="E3009" s="949">
        <v>2280</v>
      </c>
      <c r="F3009" s="950">
        <v>1</v>
      </c>
      <c r="G3009" s="951">
        <v>325</v>
      </c>
      <c r="H3009" s="951">
        <v>315</v>
      </c>
      <c r="I3009" s="18"/>
    </row>
    <row r="3010" spans="1:9">
      <c r="A3010" s="943">
        <v>1</v>
      </c>
      <c r="B3010" s="944">
        <v>629.5</v>
      </c>
      <c r="C3010" s="944" t="s">
        <v>1416</v>
      </c>
      <c r="D3010" s="943" t="s">
        <v>4</v>
      </c>
      <c r="E3010" s="945">
        <v>42</v>
      </c>
      <c r="F3010" s="945">
        <v>1</v>
      </c>
      <c r="G3010" s="946">
        <v>1550</v>
      </c>
      <c r="H3010" s="946">
        <v>1725</v>
      </c>
    </row>
    <row r="3011" spans="1:9" s="26" customFormat="1">
      <c r="A3011" s="947">
        <v>1</v>
      </c>
      <c r="B3011" s="948">
        <v>630</v>
      </c>
      <c r="C3011" s="948" t="s">
        <v>356</v>
      </c>
      <c r="D3011" s="947" t="s">
        <v>17</v>
      </c>
      <c r="E3011" s="949">
        <v>4750</v>
      </c>
      <c r="F3011" s="950">
        <v>5</v>
      </c>
      <c r="G3011" s="951">
        <v>50</v>
      </c>
      <c r="H3011" s="951">
        <v>40.26</v>
      </c>
      <c r="I3011" s="18"/>
    </row>
    <row r="3012" spans="1:9">
      <c r="A3012" s="943">
        <v>1</v>
      </c>
      <c r="B3012" s="944">
        <v>630.20000000000005</v>
      </c>
      <c r="C3012" s="944" t="s">
        <v>358</v>
      </c>
      <c r="D3012" s="943" t="s">
        <v>17</v>
      </c>
      <c r="E3012" s="952">
        <v>212664</v>
      </c>
      <c r="F3012" s="945">
        <v>7</v>
      </c>
      <c r="G3012" s="946">
        <v>12</v>
      </c>
      <c r="H3012" s="946">
        <v>12.09</v>
      </c>
    </row>
    <row r="3013" spans="1:9" s="26" customFormat="1">
      <c r="A3013" s="947">
        <v>1</v>
      </c>
      <c r="B3013" s="948">
        <v>632</v>
      </c>
      <c r="C3013" s="948" t="s">
        <v>359</v>
      </c>
      <c r="D3013" s="947" t="s">
        <v>2</v>
      </c>
      <c r="E3013" s="950">
        <v>160</v>
      </c>
      <c r="F3013" s="950">
        <v>3</v>
      </c>
      <c r="G3013" s="951">
        <v>135.79</v>
      </c>
      <c r="H3013" s="951">
        <v>140.82</v>
      </c>
      <c r="I3013" s="18"/>
    </row>
    <row r="3014" spans="1:9">
      <c r="A3014" s="943">
        <v>1</v>
      </c>
      <c r="B3014" s="944">
        <v>632.1</v>
      </c>
      <c r="C3014" s="944" t="s">
        <v>360</v>
      </c>
      <c r="D3014" s="943" t="s">
        <v>2</v>
      </c>
      <c r="E3014" s="945">
        <v>16</v>
      </c>
      <c r="F3014" s="945">
        <v>2</v>
      </c>
      <c r="G3014" s="946">
        <v>177</v>
      </c>
      <c r="H3014" s="946">
        <v>161.34</v>
      </c>
    </row>
    <row r="3015" spans="1:9" s="26" customFormat="1">
      <c r="A3015" s="947">
        <v>1</v>
      </c>
      <c r="B3015" s="948">
        <v>632.20000000000005</v>
      </c>
      <c r="C3015" s="948" t="s">
        <v>1418</v>
      </c>
      <c r="D3015" s="947" t="s">
        <v>2</v>
      </c>
      <c r="E3015" s="950">
        <v>25</v>
      </c>
      <c r="F3015" s="950">
        <v>2</v>
      </c>
      <c r="G3015" s="951">
        <v>85</v>
      </c>
      <c r="H3015" s="951">
        <v>84.98</v>
      </c>
      <c r="I3015" s="18"/>
    </row>
    <row r="3016" spans="1:9">
      <c r="A3016" s="943">
        <v>1</v>
      </c>
      <c r="B3016" s="944">
        <v>632.4</v>
      </c>
      <c r="C3016" s="944" t="s">
        <v>361</v>
      </c>
      <c r="D3016" s="943" t="s">
        <v>2</v>
      </c>
      <c r="E3016" s="945">
        <v>20</v>
      </c>
      <c r="F3016" s="945">
        <v>2</v>
      </c>
      <c r="G3016" s="946">
        <v>20</v>
      </c>
      <c r="H3016" s="946">
        <v>18.75</v>
      </c>
    </row>
    <row r="3017" spans="1:9" s="26" customFormat="1">
      <c r="A3017" s="947">
        <v>1</v>
      </c>
      <c r="B3017" s="948">
        <v>633</v>
      </c>
      <c r="C3017" s="948" t="s">
        <v>362</v>
      </c>
      <c r="D3017" s="947" t="s">
        <v>2</v>
      </c>
      <c r="E3017" s="950">
        <v>34</v>
      </c>
      <c r="F3017" s="950">
        <v>2</v>
      </c>
      <c r="G3017" s="951">
        <v>23.5</v>
      </c>
      <c r="H3017" s="951">
        <v>24.31</v>
      </c>
      <c r="I3017" s="18"/>
    </row>
    <row r="3018" spans="1:9">
      <c r="A3018" s="943">
        <v>1</v>
      </c>
      <c r="B3018" s="944">
        <v>633.1</v>
      </c>
      <c r="C3018" s="944" t="s">
        <v>363</v>
      </c>
      <c r="D3018" s="943" t="s">
        <v>2</v>
      </c>
      <c r="E3018" s="945">
        <v>20</v>
      </c>
      <c r="F3018" s="945">
        <v>2</v>
      </c>
      <c r="G3018" s="946">
        <v>34.5</v>
      </c>
      <c r="H3018" s="946">
        <v>31.58</v>
      </c>
    </row>
    <row r="3019" spans="1:9" s="26" customFormat="1">
      <c r="A3019" s="947">
        <v>1</v>
      </c>
      <c r="B3019" s="948">
        <v>634</v>
      </c>
      <c r="C3019" s="948" t="s">
        <v>364</v>
      </c>
      <c r="D3019" s="947" t="s">
        <v>2</v>
      </c>
      <c r="E3019" s="950">
        <v>39</v>
      </c>
      <c r="F3019" s="950">
        <v>3</v>
      </c>
      <c r="G3019" s="951">
        <v>363.58</v>
      </c>
      <c r="H3019" s="951">
        <v>332.32</v>
      </c>
      <c r="I3019" s="18"/>
    </row>
    <row r="3020" spans="1:9">
      <c r="A3020" s="943">
        <v>1</v>
      </c>
      <c r="B3020" s="944">
        <v>634.1</v>
      </c>
      <c r="C3020" s="944" t="s">
        <v>365</v>
      </c>
      <c r="D3020" s="943" t="s">
        <v>2</v>
      </c>
      <c r="E3020" s="945">
        <v>160</v>
      </c>
      <c r="F3020" s="945">
        <v>2</v>
      </c>
      <c r="G3020" s="946">
        <v>462.86</v>
      </c>
      <c r="H3020" s="946">
        <v>481.31</v>
      </c>
    </row>
    <row r="3021" spans="1:9" s="26" customFormat="1">
      <c r="A3021" s="947">
        <v>1</v>
      </c>
      <c r="B3021" s="948">
        <v>644.048</v>
      </c>
      <c r="C3021" s="948" t="s">
        <v>2428</v>
      </c>
      <c r="D3021" s="947" t="s">
        <v>17</v>
      </c>
      <c r="E3021" s="949">
        <v>1080</v>
      </c>
      <c r="F3021" s="950">
        <v>1</v>
      </c>
      <c r="G3021" s="951">
        <v>57</v>
      </c>
      <c r="H3021" s="951">
        <v>57</v>
      </c>
      <c r="I3021" s="18"/>
    </row>
    <row r="3022" spans="1:9">
      <c r="A3022" s="943">
        <v>1</v>
      </c>
      <c r="B3022" s="944">
        <v>644.08399999999995</v>
      </c>
      <c r="C3022" s="944" t="s">
        <v>2429</v>
      </c>
      <c r="D3022" s="943" t="s">
        <v>17</v>
      </c>
      <c r="E3022" s="945">
        <v>100</v>
      </c>
      <c r="F3022" s="945">
        <v>1</v>
      </c>
      <c r="G3022" s="946">
        <v>162.5</v>
      </c>
      <c r="H3022" s="946">
        <v>151.25</v>
      </c>
    </row>
    <row r="3023" spans="1:9" s="26" customFormat="1">
      <c r="A3023" s="947">
        <v>1</v>
      </c>
      <c r="B3023" s="948">
        <v>644.096</v>
      </c>
      <c r="C3023" s="948" t="s">
        <v>2430</v>
      </c>
      <c r="D3023" s="947" t="s">
        <v>17</v>
      </c>
      <c r="E3023" s="950">
        <v>120</v>
      </c>
      <c r="F3023" s="950">
        <v>1</v>
      </c>
      <c r="G3023" s="951">
        <v>173</v>
      </c>
      <c r="H3023" s="951">
        <v>166.5</v>
      </c>
      <c r="I3023" s="18"/>
    </row>
    <row r="3024" spans="1:9">
      <c r="A3024" s="943">
        <v>1</v>
      </c>
      <c r="B3024" s="944">
        <v>645.048</v>
      </c>
      <c r="C3024" s="944" t="s">
        <v>373</v>
      </c>
      <c r="D3024" s="943" t="s">
        <v>17</v>
      </c>
      <c r="E3024" s="945">
        <v>560</v>
      </c>
      <c r="F3024" s="945">
        <v>1</v>
      </c>
      <c r="G3024" s="946">
        <v>75</v>
      </c>
      <c r="H3024" s="946">
        <v>80.48</v>
      </c>
    </row>
    <row r="3025" spans="1:9" s="26" customFormat="1">
      <c r="A3025" s="947">
        <v>1</v>
      </c>
      <c r="B3025" s="948">
        <v>650.08399999999995</v>
      </c>
      <c r="C3025" s="948" t="s">
        <v>2466</v>
      </c>
      <c r="D3025" s="947" t="s">
        <v>17</v>
      </c>
      <c r="E3025" s="950">
        <v>30</v>
      </c>
      <c r="F3025" s="950">
        <v>1</v>
      </c>
      <c r="G3025" s="951">
        <v>760</v>
      </c>
      <c r="H3025" s="951">
        <v>790</v>
      </c>
      <c r="I3025" s="18"/>
    </row>
    <row r="3026" spans="1:9">
      <c r="A3026" s="943">
        <v>1</v>
      </c>
      <c r="B3026" s="944">
        <v>650.096</v>
      </c>
      <c r="C3026" s="944" t="s">
        <v>1420</v>
      </c>
      <c r="D3026" s="943" t="s">
        <v>17</v>
      </c>
      <c r="E3026" s="945">
        <v>30</v>
      </c>
      <c r="F3026" s="945">
        <v>1</v>
      </c>
      <c r="G3026" s="946">
        <v>815</v>
      </c>
      <c r="H3026" s="946">
        <v>843.33</v>
      </c>
    </row>
    <row r="3027" spans="1:9" s="26" customFormat="1">
      <c r="A3027" s="947">
        <v>1</v>
      </c>
      <c r="B3027" s="948">
        <v>652.048</v>
      </c>
      <c r="C3027" s="948" t="s">
        <v>380</v>
      </c>
      <c r="D3027" s="947" t="s">
        <v>2</v>
      </c>
      <c r="E3027" s="950">
        <v>28</v>
      </c>
      <c r="F3027" s="950">
        <v>1</v>
      </c>
      <c r="G3027" s="951">
        <v>270</v>
      </c>
      <c r="H3027" s="951">
        <v>255.71</v>
      </c>
      <c r="I3027" s="18"/>
    </row>
    <row r="3028" spans="1:9">
      <c r="A3028" s="943">
        <v>1</v>
      </c>
      <c r="B3028" s="944">
        <v>654.08399999999995</v>
      </c>
      <c r="C3028" s="944" t="s">
        <v>2488</v>
      </c>
      <c r="D3028" s="943" t="s">
        <v>17</v>
      </c>
      <c r="E3028" s="945">
        <v>75</v>
      </c>
      <c r="F3028" s="945">
        <v>1</v>
      </c>
      <c r="G3028" s="946">
        <v>98</v>
      </c>
      <c r="H3028" s="946">
        <v>98.67</v>
      </c>
    </row>
    <row r="3029" spans="1:9" s="26" customFormat="1">
      <c r="A3029" s="947">
        <v>1</v>
      </c>
      <c r="B3029" s="948">
        <v>654.096</v>
      </c>
      <c r="C3029" s="948" t="s">
        <v>2489</v>
      </c>
      <c r="D3029" s="947" t="s">
        <v>17</v>
      </c>
      <c r="E3029" s="950">
        <v>90</v>
      </c>
      <c r="F3029" s="950">
        <v>1</v>
      </c>
      <c r="G3029" s="951">
        <v>107.5</v>
      </c>
      <c r="H3029" s="951">
        <v>108.33</v>
      </c>
      <c r="I3029" s="18"/>
    </row>
    <row r="3030" spans="1:9">
      <c r="A3030" s="943">
        <v>1</v>
      </c>
      <c r="B3030" s="944">
        <v>657</v>
      </c>
      <c r="C3030" s="944" t="s">
        <v>387</v>
      </c>
      <c r="D3030" s="943" t="s">
        <v>17</v>
      </c>
      <c r="E3030" s="952">
        <v>8798</v>
      </c>
      <c r="F3030" s="945">
        <v>4</v>
      </c>
      <c r="G3030" s="946">
        <v>29</v>
      </c>
      <c r="H3030" s="946">
        <v>27.77</v>
      </c>
    </row>
    <row r="3031" spans="1:9" s="26" customFormat="1">
      <c r="A3031" s="947">
        <v>1</v>
      </c>
      <c r="B3031" s="948">
        <v>657.5</v>
      </c>
      <c r="C3031" s="948" t="s">
        <v>388</v>
      </c>
      <c r="D3031" s="947" t="s">
        <v>17</v>
      </c>
      <c r="E3031" s="949">
        <v>3400</v>
      </c>
      <c r="F3031" s="950">
        <v>1</v>
      </c>
      <c r="G3031" s="951">
        <v>15</v>
      </c>
      <c r="H3031" s="951">
        <v>16.25</v>
      </c>
      <c r="I3031" s="18"/>
    </row>
    <row r="3032" spans="1:9">
      <c r="A3032" s="943">
        <v>1</v>
      </c>
      <c r="B3032" s="944">
        <v>665</v>
      </c>
      <c r="C3032" s="944" t="s">
        <v>390</v>
      </c>
      <c r="D3032" s="943" t="s">
        <v>17</v>
      </c>
      <c r="E3032" s="945">
        <v>360</v>
      </c>
      <c r="F3032" s="945">
        <v>1</v>
      </c>
      <c r="G3032" s="946">
        <v>28.58</v>
      </c>
      <c r="H3032" s="946">
        <v>36.4</v>
      </c>
    </row>
    <row r="3033" spans="1:9" s="26" customFormat="1">
      <c r="A3033" s="947">
        <v>1</v>
      </c>
      <c r="B3033" s="948">
        <v>666</v>
      </c>
      <c r="C3033" s="948" t="s">
        <v>391</v>
      </c>
      <c r="D3033" s="947" t="s">
        <v>17</v>
      </c>
      <c r="E3033" s="950">
        <v>795</v>
      </c>
      <c r="F3033" s="950">
        <v>2</v>
      </c>
      <c r="G3033" s="951">
        <v>60</v>
      </c>
      <c r="H3033" s="951">
        <v>55.14</v>
      </c>
      <c r="I3033" s="18"/>
    </row>
    <row r="3034" spans="1:9">
      <c r="A3034" s="943">
        <v>1</v>
      </c>
      <c r="B3034" s="944">
        <v>669</v>
      </c>
      <c r="C3034" s="944" t="s">
        <v>393</v>
      </c>
      <c r="D3034" s="943" t="s">
        <v>17</v>
      </c>
      <c r="E3034" s="945">
        <v>300</v>
      </c>
      <c r="F3034" s="945">
        <v>1</v>
      </c>
      <c r="G3034" s="946">
        <v>27.5</v>
      </c>
      <c r="H3034" s="946">
        <v>26.25</v>
      </c>
    </row>
    <row r="3035" spans="1:9" s="26" customFormat="1">
      <c r="A3035" s="947">
        <v>1</v>
      </c>
      <c r="B3035" s="948">
        <v>670</v>
      </c>
      <c r="C3035" s="948" t="s">
        <v>394</v>
      </c>
      <c r="D3035" s="947" t="s">
        <v>17</v>
      </c>
      <c r="E3035" s="949">
        <v>2220</v>
      </c>
      <c r="F3035" s="950">
        <v>4</v>
      </c>
      <c r="G3035" s="951">
        <v>60</v>
      </c>
      <c r="H3035" s="951">
        <v>64.8</v>
      </c>
      <c r="I3035" s="18"/>
    </row>
    <row r="3036" spans="1:9">
      <c r="A3036" s="943">
        <v>1</v>
      </c>
      <c r="B3036" s="944">
        <v>685</v>
      </c>
      <c r="C3036" s="944" t="s">
        <v>396</v>
      </c>
      <c r="D3036" s="943" t="s">
        <v>4</v>
      </c>
      <c r="E3036" s="945">
        <v>48</v>
      </c>
      <c r="F3036" s="945">
        <v>1</v>
      </c>
      <c r="G3036" s="946">
        <v>1580.56</v>
      </c>
      <c r="H3036" s="946">
        <v>1401.26</v>
      </c>
    </row>
    <row r="3037" spans="1:9" s="26" customFormat="1">
      <c r="A3037" s="947">
        <v>1</v>
      </c>
      <c r="B3037" s="948">
        <v>690</v>
      </c>
      <c r="C3037" s="948" t="s">
        <v>397</v>
      </c>
      <c r="D3037" s="947" t="s">
        <v>4</v>
      </c>
      <c r="E3037" s="950">
        <v>70</v>
      </c>
      <c r="F3037" s="950">
        <v>1</v>
      </c>
      <c r="G3037" s="951">
        <v>1462.5</v>
      </c>
      <c r="H3037" s="951">
        <v>1447.14</v>
      </c>
      <c r="I3037" s="18"/>
    </row>
    <row r="3038" spans="1:9">
      <c r="A3038" s="943">
        <v>1</v>
      </c>
      <c r="B3038" s="944">
        <v>691</v>
      </c>
      <c r="C3038" s="944" t="s">
        <v>399</v>
      </c>
      <c r="D3038" s="943" t="s">
        <v>17</v>
      </c>
      <c r="E3038" s="945">
        <v>60</v>
      </c>
      <c r="F3038" s="945">
        <v>1</v>
      </c>
      <c r="G3038" s="946">
        <v>515</v>
      </c>
      <c r="H3038" s="946">
        <v>540.83000000000004</v>
      </c>
    </row>
    <row r="3039" spans="1:9" s="26" customFormat="1">
      <c r="A3039" s="947">
        <v>1</v>
      </c>
      <c r="B3039" s="948">
        <v>697</v>
      </c>
      <c r="C3039" s="948" t="s">
        <v>400</v>
      </c>
      <c r="D3039" s="947" t="s">
        <v>17</v>
      </c>
      <c r="E3039" s="949">
        <v>6900</v>
      </c>
      <c r="F3039" s="950">
        <v>3</v>
      </c>
      <c r="G3039" s="951">
        <v>8.75</v>
      </c>
      <c r="H3039" s="951">
        <v>8.14</v>
      </c>
      <c r="I3039" s="18"/>
    </row>
    <row r="3040" spans="1:9">
      <c r="A3040" s="943">
        <v>1</v>
      </c>
      <c r="B3040" s="944">
        <v>697.1</v>
      </c>
      <c r="C3040" s="944" t="s">
        <v>401</v>
      </c>
      <c r="D3040" s="943" t="s">
        <v>2</v>
      </c>
      <c r="E3040" s="952">
        <v>1671</v>
      </c>
      <c r="F3040" s="945">
        <v>7</v>
      </c>
      <c r="G3040" s="946">
        <v>250</v>
      </c>
      <c r="H3040" s="946">
        <v>241.53</v>
      </c>
    </row>
    <row r="3041" spans="1:9" s="26" customFormat="1">
      <c r="A3041" s="947">
        <v>1</v>
      </c>
      <c r="B3041" s="948">
        <v>697.2</v>
      </c>
      <c r="C3041" s="948" t="s">
        <v>402</v>
      </c>
      <c r="D3041" s="947" t="s">
        <v>17</v>
      </c>
      <c r="E3041" s="950">
        <v>800</v>
      </c>
      <c r="F3041" s="950">
        <v>1</v>
      </c>
      <c r="G3041" s="951">
        <v>60</v>
      </c>
      <c r="H3041" s="951">
        <v>58.75</v>
      </c>
      <c r="I3041" s="18"/>
    </row>
    <row r="3042" spans="1:9">
      <c r="A3042" s="943">
        <v>1</v>
      </c>
      <c r="B3042" s="944">
        <v>698.1</v>
      </c>
      <c r="C3042" s="944" t="s">
        <v>403</v>
      </c>
      <c r="D3042" s="943" t="s">
        <v>1</v>
      </c>
      <c r="E3042" s="952">
        <v>7655</v>
      </c>
      <c r="F3042" s="945">
        <v>4</v>
      </c>
      <c r="G3042" s="946">
        <v>8</v>
      </c>
      <c r="H3042" s="946">
        <v>7.63</v>
      </c>
    </row>
    <row r="3043" spans="1:9" s="26" customFormat="1">
      <c r="A3043" s="947">
        <v>1</v>
      </c>
      <c r="B3043" s="948">
        <v>698.3</v>
      </c>
      <c r="C3043" s="948" t="s">
        <v>404</v>
      </c>
      <c r="D3043" s="947" t="s">
        <v>1</v>
      </c>
      <c r="E3043" s="949">
        <v>3420</v>
      </c>
      <c r="F3043" s="950">
        <v>3</v>
      </c>
      <c r="G3043" s="951">
        <v>8</v>
      </c>
      <c r="H3043" s="951">
        <v>7.15</v>
      </c>
      <c r="I3043" s="18"/>
    </row>
    <row r="3044" spans="1:9">
      <c r="A3044" s="943">
        <v>1</v>
      </c>
      <c r="B3044" s="944">
        <v>698.4</v>
      </c>
      <c r="C3044" s="944" t="s">
        <v>405</v>
      </c>
      <c r="D3044" s="943" t="s">
        <v>1</v>
      </c>
      <c r="E3044" s="952">
        <v>1900</v>
      </c>
      <c r="F3044" s="945">
        <v>1</v>
      </c>
      <c r="G3044" s="946">
        <v>5</v>
      </c>
      <c r="H3044" s="946">
        <v>4.5</v>
      </c>
    </row>
    <row r="3045" spans="1:9" s="26" customFormat="1">
      <c r="A3045" s="947">
        <v>1</v>
      </c>
      <c r="B3045" s="948">
        <v>701</v>
      </c>
      <c r="C3045" s="948" t="s">
        <v>406</v>
      </c>
      <c r="D3045" s="947" t="s">
        <v>1</v>
      </c>
      <c r="E3045" s="949">
        <v>59330</v>
      </c>
      <c r="F3045" s="950">
        <v>9</v>
      </c>
      <c r="G3045" s="951">
        <v>95</v>
      </c>
      <c r="H3045" s="951">
        <v>100.12</v>
      </c>
      <c r="I3045" s="18"/>
    </row>
    <row r="3046" spans="1:9">
      <c r="A3046" s="943">
        <v>1</v>
      </c>
      <c r="B3046" s="944">
        <v>701.1</v>
      </c>
      <c r="C3046" s="944" t="s">
        <v>407</v>
      </c>
      <c r="D3046" s="943" t="s">
        <v>1</v>
      </c>
      <c r="E3046" s="952">
        <v>21050</v>
      </c>
      <c r="F3046" s="945">
        <v>6</v>
      </c>
      <c r="G3046" s="946">
        <v>100</v>
      </c>
      <c r="H3046" s="946">
        <v>104.1</v>
      </c>
    </row>
    <row r="3047" spans="1:9" s="26" customFormat="1">
      <c r="A3047" s="947">
        <v>1</v>
      </c>
      <c r="B3047" s="948">
        <v>701.2</v>
      </c>
      <c r="C3047" s="948" t="s">
        <v>1422</v>
      </c>
      <c r="D3047" s="947" t="s">
        <v>1</v>
      </c>
      <c r="E3047" s="949">
        <v>10640</v>
      </c>
      <c r="F3047" s="950">
        <v>8</v>
      </c>
      <c r="G3047" s="951">
        <v>145</v>
      </c>
      <c r="H3047" s="951">
        <v>142.16</v>
      </c>
      <c r="I3047" s="18"/>
    </row>
    <row r="3048" spans="1:9">
      <c r="A3048" s="943">
        <v>1</v>
      </c>
      <c r="B3048" s="944">
        <v>702</v>
      </c>
      <c r="C3048" s="944" t="s">
        <v>1423</v>
      </c>
      <c r="D3048" s="943" t="s">
        <v>7</v>
      </c>
      <c r="E3048" s="952">
        <v>7750</v>
      </c>
      <c r="F3048" s="945">
        <v>8</v>
      </c>
      <c r="G3048" s="946">
        <v>297.5</v>
      </c>
      <c r="H3048" s="946">
        <v>302.39</v>
      </c>
    </row>
    <row r="3049" spans="1:9" s="26" customFormat="1">
      <c r="A3049" s="947">
        <v>1</v>
      </c>
      <c r="B3049" s="948">
        <v>707.2</v>
      </c>
      <c r="C3049" s="948" t="s">
        <v>415</v>
      </c>
      <c r="D3049" s="947" t="s">
        <v>2</v>
      </c>
      <c r="E3049" s="950">
        <v>6</v>
      </c>
      <c r="F3049" s="950">
        <v>1</v>
      </c>
      <c r="G3049" s="951">
        <v>4250</v>
      </c>
      <c r="H3049" s="951">
        <v>4150</v>
      </c>
      <c r="I3049" s="18"/>
    </row>
    <row r="3050" spans="1:9">
      <c r="A3050" s="943">
        <v>1</v>
      </c>
      <c r="B3050" s="944">
        <v>707.9</v>
      </c>
      <c r="C3050" s="944" t="s">
        <v>61</v>
      </c>
      <c r="D3050" s="943" t="s">
        <v>2</v>
      </c>
      <c r="E3050" s="945">
        <v>18</v>
      </c>
      <c r="F3050" s="945">
        <v>1</v>
      </c>
      <c r="G3050" s="946">
        <v>2000</v>
      </c>
      <c r="H3050" s="946">
        <v>2266.67</v>
      </c>
    </row>
    <row r="3051" spans="1:9" s="26" customFormat="1">
      <c r="A3051" s="947">
        <v>1</v>
      </c>
      <c r="B3051" s="948">
        <v>710.3</v>
      </c>
      <c r="C3051" s="948" t="s">
        <v>48</v>
      </c>
      <c r="D3051" s="947" t="s">
        <v>2</v>
      </c>
      <c r="E3051" s="950">
        <v>297</v>
      </c>
      <c r="F3051" s="950">
        <v>3</v>
      </c>
      <c r="G3051" s="951">
        <v>800</v>
      </c>
      <c r="H3051" s="951">
        <v>828.08</v>
      </c>
      <c r="I3051" s="18"/>
    </row>
    <row r="3052" spans="1:9">
      <c r="A3052" s="943">
        <v>1</v>
      </c>
      <c r="B3052" s="944">
        <v>710.4</v>
      </c>
      <c r="C3052" s="944" t="s">
        <v>417</v>
      </c>
      <c r="D3052" s="943" t="s">
        <v>2</v>
      </c>
      <c r="E3052" s="945">
        <v>198</v>
      </c>
      <c r="F3052" s="945">
        <v>3</v>
      </c>
      <c r="G3052" s="946">
        <v>935</v>
      </c>
      <c r="H3052" s="946">
        <v>886.82</v>
      </c>
    </row>
    <row r="3053" spans="1:9" s="26" customFormat="1">
      <c r="A3053" s="947">
        <v>1</v>
      </c>
      <c r="B3053" s="948">
        <v>711</v>
      </c>
      <c r="C3053" s="948" t="s">
        <v>418</v>
      </c>
      <c r="D3053" s="947" t="s">
        <v>2</v>
      </c>
      <c r="E3053" s="950">
        <v>30</v>
      </c>
      <c r="F3053" s="950">
        <v>1</v>
      </c>
      <c r="G3053" s="951">
        <v>700</v>
      </c>
      <c r="H3053" s="951">
        <v>620.83000000000004</v>
      </c>
      <c r="I3053" s="18"/>
    </row>
    <row r="3054" spans="1:9">
      <c r="A3054" s="943">
        <v>1</v>
      </c>
      <c r="B3054" s="944">
        <v>714.1</v>
      </c>
      <c r="C3054" s="944" t="s">
        <v>421</v>
      </c>
      <c r="D3054" s="943" t="s">
        <v>22</v>
      </c>
      <c r="E3054" s="945">
        <v>2</v>
      </c>
      <c r="F3054" s="945">
        <v>1</v>
      </c>
      <c r="G3054" s="946">
        <v>2350</v>
      </c>
      <c r="H3054" s="946">
        <v>2175</v>
      </c>
    </row>
    <row r="3055" spans="1:9" s="26" customFormat="1">
      <c r="A3055" s="947">
        <v>1</v>
      </c>
      <c r="B3055" s="948">
        <v>715</v>
      </c>
      <c r="C3055" s="948" t="s">
        <v>422</v>
      </c>
      <c r="D3055" s="947" t="s">
        <v>2</v>
      </c>
      <c r="E3055" s="950">
        <v>215</v>
      </c>
      <c r="F3055" s="950">
        <v>2</v>
      </c>
      <c r="G3055" s="951">
        <v>200</v>
      </c>
      <c r="H3055" s="951">
        <v>170.5</v>
      </c>
      <c r="I3055" s="18"/>
    </row>
    <row r="3056" spans="1:9">
      <c r="A3056" s="943">
        <v>1</v>
      </c>
      <c r="B3056" s="944">
        <v>734</v>
      </c>
      <c r="C3056" s="944" t="s">
        <v>426</v>
      </c>
      <c r="D3056" s="943" t="s">
        <v>2</v>
      </c>
      <c r="E3056" s="945">
        <v>20</v>
      </c>
      <c r="F3056" s="945">
        <v>1</v>
      </c>
      <c r="G3056" s="946">
        <v>650</v>
      </c>
      <c r="H3056" s="946">
        <v>612.5</v>
      </c>
    </row>
    <row r="3057" spans="1:9" s="26" customFormat="1">
      <c r="A3057" s="947">
        <v>1</v>
      </c>
      <c r="B3057" s="948">
        <v>740</v>
      </c>
      <c r="C3057" s="948" t="s">
        <v>4023</v>
      </c>
      <c r="D3057" s="947" t="s">
        <v>428</v>
      </c>
      <c r="E3057" s="949">
        <v>1903</v>
      </c>
      <c r="F3057" s="950">
        <v>16</v>
      </c>
      <c r="G3057" s="951">
        <v>3000</v>
      </c>
      <c r="H3057" s="951">
        <v>3020.06</v>
      </c>
      <c r="I3057" s="18"/>
    </row>
    <row r="3058" spans="1:9">
      <c r="A3058" s="943">
        <v>1</v>
      </c>
      <c r="B3058" s="944">
        <v>747</v>
      </c>
      <c r="C3058" s="944" t="s">
        <v>429</v>
      </c>
      <c r="D3058" s="943" t="s">
        <v>22</v>
      </c>
      <c r="E3058" s="945">
        <v>3</v>
      </c>
      <c r="F3058" s="945">
        <v>1</v>
      </c>
      <c r="G3058" s="946">
        <v>9640</v>
      </c>
      <c r="H3058" s="946">
        <v>9880</v>
      </c>
    </row>
    <row r="3059" spans="1:9" s="26" customFormat="1">
      <c r="A3059" s="947">
        <v>1</v>
      </c>
      <c r="B3059" s="948">
        <v>748</v>
      </c>
      <c r="C3059" s="948" t="s">
        <v>430</v>
      </c>
      <c r="D3059" s="947" t="s">
        <v>22</v>
      </c>
      <c r="E3059" s="950">
        <v>40</v>
      </c>
      <c r="F3059" s="950">
        <v>10</v>
      </c>
      <c r="G3059" s="951">
        <v>100000</v>
      </c>
      <c r="H3059" s="951">
        <v>90478.25</v>
      </c>
      <c r="I3059" s="18"/>
    </row>
    <row r="3060" spans="1:9">
      <c r="A3060" s="943">
        <v>1</v>
      </c>
      <c r="B3060" s="944">
        <v>748.1</v>
      </c>
      <c r="C3060" s="944" t="s">
        <v>431</v>
      </c>
      <c r="D3060" s="943" t="s">
        <v>2</v>
      </c>
      <c r="E3060" s="945">
        <v>102</v>
      </c>
      <c r="F3060" s="945">
        <v>8</v>
      </c>
      <c r="G3060" s="946">
        <v>1000</v>
      </c>
      <c r="H3060" s="946">
        <v>818.25</v>
      </c>
    </row>
    <row r="3061" spans="1:9" s="26" customFormat="1">
      <c r="A3061" s="947">
        <v>1</v>
      </c>
      <c r="B3061" s="948">
        <v>751</v>
      </c>
      <c r="C3061" s="948" t="s">
        <v>3902</v>
      </c>
      <c r="D3061" s="947" t="s">
        <v>4</v>
      </c>
      <c r="E3061" s="949">
        <v>20837</v>
      </c>
      <c r="F3061" s="950">
        <v>13</v>
      </c>
      <c r="G3061" s="951">
        <v>95</v>
      </c>
      <c r="H3061" s="951">
        <v>90.02</v>
      </c>
      <c r="I3061" s="18"/>
    </row>
    <row r="3062" spans="1:9">
      <c r="A3062" s="943">
        <v>1</v>
      </c>
      <c r="B3062" s="944">
        <v>751.1</v>
      </c>
      <c r="C3062" s="944" t="s">
        <v>4004</v>
      </c>
      <c r="D3062" s="943" t="s">
        <v>4</v>
      </c>
      <c r="E3062" s="952">
        <v>2395</v>
      </c>
      <c r="F3062" s="945">
        <v>5</v>
      </c>
      <c r="G3062" s="946">
        <v>95</v>
      </c>
      <c r="H3062" s="946">
        <v>93.43</v>
      </c>
    </row>
    <row r="3063" spans="1:9" s="26" customFormat="1">
      <c r="A3063" s="947">
        <v>1</v>
      </c>
      <c r="B3063" s="948">
        <v>751.7</v>
      </c>
      <c r="C3063" s="948" t="s">
        <v>4005</v>
      </c>
      <c r="D3063" s="947" t="s">
        <v>4</v>
      </c>
      <c r="E3063" s="950">
        <v>105</v>
      </c>
      <c r="F3063" s="950">
        <v>1</v>
      </c>
      <c r="G3063" s="951">
        <v>75</v>
      </c>
      <c r="H3063" s="951">
        <v>75.430000000000007</v>
      </c>
      <c r="I3063" s="18"/>
    </row>
    <row r="3064" spans="1:9">
      <c r="A3064" s="943">
        <v>1</v>
      </c>
      <c r="B3064" s="944">
        <v>755.35</v>
      </c>
      <c r="C3064" s="944" t="s">
        <v>1428</v>
      </c>
      <c r="D3064" s="943" t="s">
        <v>22</v>
      </c>
      <c r="E3064" s="945">
        <v>6</v>
      </c>
      <c r="F3064" s="945">
        <v>2</v>
      </c>
      <c r="G3064" s="946">
        <v>12225</v>
      </c>
      <c r="H3064" s="946">
        <v>11704.17</v>
      </c>
    </row>
    <row r="3065" spans="1:9" s="26" customFormat="1">
      <c r="A3065" s="947">
        <v>1</v>
      </c>
      <c r="B3065" s="948">
        <v>755.45</v>
      </c>
      <c r="C3065" s="948" t="s">
        <v>1429</v>
      </c>
      <c r="D3065" s="947" t="s">
        <v>1</v>
      </c>
      <c r="E3065" s="949">
        <v>2430</v>
      </c>
      <c r="F3065" s="950">
        <v>2</v>
      </c>
      <c r="G3065" s="951">
        <v>75</v>
      </c>
      <c r="H3065" s="951">
        <v>71.86</v>
      </c>
      <c r="I3065" s="18"/>
    </row>
    <row r="3066" spans="1:9">
      <c r="A3066" s="943">
        <v>1</v>
      </c>
      <c r="B3066" s="944">
        <v>755.75</v>
      </c>
      <c r="C3066" s="944" t="s">
        <v>1430</v>
      </c>
      <c r="D3066" s="943" t="s">
        <v>24</v>
      </c>
      <c r="E3066" s="945">
        <v>288</v>
      </c>
      <c r="F3066" s="945">
        <v>3</v>
      </c>
      <c r="G3066" s="946">
        <v>200</v>
      </c>
      <c r="H3066" s="946">
        <v>224.93</v>
      </c>
    </row>
    <row r="3067" spans="1:9" s="26" customFormat="1">
      <c r="A3067" s="947">
        <v>1</v>
      </c>
      <c r="B3067" s="948">
        <v>755.76</v>
      </c>
      <c r="C3067" s="948" t="s">
        <v>1431</v>
      </c>
      <c r="D3067" s="947" t="s">
        <v>22</v>
      </c>
      <c r="E3067" s="950">
        <v>5</v>
      </c>
      <c r="F3067" s="950">
        <v>1</v>
      </c>
      <c r="G3067" s="951">
        <v>10000</v>
      </c>
      <c r="H3067" s="951">
        <v>7500</v>
      </c>
      <c r="I3067" s="18"/>
    </row>
    <row r="3068" spans="1:9">
      <c r="A3068" s="943">
        <v>1</v>
      </c>
      <c r="B3068" s="944">
        <v>756</v>
      </c>
      <c r="C3068" s="944" t="s">
        <v>432</v>
      </c>
      <c r="D3068" s="943" t="s">
        <v>22</v>
      </c>
      <c r="E3068" s="945">
        <v>18</v>
      </c>
      <c r="F3068" s="945">
        <v>5</v>
      </c>
      <c r="G3068" s="946">
        <v>10000</v>
      </c>
      <c r="H3068" s="946">
        <v>8072.22</v>
      </c>
    </row>
    <row r="3069" spans="1:9" s="26" customFormat="1">
      <c r="A3069" s="947">
        <v>1</v>
      </c>
      <c r="B3069" s="948">
        <v>760</v>
      </c>
      <c r="C3069" s="948" t="s">
        <v>433</v>
      </c>
      <c r="D3069" s="947" t="s">
        <v>4</v>
      </c>
      <c r="E3069" s="950">
        <v>70</v>
      </c>
      <c r="F3069" s="950">
        <v>1</v>
      </c>
      <c r="G3069" s="951">
        <v>132.5</v>
      </c>
      <c r="H3069" s="951">
        <v>129.13999999999999</v>
      </c>
      <c r="I3069" s="18"/>
    </row>
    <row r="3070" spans="1:9">
      <c r="A3070" s="943">
        <v>1</v>
      </c>
      <c r="B3070" s="944">
        <v>765</v>
      </c>
      <c r="C3070" s="944" t="s">
        <v>34</v>
      </c>
      <c r="D3070" s="943" t="s">
        <v>1</v>
      </c>
      <c r="E3070" s="952">
        <v>89870</v>
      </c>
      <c r="F3070" s="945">
        <v>11</v>
      </c>
      <c r="G3070" s="946">
        <v>2.5</v>
      </c>
      <c r="H3070" s="946">
        <v>2.06</v>
      </c>
    </row>
    <row r="3071" spans="1:9" s="26" customFormat="1">
      <c r="A3071" s="947">
        <v>1</v>
      </c>
      <c r="B3071" s="948">
        <v>767.12099999999998</v>
      </c>
      <c r="C3071" s="948" t="s">
        <v>1436</v>
      </c>
      <c r="D3071" s="947" t="s">
        <v>17</v>
      </c>
      <c r="E3071" s="949">
        <v>114540</v>
      </c>
      <c r="F3071" s="950">
        <v>14</v>
      </c>
      <c r="G3071" s="951">
        <v>8</v>
      </c>
      <c r="H3071" s="951">
        <v>7.26</v>
      </c>
      <c r="I3071" s="18"/>
    </row>
    <row r="3072" spans="1:9">
      <c r="A3072" s="943">
        <v>1</v>
      </c>
      <c r="B3072" s="944">
        <v>767.31</v>
      </c>
      <c r="C3072" s="944" t="s">
        <v>439</v>
      </c>
      <c r="D3072" s="943" t="s">
        <v>1</v>
      </c>
      <c r="E3072" s="952">
        <v>16125</v>
      </c>
      <c r="F3072" s="945">
        <v>2</v>
      </c>
      <c r="G3072" s="946">
        <v>13</v>
      </c>
      <c r="H3072" s="946">
        <v>13.14</v>
      </c>
    </row>
    <row r="3073" spans="1:9" s="26" customFormat="1">
      <c r="A3073" s="947">
        <v>1</v>
      </c>
      <c r="B3073" s="948">
        <v>767.4</v>
      </c>
      <c r="C3073" s="948" t="s">
        <v>440</v>
      </c>
      <c r="D3073" s="947" t="s">
        <v>4</v>
      </c>
      <c r="E3073" s="950">
        <v>65</v>
      </c>
      <c r="F3073" s="950">
        <v>1</v>
      </c>
      <c r="G3073" s="951">
        <v>125</v>
      </c>
      <c r="H3073" s="951">
        <v>117.8</v>
      </c>
      <c r="I3073" s="18"/>
    </row>
    <row r="3074" spans="1:9">
      <c r="A3074" s="943">
        <v>1</v>
      </c>
      <c r="B3074" s="944">
        <v>767.9</v>
      </c>
      <c r="C3074" s="944" t="s">
        <v>1437</v>
      </c>
      <c r="D3074" s="943" t="s">
        <v>1</v>
      </c>
      <c r="E3074" s="952">
        <v>2150</v>
      </c>
      <c r="F3074" s="945">
        <v>2</v>
      </c>
      <c r="G3074" s="946">
        <v>10</v>
      </c>
      <c r="H3074" s="946">
        <v>34.380000000000003</v>
      </c>
    </row>
    <row r="3075" spans="1:9" s="26" customFormat="1">
      <c r="A3075" s="947">
        <v>1</v>
      </c>
      <c r="B3075" s="948">
        <v>769</v>
      </c>
      <c r="C3075" s="948" t="s">
        <v>443</v>
      </c>
      <c r="D3075" s="947" t="s">
        <v>17</v>
      </c>
      <c r="E3075" s="949">
        <v>235290</v>
      </c>
      <c r="F3075" s="950">
        <v>8</v>
      </c>
      <c r="G3075" s="951">
        <v>12.75</v>
      </c>
      <c r="H3075" s="951">
        <v>12.51</v>
      </c>
      <c r="I3075" s="18"/>
    </row>
    <row r="3076" spans="1:9">
      <c r="A3076" s="943">
        <v>1</v>
      </c>
      <c r="B3076" s="944">
        <v>772.33299999999997</v>
      </c>
      <c r="C3076" s="944" t="s">
        <v>1470</v>
      </c>
      <c r="D3076" s="943" t="s">
        <v>2</v>
      </c>
      <c r="E3076" s="945">
        <v>56</v>
      </c>
      <c r="F3076" s="945">
        <v>1</v>
      </c>
      <c r="G3076" s="946">
        <v>160.5</v>
      </c>
      <c r="H3076" s="946">
        <v>159.43</v>
      </c>
    </row>
    <row r="3077" spans="1:9" s="26" customFormat="1">
      <c r="A3077" s="947">
        <v>1</v>
      </c>
      <c r="B3077" s="948">
        <v>773.43600000000004</v>
      </c>
      <c r="C3077" s="948" t="s">
        <v>445</v>
      </c>
      <c r="D3077" s="947" t="s">
        <v>2</v>
      </c>
      <c r="E3077" s="950">
        <v>35</v>
      </c>
      <c r="F3077" s="950">
        <v>1</v>
      </c>
      <c r="G3077" s="951">
        <v>750</v>
      </c>
      <c r="H3077" s="951">
        <v>709</v>
      </c>
      <c r="I3077" s="18"/>
    </row>
    <row r="3078" spans="1:9">
      <c r="A3078" s="943">
        <v>1</v>
      </c>
      <c r="B3078" s="944">
        <v>776.55700000000002</v>
      </c>
      <c r="C3078" s="944" t="s">
        <v>4013</v>
      </c>
      <c r="D3078" s="943" t="s">
        <v>2</v>
      </c>
      <c r="E3078" s="945">
        <v>8</v>
      </c>
      <c r="F3078" s="945">
        <v>1</v>
      </c>
      <c r="G3078" s="946">
        <v>931.5</v>
      </c>
      <c r="H3078" s="946">
        <v>902.25</v>
      </c>
    </row>
    <row r="3079" spans="1:9" s="26" customFormat="1">
      <c r="A3079" s="947">
        <v>1</v>
      </c>
      <c r="B3079" s="948">
        <v>776.83600000000001</v>
      </c>
      <c r="C3079" s="948" t="s">
        <v>1477</v>
      </c>
      <c r="D3079" s="947" t="s">
        <v>2</v>
      </c>
      <c r="E3079" s="950">
        <v>10</v>
      </c>
      <c r="F3079" s="950">
        <v>1</v>
      </c>
      <c r="G3079" s="951">
        <v>1200</v>
      </c>
      <c r="H3079" s="951">
        <v>1075.5999999999999</v>
      </c>
      <c r="I3079" s="18"/>
    </row>
    <row r="3080" spans="1:9">
      <c r="A3080" s="943">
        <v>1</v>
      </c>
      <c r="B3080" s="944">
        <v>777.673</v>
      </c>
      <c r="C3080" s="944" t="s">
        <v>4006</v>
      </c>
      <c r="D3080" s="943" t="s">
        <v>2</v>
      </c>
      <c r="E3080" s="945">
        <v>8</v>
      </c>
      <c r="F3080" s="945">
        <v>1</v>
      </c>
      <c r="G3080" s="946">
        <v>954.5</v>
      </c>
      <c r="H3080" s="946">
        <v>931.38</v>
      </c>
    </row>
    <row r="3081" spans="1:9" s="26" customFormat="1">
      <c r="A3081" s="947">
        <v>1</v>
      </c>
      <c r="B3081" s="948">
        <v>778.38300000000004</v>
      </c>
      <c r="C3081" s="948" t="s">
        <v>2674</v>
      </c>
      <c r="D3081" s="947" t="s">
        <v>2</v>
      </c>
      <c r="E3081" s="950">
        <v>4</v>
      </c>
      <c r="F3081" s="950">
        <v>1</v>
      </c>
      <c r="G3081" s="951">
        <v>1500</v>
      </c>
      <c r="H3081" s="951">
        <v>1347.5</v>
      </c>
      <c r="I3081" s="18"/>
    </row>
    <row r="3082" spans="1:9">
      <c r="A3082" s="943">
        <v>1</v>
      </c>
      <c r="B3082" s="944">
        <v>782.53300000000002</v>
      </c>
      <c r="C3082" s="944" t="s">
        <v>4051</v>
      </c>
      <c r="D3082" s="943" t="s">
        <v>2</v>
      </c>
      <c r="E3082" s="945">
        <v>12</v>
      </c>
      <c r="F3082" s="945">
        <v>1</v>
      </c>
      <c r="G3082" s="946">
        <v>795</v>
      </c>
      <c r="H3082" s="946">
        <v>751.75</v>
      </c>
    </row>
    <row r="3083" spans="1:9" s="26" customFormat="1">
      <c r="A3083" s="947">
        <v>1</v>
      </c>
      <c r="B3083" s="948">
        <v>783.03599999999994</v>
      </c>
      <c r="C3083" s="948" t="s">
        <v>4054</v>
      </c>
      <c r="D3083" s="947" t="s">
        <v>2</v>
      </c>
      <c r="E3083" s="950">
        <v>15</v>
      </c>
      <c r="F3083" s="950">
        <v>1</v>
      </c>
      <c r="G3083" s="951">
        <v>500</v>
      </c>
      <c r="H3083" s="951">
        <v>433</v>
      </c>
      <c r="I3083" s="18"/>
    </row>
    <row r="3084" spans="1:9">
      <c r="A3084" s="943">
        <v>1</v>
      </c>
      <c r="B3084" s="944">
        <v>783.44100000000003</v>
      </c>
      <c r="C3084" s="944" t="s">
        <v>4056</v>
      </c>
      <c r="D3084" s="943" t="s">
        <v>2</v>
      </c>
      <c r="E3084" s="945">
        <v>2</v>
      </c>
      <c r="F3084" s="945">
        <v>1</v>
      </c>
      <c r="G3084" s="946">
        <v>902.5</v>
      </c>
      <c r="H3084" s="946">
        <v>902.5</v>
      </c>
    </row>
    <row r="3085" spans="1:9" s="26" customFormat="1">
      <c r="A3085" s="947">
        <v>1</v>
      </c>
      <c r="B3085" s="948">
        <v>783.46699999999998</v>
      </c>
      <c r="C3085" s="948" t="s">
        <v>463</v>
      </c>
      <c r="D3085" s="947" t="s">
        <v>2</v>
      </c>
      <c r="E3085" s="950">
        <v>8</v>
      </c>
      <c r="F3085" s="950">
        <v>1</v>
      </c>
      <c r="G3085" s="951">
        <v>931.5</v>
      </c>
      <c r="H3085" s="951">
        <v>932.88</v>
      </c>
      <c r="I3085" s="18"/>
    </row>
    <row r="3086" spans="1:9">
      <c r="A3086" s="943">
        <v>1</v>
      </c>
      <c r="B3086" s="944">
        <v>790.71900000000005</v>
      </c>
      <c r="C3086" s="944" t="s">
        <v>4009</v>
      </c>
      <c r="D3086" s="943" t="s">
        <v>2</v>
      </c>
      <c r="E3086" s="945">
        <v>182</v>
      </c>
      <c r="F3086" s="945">
        <v>2</v>
      </c>
      <c r="G3086" s="946">
        <v>60</v>
      </c>
      <c r="H3086" s="946">
        <v>78.099999999999994</v>
      </c>
    </row>
    <row r="3087" spans="1:9" s="26" customFormat="1">
      <c r="A3087" s="947">
        <v>1</v>
      </c>
      <c r="B3087" s="948">
        <v>795.00900000000001</v>
      </c>
      <c r="C3087" s="948" t="s">
        <v>4018</v>
      </c>
      <c r="D3087" s="947" t="s">
        <v>2</v>
      </c>
      <c r="E3087" s="950">
        <v>40</v>
      </c>
      <c r="F3087" s="950">
        <v>1</v>
      </c>
      <c r="G3087" s="951">
        <v>149</v>
      </c>
      <c r="H3087" s="951">
        <v>136.5</v>
      </c>
      <c r="I3087" s="18"/>
    </row>
    <row r="3088" spans="1:9">
      <c r="A3088" s="943">
        <v>1</v>
      </c>
      <c r="B3088" s="944">
        <v>804.2</v>
      </c>
      <c r="C3088" s="944" t="s">
        <v>487</v>
      </c>
      <c r="D3088" s="943" t="s">
        <v>17</v>
      </c>
      <c r="E3088" s="952">
        <v>2050</v>
      </c>
      <c r="F3088" s="945">
        <v>2</v>
      </c>
      <c r="G3088" s="946">
        <v>45</v>
      </c>
      <c r="H3088" s="946">
        <v>42.16</v>
      </c>
    </row>
    <row r="3089" spans="1:9" s="26" customFormat="1">
      <c r="A3089" s="947">
        <v>1</v>
      </c>
      <c r="B3089" s="948">
        <v>804.3</v>
      </c>
      <c r="C3089" s="948" t="s">
        <v>488</v>
      </c>
      <c r="D3089" s="947" t="s">
        <v>17</v>
      </c>
      <c r="E3089" s="949">
        <v>12570</v>
      </c>
      <c r="F3089" s="950">
        <v>3</v>
      </c>
      <c r="G3089" s="951">
        <v>52.5</v>
      </c>
      <c r="H3089" s="951">
        <v>53.1</v>
      </c>
      <c r="I3089" s="18"/>
    </row>
    <row r="3090" spans="1:9">
      <c r="A3090" s="943">
        <v>1</v>
      </c>
      <c r="B3090" s="944">
        <v>811.22</v>
      </c>
      <c r="C3090" s="944" t="s">
        <v>496</v>
      </c>
      <c r="D3090" s="943" t="s">
        <v>2</v>
      </c>
      <c r="E3090" s="945">
        <v>44</v>
      </c>
      <c r="F3090" s="945">
        <v>2</v>
      </c>
      <c r="G3090" s="946">
        <v>1600</v>
      </c>
      <c r="H3090" s="946">
        <v>1547.39</v>
      </c>
    </row>
    <row r="3091" spans="1:9" s="26" customFormat="1">
      <c r="A3091" s="947">
        <v>1</v>
      </c>
      <c r="B3091" s="948">
        <v>811.31</v>
      </c>
      <c r="C3091" s="948" t="s">
        <v>501</v>
      </c>
      <c r="D3091" s="947" t="s">
        <v>2</v>
      </c>
      <c r="E3091" s="950">
        <v>132</v>
      </c>
      <c r="F3091" s="950">
        <v>3</v>
      </c>
      <c r="G3091" s="951">
        <v>1350</v>
      </c>
      <c r="H3091" s="951">
        <v>1440.13</v>
      </c>
      <c r="I3091" s="18"/>
    </row>
    <row r="3092" spans="1:9">
      <c r="A3092" s="943">
        <v>1</v>
      </c>
      <c r="B3092" s="944">
        <v>812.13</v>
      </c>
      <c r="C3092" s="944" t="s">
        <v>508</v>
      </c>
      <c r="D3092" s="943" t="s">
        <v>2</v>
      </c>
      <c r="E3092" s="945">
        <v>14</v>
      </c>
      <c r="F3092" s="945">
        <v>1</v>
      </c>
      <c r="G3092" s="946">
        <v>4250</v>
      </c>
      <c r="H3092" s="946">
        <v>4250</v>
      </c>
    </row>
    <row r="3093" spans="1:9" s="26" customFormat="1">
      <c r="A3093" s="947">
        <v>1</v>
      </c>
      <c r="B3093" s="948">
        <v>813.3</v>
      </c>
      <c r="C3093" s="948" t="s">
        <v>511</v>
      </c>
      <c r="D3093" s="947" t="s">
        <v>17</v>
      </c>
      <c r="E3093" s="949">
        <v>1240</v>
      </c>
      <c r="F3093" s="950">
        <v>1</v>
      </c>
      <c r="G3093" s="951">
        <v>1.6</v>
      </c>
      <c r="H3093" s="951">
        <v>1.6</v>
      </c>
      <c r="I3093" s="18"/>
    </row>
    <row r="3094" spans="1:9">
      <c r="A3094" s="943">
        <v>1</v>
      </c>
      <c r="B3094" s="944">
        <v>813.32</v>
      </c>
      <c r="C3094" s="944" t="s">
        <v>513</v>
      </c>
      <c r="D3094" s="943" t="s">
        <v>17</v>
      </c>
      <c r="E3094" s="952">
        <v>5050</v>
      </c>
      <c r="F3094" s="945">
        <v>2</v>
      </c>
      <c r="G3094" s="946">
        <v>2.2999999999999998</v>
      </c>
      <c r="H3094" s="946">
        <v>2.36</v>
      </c>
    </row>
    <row r="3095" spans="1:9" s="26" customFormat="1">
      <c r="A3095" s="947">
        <v>1</v>
      </c>
      <c r="B3095" s="948">
        <v>813.8</v>
      </c>
      <c r="C3095" s="948" t="s">
        <v>1445</v>
      </c>
      <c r="D3095" s="947" t="s">
        <v>22</v>
      </c>
      <c r="E3095" s="950">
        <v>9</v>
      </c>
      <c r="F3095" s="950">
        <v>2</v>
      </c>
      <c r="G3095" s="951">
        <v>7500</v>
      </c>
      <c r="H3095" s="951">
        <v>7270.79</v>
      </c>
      <c r="I3095" s="18"/>
    </row>
    <row r="3096" spans="1:9">
      <c r="A3096" s="943">
        <v>1</v>
      </c>
      <c r="B3096" s="944">
        <v>815.1</v>
      </c>
      <c r="C3096" s="944" t="s">
        <v>526</v>
      </c>
      <c r="D3096" s="943" t="s">
        <v>22</v>
      </c>
      <c r="E3096" s="945">
        <v>6</v>
      </c>
      <c r="F3096" s="945">
        <v>1</v>
      </c>
      <c r="G3096" s="946">
        <v>265250</v>
      </c>
      <c r="H3096" s="946">
        <v>227573.93</v>
      </c>
    </row>
    <row r="3097" spans="1:9" s="26" customFormat="1">
      <c r="A3097" s="947">
        <v>1</v>
      </c>
      <c r="B3097" s="948">
        <v>816.01</v>
      </c>
      <c r="C3097" s="948" t="s">
        <v>531</v>
      </c>
      <c r="D3097" s="947" t="s">
        <v>22</v>
      </c>
      <c r="E3097" s="950">
        <v>12</v>
      </c>
      <c r="F3097" s="950">
        <v>2</v>
      </c>
      <c r="G3097" s="951">
        <v>349500</v>
      </c>
      <c r="H3097" s="951">
        <v>322223.76</v>
      </c>
      <c r="I3097" s="18"/>
    </row>
    <row r="3098" spans="1:9">
      <c r="A3098" s="943">
        <v>1</v>
      </c>
      <c r="B3098" s="944">
        <v>816.02</v>
      </c>
      <c r="C3098" s="944" t="s">
        <v>532</v>
      </c>
      <c r="D3098" s="943" t="s">
        <v>22</v>
      </c>
      <c r="E3098" s="945">
        <v>7</v>
      </c>
      <c r="F3098" s="945">
        <v>1</v>
      </c>
      <c r="G3098" s="946">
        <v>450000</v>
      </c>
      <c r="H3098" s="946">
        <v>446065.87</v>
      </c>
    </row>
    <row r="3099" spans="1:9" s="26" customFormat="1">
      <c r="A3099" s="947">
        <v>1</v>
      </c>
      <c r="B3099" s="948">
        <v>816.81</v>
      </c>
      <c r="C3099" s="948" t="s">
        <v>535</v>
      </c>
      <c r="D3099" s="947" t="s">
        <v>22</v>
      </c>
      <c r="E3099" s="950">
        <v>6</v>
      </c>
      <c r="F3099" s="950">
        <v>1</v>
      </c>
      <c r="G3099" s="951">
        <v>100000</v>
      </c>
      <c r="H3099" s="951">
        <v>102459.43</v>
      </c>
      <c r="I3099" s="18"/>
    </row>
    <row r="3100" spans="1:9">
      <c r="A3100" s="943">
        <v>1</v>
      </c>
      <c r="B3100" s="944">
        <v>816.9</v>
      </c>
      <c r="C3100" s="944" t="s">
        <v>536</v>
      </c>
      <c r="D3100" s="943" t="s">
        <v>22</v>
      </c>
      <c r="E3100" s="945">
        <v>6</v>
      </c>
      <c r="F3100" s="945">
        <v>1</v>
      </c>
      <c r="G3100" s="946">
        <v>11340</v>
      </c>
      <c r="H3100" s="946">
        <v>11084.49</v>
      </c>
    </row>
    <row r="3101" spans="1:9" s="26" customFormat="1">
      <c r="A3101" s="947">
        <v>1</v>
      </c>
      <c r="B3101" s="948">
        <v>823.61</v>
      </c>
      <c r="C3101" s="948" t="s">
        <v>545</v>
      </c>
      <c r="D3101" s="947" t="s">
        <v>22</v>
      </c>
      <c r="E3101" s="950">
        <v>2</v>
      </c>
      <c r="F3101" s="950">
        <v>1</v>
      </c>
      <c r="G3101" s="951">
        <v>27400</v>
      </c>
      <c r="H3101" s="951">
        <v>27400</v>
      </c>
      <c r="I3101" s="18"/>
    </row>
    <row r="3102" spans="1:9">
      <c r="A3102" s="943">
        <v>1</v>
      </c>
      <c r="B3102" s="944">
        <v>823.7</v>
      </c>
      <c r="C3102" s="944" t="s">
        <v>547</v>
      </c>
      <c r="D3102" s="943" t="s">
        <v>2</v>
      </c>
      <c r="E3102" s="945">
        <v>15</v>
      </c>
      <c r="F3102" s="945">
        <v>1</v>
      </c>
      <c r="G3102" s="946">
        <v>4500</v>
      </c>
      <c r="H3102" s="946">
        <v>3919.06</v>
      </c>
    </row>
    <row r="3103" spans="1:9" s="26" customFormat="1">
      <c r="A3103" s="947">
        <v>1</v>
      </c>
      <c r="B3103" s="948">
        <v>823.71</v>
      </c>
      <c r="C3103" s="948" t="s">
        <v>548</v>
      </c>
      <c r="D3103" s="947" t="s">
        <v>2</v>
      </c>
      <c r="E3103" s="950">
        <v>3</v>
      </c>
      <c r="F3103" s="950">
        <v>1</v>
      </c>
      <c r="G3103" s="951">
        <v>1500</v>
      </c>
      <c r="H3103" s="951">
        <v>1400</v>
      </c>
      <c r="I3103" s="18"/>
    </row>
    <row r="3104" spans="1:9">
      <c r="A3104" s="943">
        <v>1</v>
      </c>
      <c r="B3104" s="944">
        <v>824.51</v>
      </c>
      <c r="C3104" s="944" t="s">
        <v>550</v>
      </c>
      <c r="D3104" s="943" t="s">
        <v>22</v>
      </c>
      <c r="E3104" s="945">
        <v>7</v>
      </c>
      <c r="F3104" s="945">
        <v>1</v>
      </c>
      <c r="G3104" s="946">
        <v>3800</v>
      </c>
      <c r="H3104" s="946">
        <v>3915.26</v>
      </c>
    </row>
    <row r="3105" spans="1:9" s="26" customFormat="1">
      <c r="A3105" s="947">
        <v>1</v>
      </c>
      <c r="B3105" s="948">
        <v>827.22</v>
      </c>
      <c r="C3105" s="948" t="s">
        <v>3307</v>
      </c>
      <c r="D3105" s="947" t="s">
        <v>2</v>
      </c>
      <c r="E3105" s="950">
        <v>35</v>
      </c>
      <c r="F3105" s="950">
        <v>1</v>
      </c>
      <c r="G3105" s="951">
        <v>300</v>
      </c>
      <c r="H3105" s="951">
        <v>301.81</v>
      </c>
      <c r="I3105" s="18"/>
    </row>
    <row r="3106" spans="1:9">
      <c r="A3106" s="943">
        <v>1</v>
      </c>
      <c r="B3106" s="944">
        <v>831</v>
      </c>
      <c r="C3106" s="944" t="s">
        <v>555</v>
      </c>
      <c r="D3106" s="943" t="s">
        <v>3</v>
      </c>
      <c r="E3106" s="945">
        <v>40</v>
      </c>
      <c r="F3106" s="945">
        <v>1</v>
      </c>
      <c r="G3106" s="946">
        <v>51.25</v>
      </c>
      <c r="H3106" s="946">
        <v>52.81</v>
      </c>
    </row>
    <row r="3107" spans="1:9" s="26" customFormat="1">
      <c r="A3107" s="947">
        <v>1</v>
      </c>
      <c r="B3107" s="948">
        <v>832</v>
      </c>
      <c r="C3107" s="948" t="s">
        <v>556</v>
      </c>
      <c r="D3107" s="947" t="s">
        <v>3</v>
      </c>
      <c r="E3107" s="949">
        <v>11714</v>
      </c>
      <c r="F3107" s="950">
        <v>6</v>
      </c>
      <c r="G3107" s="951">
        <v>17</v>
      </c>
      <c r="H3107" s="951">
        <v>17.82</v>
      </c>
      <c r="I3107" s="18"/>
    </row>
    <row r="3108" spans="1:9">
      <c r="A3108" s="943">
        <v>1</v>
      </c>
      <c r="B3108" s="944">
        <v>833.5</v>
      </c>
      <c r="C3108" s="944" t="s">
        <v>557</v>
      </c>
      <c r="D3108" s="943" t="s">
        <v>2</v>
      </c>
      <c r="E3108" s="945">
        <v>200</v>
      </c>
      <c r="F3108" s="945">
        <v>2</v>
      </c>
      <c r="G3108" s="946">
        <v>7.66</v>
      </c>
      <c r="H3108" s="946">
        <v>7.67</v>
      </c>
    </row>
    <row r="3109" spans="1:9" s="26" customFormat="1">
      <c r="A3109" s="947">
        <v>1</v>
      </c>
      <c r="B3109" s="948">
        <v>833.7</v>
      </c>
      <c r="C3109" s="948" t="s">
        <v>558</v>
      </c>
      <c r="D3109" s="947" t="s">
        <v>2</v>
      </c>
      <c r="E3109" s="950">
        <v>271</v>
      </c>
      <c r="F3109" s="950">
        <v>5</v>
      </c>
      <c r="G3109" s="951">
        <v>90</v>
      </c>
      <c r="H3109" s="951">
        <v>82.63</v>
      </c>
      <c r="I3109" s="18"/>
    </row>
    <row r="3110" spans="1:9">
      <c r="A3110" s="943">
        <v>1</v>
      </c>
      <c r="B3110" s="944">
        <v>841.1</v>
      </c>
      <c r="C3110" s="944" t="s">
        <v>566</v>
      </c>
      <c r="D3110" s="943" t="s">
        <v>2</v>
      </c>
      <c r="E3110" s="945">
        <v>7</v>
      </c>
      <c r="F3110" s="945">
        <v>1</v>
      </c>
      <c r="G3110" s="946">
        <v>3900</v>
      </c>
      <c r="H3110" s="946">
        <v>3807.14</v>
      </c>
    </row>
    <row r="3111" spans="1:9" s="26" customFormat="1">
      <c r="A3111" s="947">
        <v>1</v>
      </c>
      <c r="B3111" s="948">
        <v>847.1</v>
      </c>
      <c r="C3111" s="948" t="s">
        <v>578</v>
      </c>
      <c r="D3111" s="947" t="s">
        <v>2</v>
      </c>
      <c r="E3111" s="949">
        <v>1126</v>
      </c>
      <c r="F3111" s="950">
        <v>5</v>
      </c>
      <c r="G3111" s="951">
        <v>280</v>
      </c>
      <c r="H3111" s="951">
        <v>304</v>
      </c>
      <c r="I3111" s="18"/>
    </row>
    <row r="3112" spans="1:9">
      <c r="A3112" s="943">
        <v>1</v>
      </c>
      <c r="B3112" s="944">
        <v>850.41</v>
      </c>
      <c r="C3112" s="944" t="s">
        <v>580</v>
      </c>
      <c r="D3112" s="943" t="s">
        <v>24</v>
      </c>
      <c r="E3112" s="952">
        <v>50978</v>
      </c>
      <c r="F3112" s="945">
        <v>13</v>
      </c>
      <c r="G3112" s="946">
        <v>70</v>
      </c>
      <c r="H3112" s="946">
        <v>70.709999999999994</v>
      </c>
    </row>
    <row r="3113" spans="1:9" s="26" customFormat="1">
      <c r="A3113" s="947">
        <v>1</v>
      </c>
      <c r="B3113" s="948">
        <v>851.1</v>
      </c>
      <c r="C3113" s="948" t="s">
        <v>581</v>
      </c>
      <c r="D3113" s="947" t="s">
        <v>42</v>
      </c>
      <c r="E3113" s="949">
        <v>5522</v>
      </c>
      <c r="F3113" s="950">
        <v>13</v>
      </c>
      <c r="G3113" s="951">
        <v>250</v>
      </c>
      <c r="H3113" s="951">
        <v>240.89</v>
      </c>
      <c r="I3113" s="18"/>
    </row>
    <row r="3114" spans="1:9">
      <c r="A3114" s="943">
        <v>1</v>
      </c>
      <c r="B3114" s="944">
        <v>852</v>
      </c>
      <c r="C3114" s="944" t="s">
        <v>49</v>
      </c>
      <c r="D3114" s="943" t="s">
        <v>3</v>
      </c>
      <c r="E3114" s="952">
        <v>40246</v>
      </c>
      <c r="F3114" s="945">
        <v>22</v>
      </c>
      <c r="G3114" s="946">
        <v>25</v>
      </c>
      <c r="H3114" s="946">
        <v>25.51</v>
      </c>
    </row>
    <row r="3115" spans="1:9" s="26" customFormat="1">
      <c r="A3115" s="947">
        <v>1</v>
      </c>
      <c r="B3115" s="948">
        <v>853.1</v>
      </c>
      <c r="C3115" s="948" t="s">
        <v>582</v>
      </c>
      <c r="D3115" s="947" t="s">
        <v>2</v>
      </c>
      <c r="E3115" s="950">
        <v>216</v>
      </c>
      <c r="F3115" s="950">
        <v>4</v>
      </c>
      <c r="G3115" s="951">
        <v>200</v>
      </c>
      <c r="H3115" s="951">
        <v>197.76</v>
      </c>
      <c r="I3115" s="18"/>
    </row>
    <row r="3116" spans="1:9">
      <c r="A3116" s="943">
        <v>1</v>
      </c>
      <c r="B3116" s="944">
        <v>853.2</v>
      </c>
      <c r="C3116" s="944" t="s">
        <v>1453</v>
      </c>
      <c r="D3116" s="943" t="s">
        <v>17</v>
      </c>
      <c r="E3116" s="952">
        <v>3700</v>
      </c>
      <c r="F3116" s="945">
        <v>3</v>
      </c>
      <c r="G3116" s="946">
        <v>54</v>
      </c>
      <c r="H3116" s="946">
        <v>58.26</v>
      </c>
    </row>
    <row r="3117" spans="1:9" s="26" customFormat="1">
      <c r="A3117" s="947">
        <v>1</v>
      </c>
      <c r="B3117" s="948">
        <v>853.21</v>
      </c>
      <c r="C3117" s="948" t="s">
        <v>583</v>
      </c>
      <c r="D3117" s="947" t="s">
        <v>17</v>
      </c>
      <c r="E3117" s="949">
        <v>15953</v>
      </c>
      <c r="F3117" s="950">
        <v>8</v>
      </c>
      <c r="G3117" s="951">
        <v>20</v>
      </c>
      <c r="H3117" s="951">
        <v>19.32</v>
      </c>
      <c r="I3117" s="18"/>
    </row>
    <row r="3118" spans="1:9">
      <c r="A3118" s="943">
        <v>1</v>
      </c>
      <c r="B3118" s="944">
        <v>853.23</v>
      </c>
      <c r="C3118" s="944" t="s">
        <v>584</v>
      </c>
      <c r="D3118" s="943" t="s">
        <v>17</v>
      </c>
      <c r="E3118" s="952">
        <v>2600</v>
      </c>
      <c r="F3118" s="945">
        <v>3</v>
      </c>
      <c r="G3118" s="946">
        <v>75</v>
      </c>
      <c r="H3118" s="946">
        <v>75.08</v>
      </c>
    </row>
    <row r="3119" spans="1:9" s="26" customFormat="1">
      <c r="A3119" s="947">
        <v>1</v>
      </c>
      <c r="B3119" s="948">
        <v>853.33</v>
      </c>
      <c r="C3119" s="948" t="s">
        <v>587</v>
      </c>
      <c r="D3119" s="947" t="s">
        <v>17</v>
      </c>
      <c r="E3119" s="949">
        <v>17104</v>
      </c>
      <c r="F3119" s="950">
        <v>8</v>
      </c>
      <c r="G3119" s="951">
        <v>99</v>
      </c>
      <c r="H3119" s="951">
        <v>95.53</v>
      </c>
      <c r="I3119" s="18"/>
    </row>
    <row r="3120" spans="1:9">
      <c r="A3120" s="943">
        <v>1</v>
      </c>
      <c r="B3120" s="944">
        <v>853.40300000000002</v>
      </c>
      <c r="C3120" s="944" t="s">
        <v>588</v>
      </c>
      <c r="D3120" s="943" t="s">
        <v>42</v>
      </c>
      <c r="E3120" s="953">
        <v>3475.8</v>
      </c>
      <c r="F3120" s="945">
        <v>13</v>
      </c>
      <c r="G3120" s="946">
        <v>300</v>
      </c>
      <c r="H3120" s="946">
        <v>245.9</v>
      </c>
    </row>
    <row r="3121" spans="1:9" s="26" customFormat="1">
      <c r="A3121" s="947">
        <v>1</v>
      </c>
      <c r="B3121" s="948">
        <v>853.8</v>
      </c>
      <c r="C3121" s="948" t="s">
        <v>589</v>
      </c>
      <c r="D3121" s="947" t="s">
        <v>42</v>
      </c>
      <c r="E3121" s="950">
        <v>908</v>
      </c>
      <c r="F3121" s="950">
        <v>9</v>
      </c>
      <c r="G3121" s="951">
        <v>250</v>
      </c>
      <c r="H3121" s="951">
        <v>271.07</v>
      </c>
      <c r="I3121" s="18"/>
    </row>
    <row r="3122" spans="1:9">
      <c r="A3122" s="943">
        <v>1</v>
      </c>
      <c r="B3122" s="944">
        <v>854.01599999999996</v>
      </c>
      <c r="C3122" s="944" t="s">
        <v>591</v>
      </c>
      <c r="D3122" s="943" t="s">
        <v>17</v>
      </c>
      <c r="E3122" s="952">
        <v>738340</v>
      </c>
      <c r="F3122" s="945">
        <v>9</v>
      </c>
      <c r="G3122" s="946">
        <v>1</v>
      </c>
      <c r="H3122" s="946">
        <v>0.71</v>
      </c>
    </row>
    <row r="3123" spans="1:9" s="26" customFormat="1">
      <c r="A3123" s="947">
        <v>1</v>
      </c>
      <c r="B3123" s="948">
        <v>854.03599999999994</v>
      </c>
      <c r="C3123" s="948" t="s">
        <v>592</v>
      </c>
      <c r="D3123" s="947" t="s">
        <v>17</v>
      </c>
      <c r="E3123" s="949">
        <v>192910</v>
      </c>
      <c r="F3123" s="950">
        <v>9</v>
      </c>
      <c r="G3123" s="951">
        <v>3</v>
      </c>
      <c r="H3123" s="951">
        <v>2.56</v>
      </c>
      <c r="I3123" s="18"/>
    </row>
    <row r="3124" spans="1:9">
      <c r="A3124" s="943">
        <v>1</v>
      </c>
      <c r="B3124" s="944">
        <v>854.1</v>
      </c>
      <c r="C3124" s="944" t="s">
        <v>593</v>
      </c>
      <c r="D3124" s="943" t="s">
        <v>3</v>
      </c>
      <c r="E3124" s="952">
        <v>84160</v>
      </c>
      <c r="F3124" s="945">
        <v>10</v>
      </c>
      <c r="G3124" s="946">
        <v>3.2</v>
      </c>
      <c r="H3124" s="946">
        <v>2.65</v>
      </c>
    </row>
    <row r="3125" spans="1:9" s="26" customFormat="1">
      <c r="A3125" s="947">
        <v>1</v>
      </c>
      <c r="B3125" s="948">
        <v>854.6</v>
      </c>
      <c r="C3125" s="948" t="s">
        <v>1454</v>
      </c>
      <c r="D3125" s="947" t="s">
        <v>42</v>
      </c>
      <c r="E3125" s="950">
        <v>37</v>
      </c>
      <c r="F3125" s="950">
        <v>5</v>
      </c>
      <c r="G3125" s="951">
        <v>274.07</v>
      </c>
      <c r="H3125" s="951">
        <v>285.39</v>
      </c>
      <c r="I3125" s="18"/>
    </row>
    <row r="3126" spans="1:9">
      <c r="A3126" s="943">
        <v>1</v>
      </c>
      <c r="B3126" s="944">
        <v>856</v>
      </c>
      <c r="C3126" s="944" t="s">
        <v>595</v>
      </c>
      <c r="D3126" s="943" t="s">
        <v>42</v>
      </c>
      <c r="E3126" s="952">
        <v>23504</v>
      </c>
      <c r="F3126" s="945">
        <v>18</v>
      </c>
      <c r="G3126" s="946">
        <v>25</v>
      </c>
      <c r="H3126" s="946">
        <v>21.85</v>
      </c>
    </row>
    <row r="3127" spans="1:9" s="26" customFormat="1">
      <c r="A3127" s="947">
        <v>1</v>
      </c>
      <c r="B3127" s="948">
        <v>856.12</v>
      </c>
      <c r="C3127" s="948" t="s">
        <v>596</v>
      </c>
      <c r="D3127" s="947" t="s">
        <v>42</v>
      </c>
      <c r="E3127" s="949">
        <v>47759</v>
      </c>
      <c r="F3127" s="950">
        <v>22</v>
      </c>
      <c r="G3127" s="951">
        <v>35</v>
      </c>
      <c r="H3127" s="951">
        <v>32.61</v>
      </c>
      <c r="I3127" s="18"/>
    </row>
    <row r="3128" spans="1:9">
      <c r="A3128" s="943">
        <v>1</v>
      </c>
      <c r="B3128" s="944">
        <v>859</v>
      </c>
      <c r="C3128" s="944" t="s">
        <v>28</v>
      </c>
      <c r="D3128" s="943" t="s">
        <v>42</v>
      </c>
      <c r="E3128" s="952">
        <v>3017345</v>
      </c>
      <c r="F3128" s="945">
        <v>17</v>
      </c>
      <c r="G3128" s="946">
        <v>0.35</v>
      </c>
      <c r="H3128" s="946">
        <v>0.32</v>
      </c>
    </row>
    <row r="3129" spans="1:9" s="26" customFormat="1">
      <c r="A3129" s="947">
        <v>1</v>
      </c>
      <c r="B3129" s="948">
        <v>859.1</v>
      </c>
      <c r="C3129" s="948" t="s">
        <v>1455</v>
      </c>
      <c r="D3129" s="947" t="s">
        <v>42</v>
      </c>
      <c r="E3129" s="949">
        <v>30985</v>
      </c>
      <c r="F3129" s="950">
        <v>15</v>
      </c>
      <c r="G3129" s="951">
        <v>10</v>
      </c>
      <c r="H3129" s="951">
        <v>9.3800000000000008</v>
      </c>
      <c r="I3129" s="18"/>
    </row>
    <row r="3130" spans="1:9">
      <c r="A3130" s="943">
        <v>1</v>
      </c>
      <c r="B3130" s="944">
        <v>860.10599999999999</v>
      </c>
      <c r="C3130" s="944" t="s">
        <v>597</v>
      </c>
      <c r="D3130" s="943" t="s">
        <v>17</v>
      </c>
      <c r="E3130" s="952">
        <v>3100</v>
      </c>
      <c r="F3130" s="945">
        <v>4</v>
      </c>
      <c r="G3130" s="946">
        <v>4.5</v>
      </c>
      <c r="H3130" s="946">
        <v>3.79</v>
      </c>
    </row>
    <row r="3131" spans="1:9" s="26" customFormat="1">
      <c r="A3131" s="947">
        <v>1</v>
      </c>
      <c r="B3131" s="948">
        <v>860.11199999999997</v>
      </c>
      <c r="C3131" s="948" t="s">
        <v>598</v>
      </c>
      <c r="D3131" s="947" t="s">
        <v>17</v>
      </c>
      <c r="E3131" s="950">
        <v>120</v>
      </c>
      <c r="F3131" s="950">
        <v>1</v>
      </c>
      <c r="G3131" s="951">
        <v>23</v>
      </c>
      <c r="H3131" s="951">
        <v>23.17</v>
      </c>
      <c r="I3131" s="18"/>
    </row>
    <row r="3132" spans="1:9">
      <c r="A3132" s="943">
        <v>1</v>
      </c>
      <c r="B3132" s="944">
        <v>861.10599999999999</v>
      </c>
      <c r="C3132" s="944" t="s">
        <v>599</v>
      </c>
      <c r="D3132" s="943" t="s">
        <v>17</v>
      </c>
      <c r="E3132" s="952">
        <v>3160</v>
      </c>
      <c r="F3132" s="945">
        <v>4</v>
      </c>
      <c r="G3132" s="946">
        <v>10.25</v>
      </c>
      <c r="H3132" s="946">
        <v>10.55</v>
      </c>
    </row>
    <row r="3133" spans="1:9" s="26" customFormat="1">
      <c r="A3133" s="947">
        <v>1</v>
      </c>
      <c r="B3133" s="948">
        <v>864</v>
      </c>
      <c r="C3133" s="948" t="s">
        <v>601</v>
      </c>
      <c r="D3133" s="947" t="s">
        <v>3</v>
      </c>
      <c r="E3133" s="950">
        <v>450</v>
      </c>
      <c r="F3133" s="950">
        <v>1</v>
      </c>
      <c r="G3133" s="951">
        <v>28</v>
      </c>
      <c r="H3133" s="951">
        <v>29.8</v>
      </c>
      <c r="I3133" s="18"/>
    </row>
    <row r="3134" spans="1:9">
      <c r="A3134" s="943">
        <v>1</v>
      </c>
      <c r="B3134" s="944">
        <v>864.04</v>
      </c>
      <c r="C3134" s="944" t="s">
        <v>1456</v>
      </c>
      <c r="D3134" s="943" t="s">
        <v>3</v>
      </c>
      <c r="E3134" s="952">
        <v>1095</v>
      </c>
      <c r="F3134" s="945">
        <v>2</v>
      </c>
      <c r="G3134" s="946">
        <v>27.5</v>
      </c>
      <c r="H3134" s="946">
        <v>27.8</v>
      </c>
    </row>
    <row r="3135" spans="1:9" s="26" customFormat="1">
      <c r="A3135" s="947">
        <v>1</v>
      </c>
      <c r="B3135" s="948">
        <v>864.07</v>
      </c>
      <c r="C3135" s="948" t="s">
        <v>604</v>
      </c>
      <c r="D3135" s="947" t="s">
        <v>3</v>
      </c>
      <c r="E3135" s="949">
        <v>12000</v>
      </c>
      <c r="F3135" s="950">
        <v>1</v>
      </c>
      <c r="G3135" s="951">
        <v>7</v>
      </c>
      <c r="H3135" s="951">
        <v>7</v>
      </c>
      <c r="I3135" s="18"/>
    </row>
    <row r="3136" spans="1:9">
      <c r="A3136" s="943">
        <v>1</v>
      </c>
      <c r="B3136" s="944">
        <v>864.31</v>
      </c>
      <c r="C3136" s="944" t="s">
        <v>605</v>
      </c>
      <c r="D3136" s="943" t="s">
        <v>2</v>
      </c>
      <c r="E3136" s="952">
        <v>2688</v>
      </c>
      <c r="F3136" s="945">
        <v>3</v>
      </c>
      <c r="G3136" s="946">
        <v>55</v>
      </c>
      <c r="H3136" s="946">
        <v>55</v>
      </c>
    </row>
    <row r="3137" spans="1:9" s="26" customFormat="1">
      <c r="A3137" s="947">
        <v>1</v>
      </c>
      <c r="B3137" s="948">
        <v>864.32</v>
      </c>
      <c r="C3137" s="948" t="s">
        <v>606</v>
      </c>
      <c r="D3137" s="947" t="s">
        <v>2</v>
      </c>
      <c r="E3137" s="950">
        <v>400</v>
      </c>
      <c r="F3137" s="950">
        <v>1</v>
      </c>
      <c r="G3137" s="951">
        <v>55</v>
      </c>
      <c r="H3137" s="951">
        <v>57.5</v>
      </c>
      <c r="I3137" s="18"/>
    </row>
    <row r="3138" spans="1:9">
      <c r="A3138" s="943">
        <v>1</v>
      </c>
      <c r="B3138" s="944">
        <v>864.33</v>
      </c>
      <c r="C3138" s="944" t="s">
        <v>607</v>
      </c>
      <c r="D3138" s="943" t="s">
        <v>2</v>
      </c>
      <c r="E3138" s="945">
        <v>100</v>
      </c>
      <c r="F3138" s="945">
        <v>1</v>
      </c>
      <c r="G3138" s="946">
        <v>55</v>
      </c>
      <c r="H3138" s="946">
        <v>57.5</v>
      </c>
    </row>
    <row r="3139" spans="1:9" s="26" customFormat="1">
      <c r="A3139" s="947">
        <v>1</v>
      </c>
      <c r="B3139" s="948">
        <v>864.34</v>
      </c>
      <c r="C3139" s="948" t="s">
        <v>608</v>
      </c>
      <c r="D3139" s="947" t="s">
        <v>2</v>
      </c>
      <c r="E3139" s="950">
        <v>100</v>
      </c>
      <c r="F3139" s="950">
        <v>1</v>
      </c>
      <c r="G3139" s="951">
        <v>55</v>
      </c>
      <c r="H3139" s="951">
        <v>57.5</v>
      </c>
      <c r="I3139" s="18"/>
    </row>
    <row r="3140" spans="1:9">
      <c r="A3140" s="943">
        <v>1</v>
      </c>
      <c r="B3140" s="944">
        <v>864.35</v>
      </c>
      <c r="C3140" s="944" t="s">
        <v>609</v>
      </c>
      <c r="D3140" s="943" t="s">
        <v>2</v>
      </c>
      <c r="E3140" s="945">
        <v>595</v>
      </c>
      <c r="F3140" s="945">
        <v>1</v>
      </c>
      <c r="G3140" s="946">
        <v>63</v>
      </c>
      <c r="H3140" s="946">
        <v>63.43</v>
      </c>
    </row>
    <row r="3141" spans="1:9" s="26" customFormat="1">
      <c r="A3141" s="947">
        <v>1</v>
      </c>
      <c r="B3141" s="948">
        <v>866.10599999999999</v>
      </c>
      <c r="C3141" s="948" t="s">
        <v>25</v>
      </c>
      <c r="D3141" s="947" t="s">
        <v>17</v>
      </c>
      <c r="E3141" s="949">
        <v>2000</v>
      </c>
      <c r="F3141" s="950">
        <v>1</v>
      </c>
      <c r="G3141" s="951">
        <v>1.38</v>
      </c>
      <c r="H3141" s="951">
        <v>1.38</v>
      </c>
      <c r="I3141" s="18"/>
    </row>
    <row r="3142" spans="1:9">
      <c r="A3142" s="943">
        <v>1</v>
      </c>
      <c r="B3142" s="944">
        <v>866.11199999999997</v>
      </c>
      <c r="C3142" s="944" t="s">
        <v>610</v>
      </c>
      <c r="D3142" s="943" t="s">
        <v>17</v>
      </c>
      <c r="E3142" s="945">
        <v>200</v>
      </c>
      <c r="F3142" s="945">
        <v>1</v>
      </c>
      <c r="G3142" s="946">
        <v>7.5</v>
      </c>
      <c r="H3142" s="946">
        <v>7.5</v>
      </c>
    </row>
    <row r="3143" spans="1:9" s="26" customFormat="1">
      <c r="A3143" s="947">
        <v>1</v>
      </c>
      <c r="B3143" s="948">
        <v>866.20600000000002</v>
      </c>
      <c r="C3143" s="948" t="s">
        <v>611</v>
      </c>
      <c r="D3143" s="947" t="s">
        <v>17</v>
      </c>
      <c r="E3143" s="949">
        <v>13700</v>
      </c>
      <c r="F3143" s="950">
        <v>4</v>
      </c>
      <c r="G3143" s="951">
        <v>5.55</v>
      </c>
      <c r="H3143" s="951">
        <v>4.37</v>
      </c>
      <c r="I3143" s="18"/>
    </row>
    <row r="3144" spans="1:9">
      <c r="A3144" s="943">
        <v>1</v>
      </c>
      <c r="B3144" s="944">
        <v>866.21199999999999</v>
      </c>
      <c r="C3144" s="944" t="s">
        <v>612</v>
      </c>
      <c r="D3144" s="943" t="s">
        <v>17</v>
      </c>
      <c r="E3144" s="945">
        <v>560</v>
      </c>
      <c r="F3144" s="945">
        <v>1</v>
      </c>
      <c r="G3144" s="946">
        <v>12</v>
      </c>
      <c r="H3144" s="946">
        <v>12</v>
      </c>
    </row>
    <row r="3145" spans="1:9" s="26" customFormat="1">
      <c r="A3145" s="947">
        <v>1</v>
      </c>
      <c r="B3145" s="948">
        <v>867.10599999999999</v>
      </c>
      <c r="C3145" s="948" t="s">
        <v>613</v>
      </c>
      <c r="D3145" s="947" t="s">
        <v>17</v>
      </c>
      <c r="E3145" s="949">
        <v>2000</v>
      </c>
      <c r="F3145" s="950">
        <v>1</v>
      </c>
      <c r="G3145" s="951">
        <v>1.38</v>
      </c>
      <c r="H3145" s="951">
        <v>1.38</v>
      </c>
      <c r="I3145" s="18"/>
    </row>
    <row r="3146" spans="1:9">
      <c r="A3146" s="943">
        <v>1</v>
      </c>
      <c r="B3146" s="944">
        <v>867.11199999999997</v>
      </c>
      <c r="C3146" s="944" t="s">
        <v>50</v>
      </c>
      <c r="D3146" s="943" t="s">
        <v>17</v>
      </c>
      <c r="E3146" s="945">
        <v>200</v>
      </c>
      <c r="F3146" s="945">
        <v>1</v>
      </c>
      <c r="G3146" s="946">
        <v>6.5</v>
      </c>
      <c r="H3146" s="946">
        <v>6.5</v>
      </c>
    </row>
    <row r="3147" spans="1:9" s="26" customFormat="1">
      <c r="A3147" s="947">
        <v>1</v>
      </c>
      <c r="B3147" s="948">
        <v>867.20600000000002</v>
      </c>
      <c r="C3147" s="948" t="s">
        <v>614</v>
      </c>
      <c r="D3147" s="947" t="s">
        <v>17</v>
      </c>
      <c r="E3147" s="949">
        <v>10110</v>
      </c>
      <c r="F3147" s="950">
        <v>4</v>
      </c>
      <c r="G3147" s="951">
        <v>6</v>
      </c>
      <c r="H3147" s="951">
        <v>4.8600000000000003</v>
      </c>
      <c r="I3147" s="18"/>
    </row>
    <row r="3148" spans="1:9">
      <c r="A3148" s="943">
        <v>1</v>
      </c>
      <c r="B3148" s="944">
        <v>867.21199999999999</v>
      </c>
      <c r="C3148" s="944" t="s">
        <v>1523</v>
      </c>
      <c r="D3148" s="943" t="s">
        <v>17</v>
      </c>
      <c r="E3148" s="945">
        <v>100</v>
      </c>
      <c r="F3148" s="945">
        <v>1</v>
      </c>
      <c r="G3148" s="946">
        <v>19</v>
      </c>
      <c r="H3148" s="946">
        <v>19</v>
      </c>
    </row>
    <row r="3149" spans="1:9" s="26" customFormat="1">
      <c r="A3149" s="947">
        <v>1</v>
      </c>
      <c r="B3149" s="948">
        <v>874</v>
      </c>
      <c r="C3149" s="948" t="s">
        <v>23</v>
      </c>
      <c r="D3149" s="947" t="s">
        <v>2</v>
      </c>
      <c r="E3149" s="950">
        <v>448</v>
      </c>
      <c r="F3149" s="950">
        <v>4</v>
      </c>
      <c r="G3149" s="951">
        <v>162.5</v>
      </c>
      <c r="H3149" s="951">
        <v>150.41999999999999</v>
      </c>
      <c r="I3149" s="18"/>
    </row>
    <row r="3150" spans="1:9">
      <c r="A3150" s="943">
        <v>1</v>
      </c>
      <c r="B3150" s="944">
        <v>874.1</v>
      </c>
      <c r="C3150" s="944" t="s">
        <v>617</v>
      </c>
      <c r="D3150" s="943" t="s">
        <v>2</v>
      </c>
      <c r="E3150" s="945">
        <v>15</v>
      </c>
      <c r="F3150" s="945">
        <v>1</v>
      </c>
      <c r="G3150" s="946">
        <v>375</v>
      </c>
      <c r="H3150" s="946">
        <v>416.67</v>
      </c>
    </row>
    <row r="3151" spans="1:9" s="26" customFormat="1">
      <c r="A3151" s="947">
        <v>1</v>
      </c>
      <c r="B3151" s="948">
        <v>874.2</v>
      </c>
      <c r="C3151" s="948" t="s">
        <v>618</v>
      </c>
      <c r="D3151" s="947" t="s">
        <v>2</v>
      </c>
      <c r="E3151" s="950">
        <v>441</v>
      </c>
      <c r="F3151" s="950">
        <v>5</v>
      </c>
      <c r="G3151" s="951">
        <v>150</v>
      </c>
      <c r="H3151" s="951">
        <v>152.22999999999999</v>
      </c>
      <c r="I3151" s="18"/>
    </row>
    <row r="3152" spans="1:9">
      <c r="A3152" s="943">
        <v>1</v>
      </c>
      <c r="B3152" s="944">
        <v>874.4</v>
      </c>
      <c r="C3152" s="944" t="s">
        <v>620</v>
      </c>
      <c r="D3152" s="943" t="s">
        <v>2</v>
      </c>
      <c r="E3152" s="945">
        <v>508</v>
      </c>
      <c r="F3152" s="945">
        <v>4</v>
      </c>
      <c r="G3152" s="946">
        <v>45</v>
      </c>
      <c r="H3152" s="946">
        <v>44.35</v>
      </c>
    </row>
    <row r="3153" spans="1:9" s="26" customFormat="1">
      <c r="A3153" s="947">
        <v>1</v>
      </c>
      <c r="B3153" s="948">
        <v>901</v>
      </c>
      <c r="C3153" s="948" t="s">
        <v>624</v>
      </c>
      <c r="D3153" s="947" t="s">
        <v>4</v>
      </c>
      <c r="E3153" s="950">
        <v>356</v>
      </c>
      <c r="F3153" s="950">
        <v>2</v>
      </c>
      <c r="G3153" s="951">
        <v>2750</v>
      </c>
      <c r="H3153" s="951">
        <v>3053.85</v>
      </c>
      <c r="I3153" s="18"/>
    </row>
    <row r="3154" spans="1:9">
      <c r="A3154" s="943">
        <v>1</v>
      </c>
      <c r="B3154" s="944">
        <v>902</v>
      </c>
      <c r="C3154" s="944" t="s">
        <v>3332</v>
      </c>
      <c r="D3154" s="943" t="s">
        <v>4</v>
      </c>
      <c r="E3154" s="945">
        <v>8</v>
      </c>
      <c r="F3154" s="945">
        <v>1</v>
      </c>
      <c r="G3154" s="946">
        <v>1025</v>
      </c>
      <c r="H3154" s="946">
        <v>1200</v>
      </c>
    </row>
    <row r="3155" spans="1:9" s="26" customFormat="1">
      <c r="A3155" s="947">
        <v>1</v>
      </c>
      <c r="B3155" s="948">
        <v>903</v>
      </c>
      <c r="C3155" s="948" t="s">
        <v>626</v>
      </c>
      <c r="D3155" s="947" t="s">
        <v>4</v>
      </c>
      <c r="E3155" s="950">
        <v>21</v>
      </c>
      <c r="F3155" s="950">
        <v>2</v>
      </c>
      <c r="G3155" s="951">
        <v>850</v>
      </c>
      <c r="H3155" s="951">
        <v>816.67</v>
      </c>
      <c r="I3155" s="18"/>
    </row>
    <row r="3156" spans="1:9">
      <c r="A3156" s="943">
        <v>1</v>
      </c>
      <c r="B3156" s="944">
        <v>904</v>
      </c>
      <c r="C3156" s="944" t="s">
        <v>627</v>
      </c>
      <c r="D3156" s="943" t="s">
        <v>4</v>
      </c>
      <c r="E3156" s="945">
        <v>10</v>
      </c>
      <c r="F3156" s="945">
        <v>1</v>
      </c>
      <c r="G3156" s="946">
        <v>2500</v>
      </c>
      <c r="H3156" s="946">
        <v>3000</v>
      </c>
    </row>
    <row r="3157" spans="1:9" s="26" customFormat="1">
      <c r="A3157" s="947">
        <v>1</v>
      </c>
      <c r="B3157" s="948">
        <v>904.3</v>
      </c>
      <c r="C3157" s="948" t="s">
        <v>628</v>
      </c>
      <c r="D3157" s="947" t="s">
        <v>4</v>
      </c>
      <c r="E3157" s="950">
        <v>210</v>
      </c>
      <c r="F3157" s="950">
        <v>1</v>
      </c>
      <c r="G3157" s="951">
        <v>3000</v>
      </c>
      <c r="H3157" s="951">
        <v>2985.71</v>
      </c>
      <c r="I3157" s="18"/>
    </row>
    <row r="3158" spans="1:9">
      <c r="A3158" s="943">
        <v>1</v>
      </c>
      <c r="B3158" s="944">
        <v>904.4</v>
      </c>
      <c r="C3158" s="944" t="s">
        <v>629</v>
      </c>
      <c r="D3158" s="943" t="s">
        <v>4</v>
      </c>
      <c r="E3158" s="945">
        <v>280</v>
      </c>
      <c r="F3158" s="945">
        <v>1</v>
      </c>
      <c r="G3158" s="946">
        <v>1125</v>
      </c>
      <c r="H3158" s="946">
        <v>1118.75</v>
      </c>
    </row>
    <row r="3159" spans="1:9" s="26" customFormat="1">
      <c r="A3159" s="947">
        <v>1</v>
      </c>
      <c r="B3159" s="948">
        <v>905</v>
      </c>
      <c r="C3159" s="948" t="s">
        <v>630</v>
      </c>
      <c r="D3159" s="947" t="s">
        <v>4</v>
      </c>
      <c r="E3159" s="950">
        <v>909</v>
      </c>
      <c r="F3159" s="950">
        <v>12</v>
      </c>
      <c r="G3159" s="951">
        <v>4000</v>
      </c>
      <c r="H3159" s="951">
        <v>4003.51</v>
      </c>
      <c r="I3159" s="18"/>
    </row>
    <row r="3160" spans="1:9">
      <c r="A3160" s="943">
        <v>1</v>
      </c>
      <c r="B3160" s="944">
        <v>908</v>
      </c>
      <c r="C3160" s="944" t="s">
        <v>633</v>
      </c>
      <c r="D3160" s="943" t="s">
        <v>634</v>
      </c>
      <c r="E3160" s="945">
        <v>300</v>
      </c>
      <c r="F3160" s="945">
        <v>1</v>
      </c>
      <c r="G3160" s="946">
        <v>255</v>
      </c>
      <c r="H3160" s="946">
        <v>253.33</v>
      </c>
    </row>
    <row r="3161" spans="1:9" s="26" customFormat="1">
      <c r="A3161" s="947">
        <v>1</v>
      </c>
      <c r="B3161" s="948">
        <v>909.2</v>
      </c>
      <c r="C3161" s="948" t="s">
        <v>635</v>
      </c>
      <c r="D3161" s="947" t="s">
        <v>3</v>
      </c>
      <c r="E3161" s="949">
        <v>1854</v>
      </c>
      <c r="F3161" s="950">
        <v>5</v>
      </c>
      <c r="G3161" s="951">
        <v>165</v>
      </c>
      <c r="H3161" s="951">
        <v>146.07</v>
      </c>
      <c r="I3161" s="18"/>
    </row>
    <row r="3162" spans="1:9">
      <c r="A3162" s="943">
        <v>1</v>
      </c>
      <c r="B3162" s="944">
        <v>910.1</v>
      </c>
      <c r="C3162" s="944" t="s">
        <v>637</v>
      </c>
      <c r="D3162" s="943" t="s">
        <v>100</v>
      </c>
      <c r="E3162" s="952">
        <v>113886</v>
      </c>
      <c r="F3162" s="945">
        <v>14</v>
      </c>
      <c r="G3162" s="946">
        <v>6</v>
      </c>
      <c r="H3162" s="946">
        <v>5.16</v>
      </c>
    </row>
    <row r="3163" spans="1:9" s="26" customFormat="1">
      <c r="A3163" s="947">
        <v>1</v>
      </c>
      <c r="B3163" s="948">
        <v>912</v>
      </c>
      <c r="C3163" s="948" t="s">
        <v>641</v>
      </c>
      <c r="D3163" s="947" t="s">
        <v>2</v>
      </c>
      <c r="E3163" s="949">
        <v>3750</v>
      </c>
      <c r="F3163" s="950">
        <v>2</v>
      </c>
      <c r="G3163" s="951">
        <v>75</v>
      </c>
      <c r="H3163" s="951">
        <v>87</v>
      </c>
      <c r="I3163" s="18"/>
    </row>
    <row r="3164" spans="1:9">
      <c r="A3164" s="943">
        <v>1</v>
      </c>
      <c r="B3164" s="944">
        <v>942.12400000000002</v>
      </c>
      <c r="C3164" s="944" t="s">
        <v>647</v>
      </c>
      <c r="D3164" s="943" t="s">
        <v>17</v>
      </c>
      <c r="E3164" s="952">
        <v>11400</v>
      </c>
      <c r="F3164" s="945">
        <v>1</v>
      </c>
      <c r="G3164" s="946">
        <v>200</v>
      </c>
      <c r="H3164" s="946">
        <v>190</v>
      </c>
    </row>
    <row r="3165" spans="1:9" s="26" customFormat="1">
      <c r="A3165" s="947">
        <v>1</v>
      </c>
      <c r="B3165" s="948">
        <v>944.12400000000002</v>
      </c>
      <c r="C3165" s="948" t="s">
        <v>648</v>
      </c>
      <c r="D3165" s="947" t="s">
        <v>2</v>
      </c>
      <c r="E3165" s="950">
        <v>84</v>
      </c>
      <c r="F3165" s="950">
        <v>1</v>
      </c>
      <c r="G3165" s="951">
        <v>2200</v>
      </c>
      <c r="H3165" s="951">
        <v>2364.67</v>
      </c>
      <c r="I3165" s="18"/>
    </row>
    <row r="3166" spans="1:9">
      <c r="A3166" s="943">
        <v>1</v>
      </c>
      <c r="B3166" s="944">
        <v>948.41</v>
      </c>
      <c r="C3166" s="944" t="s">
        <v>654</v>
      </c>
      <c r="D3166" s="943" t="s">
        <v>2</v>
      </c>
      <c r="E3166" s="945">
        <v>12</v>
      </c>
      <c r="F3166" s="945">
        <v>1</v>
      </c>
      <c r="G3166" s="946">
        <v>9500</v>
      </c>
      <c r="H3166" s="946">
        <v>9166.67</v>
      </c>
    </row>
    <row r="3167" spans="1:9" s="26" customFormat="1">
      <c r="A3167" s="947">
        <v>1</v>
      </c>
      <c r="B3167" s="948">
        <v>948.5</v>
      </c>
      <c r="C3167" s="948" t="s">
        <v>655</v>
      </c>
      <c r="D3167" s="947" t="s">
        <v>2</v>
      </c>
      <c r="E3167" s="950">
        <v>84</v>
      </c>
      <c r="F3167" s="950">
        <v>1</v>
      </c>
      <c r="G3167" s="951">
        <v>225</v>
      </c>
      <c r="H3167" s="951">
        <v>194</v>
      </c>
      <c r="I3167" s="18"/>
    </row>
    <row r="3168" spans="1:9">
      <c r="A3168" s="943">
        <v>1</v>
      </c>
      <c r="B3168" s="944">
        <v>950.1</v>
      </c>
      <c r="C3168" s="944" t="s">
        <v>656</v>
      </c>
      <c r="D3168" s="943" t="s">
        <v>22</v>
      </c>
      <c r="E3168" s="945">
        <v>5</v>
      </c>
      <c r="F3168" s="945">
        <v>1</v>
      </c>
      <c r="G3168" s="946">
        <v>250000</v>
      </c>
      <c r="H3168" s="946">
        <v>285000.02</v>
      </c>
    </row>
    <row r="3169" spans="1:9" s="26" customFormat="1">
      <c r="A3169" s="947">
        <v>1</v>
      </c>
      <c r="B3169" s="948">
        <v>961.20100000000002</v>
      </c>
      <c r="C3169" s="948" t="s">
        <v>660</v>
      </c>
      <c r="D3169" s="947" t="s">
        <v>22</v>
      </c>
      <c r="E3169" s="950">
        <v>7</v>
      </c>
      <c r="F3169" s="950">
        <v>2</v>
      </c>
      <c r="G3169" s="951">
        <v>1102080</v>
      </c>
      <c r="H3169" s="951">
        <v>1143075.71</v>
      </c>
      <c r="I3169" s="18"/>
    </row>
    <row r="3170" spans="1:9">
      <c r="A3170" s="943">
        <v>1</v>
      </c>
      <c r="B3170" s="944">
        <v>961.202</v>
      </c>
      <c r="C3170" s="944" t="s">
        <v>660</v>
      </c>
      <c r="D3170" s="943" t="s">
        <v>22</v>
      </c>
      <c r="E3170" s="945">
        <v>7</v>
      </c>
      <c r="F3170" s="945">
        <v>2</v>
      </c>
      <c r="G3170" s="946">
        <v>1102080</v>
      </c>
      <c r="H3170" s="946">
        <v>1142932.8600000001</v>
      </c>
    </row>
    <row r="3171" spans="1:9" s="26" customFormat="1">
      <c r="A3171" s="947">
        <v>1</v>
      </c>
      <c r="B3171" s="948">
        <v>961.20299999999997</v>
      </c>
      <c r="C3171" s="948" t="s">
        <v>661</v>
      </c>
      <c r="D3171" s="947" t="s">
        <v>22</v>
      </c>
      <c r="E3171" s="950">
        <v>7</v>
      </c>
      <c r="F3171" s="950">
        <v>2</v>
      </c>
      <c r="G3171" s="951">
        <v>519400</v>
      </c>
      <c r="H3171" s="951">
        <v>515844</v>
      </c>
      <c r="I3171" s="18"/>
    </row>
    <row r="3172" spans="1:9">
      <c r="A3172" s="943">
        <v>1</v>
      </c>
      <c r="B3172" s="944">
        <v>961.20399999999995</v>
      </c>
      <c r="C3172" s="944" t="s">
        <v>660</v>
      </c>
      <c r="D3172" s="943" t="s">
        <v>22</v>
      </c>
      <c r="E3172" s="945">
        <v>7</v>
      </c>
      <c r="F3172" s="945">
        <v>2</v>
      </c>
      <c r="G3172" s="946">
        <v>520000</v>
      </c>
      <c r="H3172" s="946">
        <v>515929.71</v>
      </c>
    </row>
    <row r="3173" spans="1:9" s="26" customFormat="1">
      <c r="A3173" s="947">
        <v>1</v>
      </c>
      <c r="B3173" s="948">
        <v>964.7</v>
      </c>
      <c r="C3173" s="948" t="s">
        <v>664</v>
      </c>
      <c r="D3173" s="947" t="s">
        <v>3</v>
      </c>
      <c r="E3173" s="950">
        <v>381</v>
      </c>
      <c r="F3173" s="950">
        <v>2</v>
      </c>
      <c r="G3173" s="951">
        <v>100</v>
      </c>
      <c r="H3173" s="951">
        <v>93.33</v>
      </c>
      <c r="I3173" s="18"/>
    </row>
    <row r="3174" spans="1:9">
      <c r="A3174" s="943">
        <v>1</v>
      </c>
      <c r="B3174" s="944">
        <v>970</v>
      </c>
      <c r="C3174" s="944" t="s">
        <v>3585</v>
      </c>
      <c r="D3174" s="943" t="s">
        <v>3</v>
      </c>
      <c r="E3174" s="952">
        <v>1200</v>
      </c>
      <c r="F3174" s="945">
        <v>1</v>
      </c>
      <c r="G3174" s="946">
        <v>12</v>
      </c>
      <c r="H3174" s="946">
        <v>11.33</v>
      </c>
    </row>
    <row r="3175" spans="1:9" s="26" customFormat="1">
      <c r="A3175" s="947">
        <v>1</v>
      </c>
      <c r="B3175" s="948">
        <v>971</v>
      </c>
      <c r="C3175" s="948" t="s">
        <v>667</v>
      </c>
      <c r="D3175" s="947" t="s">
        <v>17</v>
      </c>
      <c r="E3175" s="950">
        <v>400</v>
      </c>
      <c r="F3175" s="950">
        <v>1</v>
      </c>
      <c r="G3175" s="951">
        <v>347.5</v>
      </c>
      <c r="H3175" s="951">
        <v>342.5</v>
      </c>
      <c r="I3175" s="18"/>
    </row>
    <row r="3176" spans="1:9">
      <c r="A3176" s="943">
        <v>1</v>
      </c>
      <c r="B3176" s="944">
        <v>975.1</v>
      </c>
      <c r="C3176" s="944" t="s">
        <v>3588</v>
      </c>
      <c r="D3176" s="943" t="s">
        <v>17</v>
      </c>
      <c r="E3176" s="945">
        <v>110</v>
      </c>
      <c r="F3176" s="945">
        <v>1</v>
      </c>
      <c r="G3176" s="946">
        <v>1300</v>
      </c>
      <c r="H3176" s="946">
        <v>1297</v>
      </c>
    </row>
    <row r="3177" spans="1:9" s="26" customFormat="1">
      <c r="A3177" s="947">
        <v>1</v>
      </c>
      <c r="B3177" s="948">
        <v>983</v>
      </c>
      <c r="C3177" s="948" t="s">
        <v>671</v>
      </c>
      <c r="D3177" s="947" t="s">
        <v>7</v>
      </c>
      <c r="E3177" s="949">
        <v>1280</v>
      </c>
      <c r="F3177" s="950">
        <v>1</v>
      </c>
      <c r="G3177" s="951">
        <v>90.5</v>
      </c>
      <c r="H3177" s="951">
        <v>97.75</v>
      </c>
      <c r="I3177" s="18"/>
    </row>
    <row r="3178" spans="1:9">
      <c r="A3178" s="943">
        <v>1</v>
      </c>
      <c r="B3178" s="944">
        <v>983.1</v>
      </c>
      <c r="C3178" s="944" t="s">
        <v>672</v>
      </c>
      <c r="D3178" s="943" t="s">
        <v>7</v>
      </c>
      <c r="E3178" s="945">
        <v>540</v>
      </c>
      <c r="F3178" s="945">
        <v>3</v>
      </c>
      <c r="G3178" s="946">
        <v>100</v>
      </c>
      <c r="H3178" s="946">
        <v>110</v>
      </c>
    </row>
    <row r="3179" spans="1:9" s="26" customFormat="1">
      <c r="A3179" s="947">
        <v>1</v>
      </c>
      <c r="B3179" s="948">
        <v>983.11</v>
      </c>
      <c r="C3179" s="948" t="s">
        <v>673</v>
      </c>
      <c r="D3179" s="947" t="s">
        <v>7</v>
      </c>
      <c r="E3179" s="950">
        <v>120</v>
      </c>
      <c r="F3179" s="950">
        <v>1</v>
      </c>
      <c r="G3179" s="951">
        <v>100</v>
      </c>
      <c r="H3179" s="951">
        <v>106.67</v>
      </c>
      <c r="I3179" s="18"/>
    </row>
    <row r="3180" spans="1:9">
      <c r="A3180" s="943">
        <v>1</v>
      </c>
      <c r="B3180" s="944">
        <v>983.3</v>
      </c>
      <c r="C3180" s="944" t="s">
        <v>674</v>
      </c>
      <c r="D3180" s="943" t="s">
        <v>4</v>
      </c>
      <c r="E3180" s="945">
        <v>960</v>
      </c>
      <c r="F3180" s="945">
        <v>1</v>
      </c>
      <c r="G3180" s="946">
        <v>115</v>
      </c>
      <c r="H3180" s="946">
        <v>101.33</v>
      </c>
    </row>
    <row r="3181" spans="1:9" s="26" customFormat="1">
      <c r="A3181" s="947">
        <v>1</v>
      </c>
      <c r="B3181" s="948">
        <v>986</v>
      </c>
      <c r="C3181" s="948" t="s">
        <v>675</v>
      </c>
      <c r="D3181" s="947" t="s">
        <v>7</v>
      </c>
      <c r="E3181" s="949">
        <v>4565</v>
      </c>
      <c r="F3181" s="950">
        <v>6</v>
      </c>
      <c r="G3181" s="951">
        <v>100</v>
      </c>
      <c r="H3181" s="951">
        <v>101.52</v>
      </c>
      <c r="I3181" s="18"/>
    </row>
    <row r="3182" spans="1:9">
      <c r="A3182" s="943">
        <v>1</v>
      </c>
      <c r="B3182" s="944">
        <v>987.02</v>
      </c>
      <c r="C3182" s="944" t="s">
        <v>676</v>
      </c>
      <c r="D3182" s="943" t="s">
        <v>1</v>
      </c>
      <c r="E3182" s="945">
        <v>40</v>
      </c>
      <c r="F3182" s="945">
        <v>1</v>
      </c>
      <c r="G3182" s="946">
        <v>175</v>
      </c>
      <c r="H3182" s="946">
        <v>166.5</v>
      </c>
    </row>
    <row r="3183" spans="1:9" s="26" customFormat="1">
      <c r="A3183" s="947">
        <v>1</v>
      </c>
      <c r="B3183" s="948">
        <v>991.1</v>
      </c>
      <c r="C3183" s="948" t="s">
        <v>678</v>
      </c>
      <c r="D3183" s="947" t="s">
        <v>22</v>
      </c>
      <c r="E3183" s="950">
        <v>6</v>
      </c>
      <c r="F3183" s="950">
        <v>1</v>
      </c>
      <c r="G3183" s="951">
        <v>135500</v>
      </c>
      <c r="H3183" s="951">
        <v>143923.5</v>
      </c>
      <c r="I3183" s="18"/>
    </row>
    <row r="3184" spans="1:9">
      <c r="A3184" s="943">
        <v>1</v>
      </c>
      <c r="B3184" s="944">
        <v>992.31</v>
      </c>
      <c r="C3184" s="944" t="s">
        <v>3612</v>
      </c>
      <c r="D3184" s="943" t="s">
        <v>22</v>
      </c>
      <c r="E3184" s="945">
        <v>3</v>
      </c>
      <c r="F3184" s="945">
        <v>1</v>
      </c>
      <c r="G3184" s="946">
        <v>287500</v>
      </c>
      <c r="H3184" s="946">
        <v>299651</v>
      </c>
    </row>
    <row r="3185" spans="1:9" s="26" customFormat="1">
      <c r="A3185" s="947">
        <v>1</v>
      </c>
      <c r="B3185" s="948">
        <v>994.01</v>
      </c>
      <c r="C3185" s="948" t="s">
        <v>682</v>
      </c>
      <c r="D3185" s="947" t="s">
        <v>22</v>
      </c>
      <c r="E3185" s="950">
        <v>3</v>
      </c>
      <c r="F3185" s="950">
        <v>1</v>
      </c>
      <c r="G3185" s="951">
        <v>72300</v>
      </c>
      <c r="H3185" s="951">
        <v>54468.33</v>
      </c>
      <c r="I3185" s="18"/>
    </row>
    <row r="3186" spans="1:9">
      <c r="A3186" s="943">
        <v>1</v>
      </c>
      <c r="B3186" s="944">
        <v>994.1</v>
      </c>
      <c r="C3186" s="944" t="s">
        <v>683</v>
      </c>
      <c r="D3186" s="943" t="s">
        <v>3</v>
      </c>
      <c r="E3186" s="952">
        <v>12630</v>
      </c>
      <c r="F3186" s="945">
        <v>5</v>
      </c>
      <c r="G3186" s="946">
        <v>21</v>
      </c>
      <c r="H3186" s="946">
        <v>19.440000000000001</v>
      </c>
    </row>
    <row r="3187" spans="1:9" s="26" customFormat="1">
      <c r="A3187" s="947">
        <v>1</v>
      </c>
      <c r="B3187" s="948">
        <v>995</v>
      </c>
      <c r="C3187" s="948" t="s">
        <v>684</v>
      </c>
      <c r="D3187" s="947" t="s">
        <v>22</v>
      </c>
      <c r="E3187" s="950">
        <v>5</v>
      </c>
      <c r="F3187" s="950">
        <v>1</v>
      </c>
      <c r="G3187" s="951">
        <v>1200000</v>
      </c>
      <c r="H3187" s="951">
        <v>1163075.8</v>
      </c>
      <c r="I3187" s="18"/>
    </row>
    <row r="3188" spans="1:9">
      <c r="A3188" s="943">
        <v>1</v>
      </c>
      <c r="B3188" s="944">
        <v>995.01</v>
      </c>
      <c r="C3188" s="944" t="s">
        <v>685</v>
      </c>
      <c r="D3188" s="943" t="s">
        <v>22</v>
      </c>
      <c r="E3188" s="945">
        <v>4</v>
      </c>
      <c r="F3188" s="945">
        <v>1</v>
      </c>
      <c r="G3188" s="946">
        <v>8115817</v>
      </c>
      <c r="H3188" s="946">
        <v>8205241.75</v>
      </c>
    </row>
    <row r="3189" spans="1:9" s="26" customFormat="1">
      <c r="A3189" s="947">
        <v>1</v>
      </c>
      <c r="B3189" s="948">
        <v>996.01</v>
      </c>
      <c r="C3189" s="948" t="s">
        <v>688</v>
      </c>
      <c r="D3189" s="947" t="s">
        <v>22</v>
      </c>
      <c r="E3189" s="950">
        <v>10</v>
      </c>
      <c r="F3189" s="950">
        <v>2</v>
      </c>
      <c r="G3189" s="951">
        <v>931750.25</v>
      </c>
      <c r="H3189" s="951">
        <v>906556.35</v>
      </c>
      <c r="I3189" s="18"/>
    </row>
    <row r="3190" spans="1:9">
      <c r="A3190" s="943">
        <v>1</v>
      </c>
      <c r="B3190" s="944">
        <v>996.31</v>
      </c>
      <c r="C3190" s="944" t="s">
        <v>3627</v>
      </c>
      <c r="D3190" s="943" t="s">
        <v>1</v>
      </c>
      <c r="E3190" s="945">
        <v>300</v>
      </c>
      <c r="F3190" s="945">
        <v>1</v>
      </c>
      <c r="G3190" s="946">
        <v>230</v>
      </c>
      <c r="H3190" s="946">
        <v>220</v>
      </c>
    </row>
    <row r="3191" spans="1:9" s="26" customFormat="1">
      <c r="A3191" s="947">
        <v>2</v>
      </c>
      <c r="B3191" s="948">
        <v>100</v>
      </c>
      <c r="C3191" s="948" t="s">
        <v>51</v>
      </c>
      <c r="D3191" s="947" t="s">
        <v>22</v>
      </c>
      <c r="E3191" s="950">
        <v>29</v>
      </c>
      <c r="F3191" s="950">
        <v>6</v>
      </c>
      <c r="G3191" s="951">
        <v>35500</v>
      </c>
      <c r="H3191" s="951">
        <v>37448.28</v>
      </c>
      <c r="I3191" s="18"/>
    </row>
    <row r="3192" spans="1:9">
      <c r="A3192" s="943">
        <v>2</v>
      </c>
      <c r="B3192" s="944">
        <v>100.002</v>
      </c>
      <c r="C3192" s="944" t="s">
        <v>83</v>
      </c>
      <c r="D3192" s="943" t="s">
        <v>24</v>
      </c>
      <c r="E3192" s="952">
        <v>1000</v>
      </c>
      <c r="F3192" s="945">
        <v>1</v>
      </c>
      <c r="G3192" s="946">
        <v>107.5</v>
      </c>
      <c r="H3192" s="946">
        <v>107.5</v>
      </c>
    </row>
    <row r="3193" spans="1:9" s="26" customFormat="1">
      <c r="A3193" s="947">
        <v>2</v>
      </c>
      <c r="B3193" s="948">
        <v>100.1</v>
      </c>
      <c r="C3193" s="948" t="s">
        <v>85</v>
      </c>
      <c r="D3193" s="947" t="s">
        <v>24</v>
      </c>
      <c r="E3193" s="949">
        <v>29040</v>
      </c>
      <c r="F3193" s="950">
        <v>6</v>
      </c>
      <c r="G3193" s="951">
        <v>124</v>
      </c>
      <c r="H3193" s="951">
        <v>123.48</v>
      </c>
      <c r="I3193" s="18"/>
    </row>
    <row r="3194" spans="1:9">
      <c r="A3194" s="943">
        <v>2</v>
      </c>
      <c r="B3194" s="944">
        <v>100.5</v>
      </c>
      <c r="C3194" s="944" t="s">
        <v>1272</v>
      </c>
      <c r="D3194" s="943" t="s">
        <v>22</v>
      </c>
      <c r="E3194" s="945">
        <v>2</v>
      </c>
      <c r="F3194" s="945">
        <v>1</v>
      </c>
      <c r="G3194" s="946">
        <v>67400</v>
      </c>
      <c r="H3194" s="946">
        <v>67400</v>
      </c>
    </row>
    <row r="3195" spans="1:9" s="26" customFormat="1">
      <c r="A3195" s="947">
        <v>2</v>
      </c>
      <c r="B3195" s="948">
        <v>100.6</v>
      </c>
      <c r="C3195" s="948" t="s">
        <v>1944</v>
      </c>
      <c r="D3195" s="947" t="s">
        <v>22</v>
      </c>
      <c r="E3195" s="950">
        <v>2</v>
      </c>
      <c r="F3195" s="950">
        <v>1</v>
      </c>
      <c r="G3195" s="951">
        <v>92500</v>
      </c>
      <c r="H3195" s="951">
        <v>92500</v>
      </c>
      <c r="I3195" s="18"/>
    </row>
    <row r="3196" spans="1:9">
      <c r="A3196" s="943">
        <v>2</v>
      </c>
      <c r="B3196" s="944">
        <v>100.61</v>
      </c>
      <c r="C3196" s="944" t="s">
        <v>86</v>
      </c>
      <c r="D3196" s="943" t="s">
        <v>22</v>
      </c>
      <c r="E3196" s="945">
        <v>2</v>
      </c>
      <c r="F3196" s="945">
        <v>1</v>
      </c>
      <c r="G3196" s="946">
        <v>94500</v>
      </c>
      <c r="H3196" s="946">
        <v>94500</v>
      </c>
    </row>
    <row r="3197" spans="1:9" s="26" customFormat="1">
      <c r="A3197" s="947">
        <v>2</v>
      </c>
      <c r="B3197" s="948">
        <v>100.7</v>
      </c>
      <c r="C3197" s="948" t="s">
        <v>87</v>
      </c>
      <c r="D3197" s="947" t="s">
        <v>22</v>
      </c>
      <c r="E3197" s="950">
        <v>2</v>
      </c>
      <c r="F3197" s="950">
        <v>1</v>
      </c>
      <c r="G3197" s="951">
        <v>590782.5</v>
      </c>
      <c r="H3197" s="951">
        <v>590782.5</v>
      </c>
      <c r="I3197" s="18"/>
    </row>
    <row r="3198" spans="1:9">
      <c r="A3198" s="943">
        <v>2</v>
      </c>
      <c r="B3198" s="944">
        <v>101</v>
      </c>
      <c r="C3198" s="944" t="s">
        <v>54</v>
      </c>
      <c r="D3198" s="943" t="s">
        <v>55</v>
      </c>
      <c r="E3198" s="945">
        <v>8.1999999999999993</v>
      </c>
      <c r="F3198" s="945">
        <v>7</v>
      </c>
      <c r="G3198" s="946">
        <v>60000</v>
      </c>
      <c r="H3198" s="946">
        <v>60695.65</v>
      </c>
    </row>
    <row r="3199" spans="1:9" s="26" customFormat="1">
      <c r="A3199" s="947">
        <v>2</v>
      </c>
      <c r="B3199" s="948">
        <v>101.1</v>
      </c>
      <c r="C3199" s="948" t="s">
        <v>1273</v>
      </c>
      <c r="D3199" s="947" t="s">
        <v>55</v>
      </c>
      <c r="E3199" s="950">
        <v>37.1</v>
      </c>
      <c r="F3199" s="950">
        <v>4</v>
      </c>
      <c r="G3199" s="951">
        <v>20000</v>
      </c>
      <c r="H3199" s="951">
        <v>19655.560000000001</v>
      </c>
      <c r="I3199" s="18"/>
    </row>
    <row r="3200" spans="1:9">
      <c r="A3200" s="943">
        <v>2</v>
      </c>
      <c r="B3200" s="944">
        <v>102</v>
      </c>
      <c r="C3200" s="944" t="s">
        <v>92</v>
      </c>
      <c r="D3200" s="943" t="s">
        <v>55</v>
      </c>
      <c r="E3200" s="945">
        <v>3.6</v>
      </c>
      <c r="F3200" s="945">
        <v>2</v>
      </c>
      <c r="G3200" s="946">
        <v>21400</v>
      </c>
      <c r="H3200" s="946">
        <v>18800</v>
      </c>
    </row>
    <row r="3201" spans="1:9" s="26" customFormat="1">
      <c r="A3201" s="947">
        <v>2</v>
      </c>
      <c r="B3201" s="948">
        <v>102.01</v>
      </c>
      <c r="C3201" s="948" t="s">
        <v>1950</v>
      </c>
      <c r="D3201" s="947" t="s">
        <v>22</v>
      </c>
      <c r="E3201" s="950">
        <v>3</v>
      </c>
      <c r="F3201" s="950">
        <v>1</v>
      </c>
      <c r="G3201" s="951">
        <v>21375</v>
      </c>
      <c r="H3201" s="951">
        <v>24250</v>
      </c>
      <c r="I3201" s="18"/>
    </row>
    <row r="3202" spans="1:9">
      <c r="A3202" s="943">
        <v>2</v>
      </c>
      <c r="B3202" s="944">
        <v>102.1</v>
      </c>
      <c r="C3202" s="944" t="s">
        <v>93</v>
      </c>
      <c r="D3202" s="943" t="s">
        <v>17</v>
      </c>
      <c r="E3202" s="952">
        <v>36840</v>
      </c>
      <c r="F3202" s="945">
        <v>9</v>
      </c>
      <c r="G3202" s="946">
        <v>13.5</v>
      </c>
      <c r="H3202" s="946">
        <v>14.2</v>
      </c>
    </row>
    <row r="3203" spans="1:9" s="26" customFormat="1">
      <c r="A3203" s="947">
        <v>2</v>
      </c>
      <c r="B3203" s="948">
        <v>102.12</v>
      </c>
      <c r="C3203" s="948" t="s">
        <v>93</v>
      </c>
      <c r="D3203" s="947" t="s">
        <v>2</v>
      </c>
      <c r="E3203" s="949">
        <v>2200</v>
      </c>
      <c r="F3203" s="950">
        <v>1</v>
      </c>
      <c r="G3203" s="951">
        <v>100</v>
      </c>
      <c r="H3203" s="951">
        <v>75</v>
      </c>
      <c r="I3203" s="18"/>
    </row>
    <row r="3204" spans="1:9">
      <c r="A3204" s="943">
        <v>2</v>
      </c>
      <c r="B3204" s="944">
        <v>102.3</v>
      </c>
      <c r="C3204" s="944" t="s">
        <v>3995</v>
      </c>
      <c r="D3204" s="943" t="s">
        <v>24</v>
      </c>
      <c r="E3204" s="945">
        <v>270</v>
      </c>
      <c r="F3204" s="945">
        <v>2</v>
      </c>
      <c r="G3204" s="946">
        <v>700</v>
      </c>
      <c r="H3204" s="946">
        <v>738.64</v>
      </c>
    </row>
    <row r="3205" spans="1:9" s="26" customFormat="1">
      <c r="A3205" s="947">
        <v>2</v>
      </c>
      <c r="B3205" s="948">
        <v>102.33</v>
      </c>
      <c r="C3205" s="948" t="s">
        <v>1275</v>
      </c>
      <c r="D3205" s="947" t="s">
        <v>24</v>
      </c>
      <c r="E3205" s="950">
        <v>96</v>
      </c>
      <c r="F3205" s="950">
        <v>2</v>
      </c>
      <c r="G3205" s="951">
        <v>380</v>
      </c>
      <c r="H3205" s="951">
        <v>434.8</v>
      </c>
      <c r="I3205" s="18"/>
    </row>
    <row r="3206" spans="1:9">
      <c r="A3206" s="943">
        <v>2</v>
      </c>
      <c r="B3206" s="944">
        <v>102.511</v>
      </c>
      <c r="C3206" s="944" t="s">
        <v>4029</v>
      </c>
      <c r="D3206" s="943" t="s">
        <v>2</v>
      </c>
      <c r="E3206" s="945">
        <v>309</v>
      </c>
      <c r="F3206" s="945">
        <v>7</v>
      </c>
      <c r="G3206" s="946">
        <v>500</v>
      </c>
      <c r="H3206" s="946">
        <v>478.44</v>
      </c>
    </row>
    <row r="3207" spans="1:9" s="26" customFormat="1">
      <c r="A3207" s="947">
        <v>2</v>
      </c>
      <c r="B3207" s="948">
        <v>102.521</v>
      </c>
      <c r="C3207" s="948" t="s">
        <v>1276</v>
      </c>
      <c r="D3207" s="947" t="s">
        <v>17</v>
      </c>
      <c r="E3207" s="949">
        <v>5591</v>
      </c>
      <c r="F3207" s="950">
        <v>5</v>
      </c>
      <c r="G3207" s="951">
        <v>10</v>
      </c>
      <c r="H3207" s="951">
        <v>9.0399999999999991</v>
      </c>
      <c r="I3207" s="18"/>
    </row>
    <row r="3208" spans="1:9">
      <c r="A3208" s="943">
        <v>2</v>
      </c>
      <c r="B3208" s="944">
        <v>102.55</v>
      </c>
      <c r="C3208" s="944" t="s">
        <v>1277</v>
      </c>
      <c r="D3208" s="943" t="s">
        <v>24</v>
      </c>
      <c r="E3208" s="945">
        <v>727</v>
      </c>
      <c r="F3208" s="945">
        <v>3</v>
      </c>
      <c r="G3208" s="946">
        <v>175</v>
      </c>
      <c r="H3208" s="946">
        <v>183.21</v>
      </c>
    </row>
    <row r="3209" spans="1:9" s="26" customFormat="1">
      <c r="A3209" s="947">
        <v>2</v>
      </c>
      <c r="B3209" s="948">
        <v>103</v>
      </c>
      <c r="C3209" s="948" t="s">
        <v>35</v>
      </c>
      <c r="D3209" s="947" t="s">
        <v>2</v>
      </c>
      <c r="E3209" s="950">
        <v>248</v>
      </c>
      <c r="F3209" s="950">
        <v>8</v>
      </c>
      <c r="G3209" s="951">
        <v>2000</v>
      </c>
      <c r="H3209" s="951">
        <v>1834.46</v>
      </c>
      <c r="I3209" s="18"/>
    </row>
    <row r="3210" spans="1:9">
      <c r="A3210" s="943">
        <v>2</v>
      </c>
      <c r="B3210" s="944">
        <v>104</v>
      </c>
      <c r="C3210" s="944" t="s">
        <v>94</v>
      </c>
      <c r="D3210" s="943" t="s">
        <v>2</v>
      </c>
      <c r="E3210" s="945">
        <v>258</v>
      </c>
      <c r="F3210" s="945">
        <v>7</v>
      </c>
      <c r="G3210" s="946">
        <v>3450</v>
      </c>
      <c r="H3210" s="946">
        <v>3297.35</v>
      </c>
    </row>
    <row r="3211" spans="1:9" s="26" customFormat="1">
      <c r="A3211" s="947">
        <v>2</v>
      </c>
      <c r="B3211" s="948">
        <v>105</v>
      </c>
      <c r="C3211" s="948" t="s">
        <v>95</v>
      </c>
      <c r="D3211" s="947" t="s">
        <v>2</v>
      </c>
      <c r="E3211" s="950">
        <v>54</v>
      </c>
      <c r="F3211" s="950">
        <v>2</v>
      </c>
      <c r="G3211" s="951">
        <v>750</v>
      </c>
      <c r="H3211" s="951">
        <v>772.5</v>
      </c>
      <c r="I3211" s="18"/>
    </row>
    <row r="3212" spans="1:9">
      <c r="A3212" s="943">
        <v>2</v>
      </c>
      <c r="B3212" s="944">
        <v>106.11</v>
      </c>
      <c r="C3212" s="944" t="s">
        <v>1956</v>
      </c>
      <c r="D3212" s="943" t="s">
        <v>2</v>
      </c>
      <c r="E3212" s="945">
        <v>100</v>
      </c>
      <c r="F3212" s="945">
        <v>1</v>
      </c>
      <c r="G3212" s="946">
        <v>1635</v>
      </c>
      <c r="H3212" s="946">
        <v>1635</v>
      </c>
    </row>
    <row r="3213" spans="1:9" s="26" customFormat="1">
      <c r="A3213" s="947">
        <v>2</v>
      </c>
      <c r="B3213" s="948">
        <v>106.12</v>
      </c>
      <c r="C3213" s="948" t="s">
        <v>96</v>
      </c>
      <c r="D3213" s="947" t="s">
        <v>17</v>
      </c>
      <c r="E3213" s="949">
        <v>2690</v>
      </c>
      <c r="F3213" s="950">
        <v>4</v>
      </c>
      <c r="G3213" s="951">
        <v>87.5</v>
      </c>
      <c r="H3213" s="951">
        <v>98.72</v>
      </c>
      <c r="I3213" s="18"/>
    </row>
    <row r="3214" spans="1:9">
      <c r="A3214" s="943">
        <v>2</v>
      </c>
      <c r="B3214" s="944">
        <v>106.14</v>
      </c>
      <c r="C3214" s="944" t="s">
        <v>1958</v>
      </c>
      <c r="D3214" s="943" t="s">
        <v>2</v>
      </c>
      <c r="E3214" s="945">
        <v>6</v>
      </c>
      <c r="F3214" s="945">
        <v>1</v>
      </c>
      <c r="G3214" s="946">
        <v>5640</v>
      </c>
      <c r="H3214" s="946">
        <v>5570</v>
      </c>
    </row>
    <row r="3215" spans="1:9" s="26" customFormat="1">
      <c r="A3215" s="947">
        <v>2</v>
      </c>
      <c r="B3215" s="948">
        <v>106.15</v>
      </c>
      <c r="C3215" s="948" t="s">
        <v>97</v>
      </c>
      <c r="D3215" s="947" t="s">
        <v>2</v>
      </c>
      <c r="E3215" s="950">
        <v>287</v>
      </c>
      <c r="F3215" s="950">
        <v>6</v>
      </c>
      <c r="G3215" s="951">
        <v>1580</v>
      </c>
      <c r="H3215" s="951">
        <v>1804.89</v>
      </c>
      <c r="I3215" s="18"/>
    </row>
    <row r="3216" spans="1:9">
      <c r="A3216" s="943">
        <v>2</v>
      </c>
      <c r="B3216" s="944">
        <v>106.88</v>
      </c>
      <c r="C3216" s="944" t="s">
        <v>98</v>
      </c>
      <c r="D3216" s="943" t="s">
        <v>2</v>
      </c>
      <c r="E3216" s="945">
        <v>180</v>
      </c>
      <c r="F3216" s="945">
        <v>6</v>
      </c>
      <c r="G3216" s="946">
        <v>6681.5</v>
      </c>
      <c r="H3216" s="946">
        <v>6628.94</v>
      </c>
    </row>
    <row r="3217" spans="1:9" s="26" customFormat="1">
      <c r="A3217" s="947">
        <v>2</v>
      </c>
      <c r="B3217" s="948">
        <v>107.48</v>
      </c>
      <c r="C3217" s="948" t="s">
        <v>101</v>
      </c>
      <c r="D3217" s="947" t="s">
        <v>17</v>
      </c>
      <c r="E3217" s="950">
        <v>160</v>
      </c>
      <c r="F3217" s="950">
        <v>1</v>
      </c>
      <c r="G3217" s="951">
        <v>50</v>
      </c>
      <c r="H3217" s="951">
        <v>45.5</v>
      </c>
      <c r="I3217" s="18"/>
    </row>
    <row r="3218" spans="1:9">
      <c r="A3218" s="943">
        <v>2</v>
      </c>
      <c r="B3218" s="944">
        <v>107.855</v>
      </c>
      <c r="C3218" s="944" t="s">
        <v>102</v>
      </c>
      <c r="D3218" s="943" t="s">
        <v>17</v>
      </c>
      <c r="E3218" s="952">
        <v>8400</v>
      </c>
      <c r="F3218" s="945">
        <v>2</v>
      </c>
      <c r="G3218" s="946">
        <v>80</v>
      </c>
      <c r="H3218" s="946">
        <v>81.67</v>
      </c>
    </row>
    <row r="3219" spans="1:9" s="26" customFormat="1">
      <c r="A3219" s="947">
        <v>2</v>
      </c>
      <c r="B3219" s="948">
        <v>107.97</v>
      </c>
      <c r="C3219" s="948" t="s">
        <v>103</v>
      </c>
      <c r="D3219" s="947" t="s">
        <v>100</v>
      </c>
      <c r="E3219" s="949">
        <v>41025</v>
      </c>
      <c r="F3219" s="950">
        <v>2</v>
      </c>
      <c r="G3219" s="951">
        <v>45</v>
      </c>
      <c r="H3219" s="951">
        <v>47.93</v>
      </c>
      <c r="I3219" s="18"/>
    </row>
    <row r="3220" spans="1:9">
      <c r="A3220" s="943">
        <v>2</v>
      </c>
      <c r="B3220" s="944">
        <v>115.2</v>
      </c>
      <c r="C3220" s="944" t="s">
        <v>105</v>
      </c>
      <c r="D3220" s="943" t="s">
        <v>22</v>
      </c>
      <c r="E3220" s="945">
        <v>5</v>
      </c>
      <c r="F3220" s="945">
        <v>1</v>
      </c>
      <c r="G3220" s="946">
        <v>23000</v>
      </c>
      <c r="H3220" s="946">
        <v>22469.599999999999</v>
      </c>
    </row>
    <row r="3221" spans="1:9" s="26" customFormat="1">
      <c r="A3221" s="947">
        <v>2</v>
      </c>
      <c r="B3221" s="948">
        <v>120</v>
      </c>
      <c r="C3221" s="948" t="s">
        <v>107</v>
      </c>
      <c r="D3221" s="947" t="s">
        <v>4</v>
      </c>
      <c r="E3221" s="949">
        <v>134414</v>
      </c>
      <c r="F3221" s="950">
        <v>7</v>
      </c>
      <c r="G3221" s="951">
        <v>45</v>
      </c>
      <c r="H3221" s="951">
        <v>43.26</v>
      </c>
      <c r="I3221" s="18"/>
    </row>
    <row r="3222" spans="1:9">
      <c r="A3222" s="943">
        <v>2</v>
      </c>
      <c r="B3222" s="944">
        <v>120.1</v>
      </c>
      <c r="C3222" s="944" t="s">
        <v>19</v>
      </c>
      <c r="D3222" s="943" t="s">
        <v>4</v>
      </c>
      <c r="E3222" s="952">
        <v>152605</v>
      </c>
      <c r="F3222" s="945">
        <v>13</v>
      </c>
      <c r="G3222" s="946">
        <v>85</v>
      </c>
      <c r="H3222" s="946">
        <v>78.77</v>
      </c>
    </row>
    <row r="3223" spans="1:9" s="26" customFormat="1">
      <c r="A3223" s="947">
        <v>2</v>
      </c>
      <c r="B3223" s="948">
        <v>121</v>
      </c>
      <c r="C3223" s="948" t="s">
        <v>108</v>
      </c>
      <c r="D3223" s="947" t="s">
        <v>4</v>
      </c>
      <c r="E3223" s="949">
        <v>2445</v>
      </c>
      <c r="F3223" s="950">
        <v>5</v>
      </c>
      <c r="G3223" s="951">
        <v>100</v>
      </c>
      <c r="H3223" s="951">
        <v>117.73</v>
      </c>
      <c r="I3223" s="18"/>
    </row>
    <row r="3224" spans="1:9">
      <c r="A3224" s="943">
        <v>2</v>
      </c>
      <c r="B3224" s="944">
        <v>127</v>
      </c>
      <c r="C3224" s="944" t="s">
        <v>111</v>
      </c>
      <c r="D3224" s="943" t="s">
        <v>4</v>
      </c>
      <c r="E3224" s="952">
        <v>2450</v>
      </c>
      <c r="F3224" s="945">
        <v>1</v>
      </c>
      <c r="G3224" s="946">
        <v>145</v>
      </c>
      <c r="H3224" s="946">
        <v>141</v>
      </c>
    </row>
    <row r="3225" spans="1:9" s="26" customFormat="1">
      <c r="A3225" s="947">
        <v>2</v>
      </c>
      <c r="B3225" s="948">
        <v>127.1</v>
      </c>
      <c r="C3225" s="948" t="s">
        <v>112</v>
      </c>
      <c r="D3225" s="947" t="s">
        <v>4</v>
      </c>
      <c r="E3225" s="950">
        <v>840</v>
      </c>
      <c r="F3225" s="950">
        <v>11</v>
      </c>
      <c r="G3225" s="951">
        <v>4375</v>
      </c>
      <c r="H3225" s="951">
        <v>4572.96</v>
      </c>
      <c r="I3225" s="18"/>
    </row>
    <row r="3226" spans="1:9">
      <c r="A3226" s="943">
        <v>2</v>
      </c>
      <c r="B3226" s="944">
        <v>127.4</v>
      </c>
      <c r="C3226" s="944" t="s">
        <v>113</v>
      </c>
      <c r="D3226" s="943" t="s">
        <v>1</v>
      </c>
      <c r="E3226" s="952">
        <v>8395</v>
      </c>
      <c r="F3226" s="945">
        <v>7</v>
      </c>
      <c r="G3226" s="946">
        <v>1200</v>
      </c>
      <c r="H3226" s="946">
        <v>1171.05</v>
      </c>
    </row>
    <row r="3227" spans="1:9" s="26" customFormat="1">
      <c r="A3227" s="947">
        <v>2</v>
      </c>
      <c r="B3227" s="948">
        <v>127.41</v>
      </c>
      <c r="C3227" s="948" t="s">
        <v>114</v>
      </c>
      <c r="D3227" s="947" t="s">
        <v>4</v>
      </c>
      <c r="E3227" s="949">
        <v>1170</v>
      </c>
      <c r="F3227" s="950">
        <v>7</v>
      </c>
      <c r="G3227" s="951">
        <v>4395</v>
      </c>
      <c r="H3227" s="951">
        <v>4331.16</v>
      </c>
      <c r="I3227" s="18"/>
    </row>
    <row r="3228" spans="1:9">
      <c r="A3228" s="943">
        <v>2</v>
      </c>
      <c r="B3228" s="944">
        <v>129.30000000000001</v>
      </c>
      <c r="C3228" s="944" t="s">
        <v>115</v>
      </c>
      <c r="D3228" s="943" t="s">
        <v>4</v>
      </c>
      <c r="E3228" s="952">
        <v>1750</v>
      </c>
      <c r="F3228" s="945">
        <v>1</v>
      </c>
      <c r="G3228" s="946">
        <v>52</v>
      </c>
      <c r="H3228" s="946">
        <v>55.8</v>
      </c>
    </row>
    <row r="3229" spans="1:9" s="26" customFormat="1">
      <c r="A3229" s="947">
        <v>2</v>
      </c>
      <c r="B3229" s="948">
        <v>129.6</v>
      </c>
      <c r="C3229" s="948" t="s">
        <v>117</v>
      </c>
      <c r="D3229" s="947" t="s">
        <v>1</v>
      </c>
      <c r="E3229" s="949">
        <v>71120</v>
      </c>
      <c r="F3229" s="950">
        <v>4</v>
      </c>
      <c r="G3229" s="951">
        <v>30</v>
      </c>
      <c r="H3229" s="951">
        <v>32.44</v>
      </c>
      <c r="I3229" s="18"/>
    </row>
    <row r="3230" spans="1:9">
      <c r="A3230" s="943">
        <v>2</v>
      </c>
      <c r="B3230" s="944">
        <v>140</v>
      </c>
      <c r="C3230" s="944" t="s">
        <v>118</v>
      </c>
      <c r="D3230" s="943" t="s">
        <v>4</v>
      </c>
      <c r="E3230" s="952">
        <v>17062</v>
      </c>
      <c r="F3230" s="945">
        <v>3</v>
      </c>
      <c r="G3230" s="946">
        <v>60</v>
      </c>
      <c r="H3230" s="946">
        <v>76.25</v>
      </c>
    </row>
    <row r="3231" spans="1:9" s="26" customFormat="1">
      <c r="A3231" s="947">
        <v>2</v>
      </c>
      <c r="B3231" s="948">
        <v>141</v>
      </c>
      <c r="C3231" s="948" t="s">
        <v>120</v>
      </c>
      <c r="D3231" s="947" t="s">
        <v>4</v>
      </c>
      <c r="E3231" s="950">
        <v>890</v>
      </c>
      <c r="F3231" s="950">
        <v>6</v>
      </c>
      <c r="G3231" s="951">
        <v>62.5</v>
      </c>
      <c r="H3231" s="951">
        <v>60.74</v>
      </c>
      <c r="I3231" s="18"/>
    </row>
    <row r="3232" spans="1:9">
      <c r="A3232" s="943">
        <v>2</v>
      </c>
      <c r="B3232" s="944">
        <v>141.1</v>
      </c>
      <c r="C3232" s="944" t="s">
        <v>121</v>
      </c>
      <c r="D3232" s="943" t="s">
        <v>4</v>
      </c>
      <c r="E3232" s="952">
        <v>9535</v>
      </c>
      <c r="F3232" s="945">
        <v>13</v>
      </c>
      <c r="G3232" s="946">
        <v>100</v>
      </c>
      <c r="H3232" s="946">
        <v>87.46</v>
      </c>
    </row>
    <row r="3233" spans="1:9" s="26" customFormat="1">
      <c r="A3233" s="947">
        <v>6</v>
      </c>
      <c r="B3233" s="948">
        <v>102.511</v>
      </c>
      <c r="C3233" s="948" t="s">
        <v>4029</v>
      </c>
      <c r="D3233" s="947" t="s">
        <v>2</v>
      </c>
      <c r="E3233" s="950">
        <v>994</v>
      </c>
      <c r="F3233" s="950">
        <v>6</v>
      </c>
      <c r="G3233" s="951">
        <v>475</v>
      </c>
      <c r="H3233" s="951">
        <v>459.58</v>
      </c>
      <c r="I3233" s="18"/>
    </row>
    <row r="3234" spans="1:9">
      <c r="A3234" s="943">
        <v>6</v>
      </c>
      <c r="B3234" s="944">
        <v>102.521</v>
      </c>
      <c r="C3234" s="944" t="s">
        <v>1276</v>
      </c>
      <c r="D3234" s="943" t="s">
        <v>17</v>
      </c>
      <c r="E3234" s="952">
        <v>19805</v>
      </c>
      <c r="F3234" s="945">
        <v>8</v>
      </c>
      <c r="G3234" s="946">
        <v>15</v>
      </c>
      <c r="H3234" s="946">
        <v>14.45</v>
      </c>
    </row>
    <row r="3235" spans="1:9" s="26" customFormat="1">
      <c r="A3235" s="947">
        <v>6</v>
      </c>
      <c r="B3235" s="948">
        <v>102.55</v>
      </c>
      <c r="C3235" s="948" t="s">
        <v>1277</v>
      </c>
      <c r="D3235" s="947" t="s">
        <v>24</v>
      </c>
      <c r="E3235" s="949">
        <v>1072</v>
      </c>
      <c r="F3235" s="950">
        <v>5</v>
      </c>
      <c r="G3235" s="951">
        <v>277.23</v>
      </c>
      <c r="H3235" s="951">
        <v>263.77999999999997</v>
      </c>
      <c r="I3235" s="18"/>
    </row>
    <row r="3236" spans="1:9">
      <c r="A3236" s="943">
        <v>6</v>
      </c>
      <c r="B3236" s="944">
        <v>103</v>
      </c>
      <c r="C3236" s="944" t="s">
        <v>35</v>
      </c>
      <c r="D3236" s="943" t="s">
        <v>2</v>
      </c>
      <c r="E3236" s="945">
        <v>311</v>
      </c>
      <c r="F3236" s="945">
        <v>7</v>
      </c>
      <c r="G3236" s="946">
        <v>2659.29</v>
      </c>
      <c r="H3236" s="946">
        <v>2396.59</v>
      </c>
    </row>
    <row r="3237" spans="1:9" s="26" customFormat="1">
      <c r="A3237" s="947">
        <v>6</v>
      </c>
      <c r="B3237" s="948">
        <v>104</v>
      </c>
      <c r="C3237" s="948" t="s">
        <v>94</v>
      </c>
      <c r="D3237" s="947" t="s">
        <v>2</v>
      </c>
      <c r="E3237" s="950">
        <v>156</v>
      </c>
      <c r="F3237" s="950">
        <v>4</v>
      </c>
      <c r="G3237" s="951">
        <v>3100</v>
      </c>
      <c r="H3237" s="951">
        <v>3177.15</v>
      </c>
      <c r="I3237" s="18"/>
    </row>
    <row r="3238" spans="1:9">
      <c r="A3238" s="943">
        <v>6</v>
      </c>
      <c r="B3238" s="944">
        <v>105</v>
      </c>
      <c r="C3238" s="944" t="s">
        <v>95</v>
      </c>
      <c r="D3238" s="943" t="s">
        <v>2</v>
      </c>
      <c r="E3238" s="945">
        <v>127</v>
      </c>
      <c r="F3238" s="945">
        <v>4</v>
      </c>
      <c r="G3238" s="946">
        <v>700</v>
      </c>
      <c r="H3238" s="946">
        <v>670.04</v>
      </c>
    </row>
    <row r="3239" spans="1:9" s="26" customFormat="1">
      <c r="A3239" s="947">
        <v>6</v>
      </c>
      <c r="B3239" s="948">
        <v>106.301</v>
      </c>
      <c r="C3239" s="948" t="s">
        <v>1962</v>
      </c>
      <c r="D3239" s="947" t="s">
        <v>22</v>
      </c>
      <c r="E3239" s="950">
        <v>5</v>
      </c>
      <c r="F3239" s="950">
        <v>1</v>
      </c>
      <c r="G3239" s="951">
        <v>66062625</v>
      </c>
      <c r="H3239" s="951">
        <v>64366725</v>
      </c>
      <c r="I3239" s="18"/>
    </row>
    <row r="3240" spans="1:9">
      <c r="A3240" s="943">
        <v>6</v>
      </c>
      <c r="B3240" s="944">
        <v>107.48</v>
      </c>
      <c r="C3240" s="944" t="s">
        <v>101</v>
      </c>
      <c r="D3240" s="943" t="s">
        <v>17</v>
      </c>
      <c r="E3240" s="952">
        <v>18000</v>
      </c>
      <c r="F3240" s="945">
        <v>1</v>
      </c>
      <c r="G3240" s="946">
        <v>7.5</v>
      </c>
      <c r="H3240" s="946">
        <v>5.75</v>
      </c>
    </row>
    <row r="3241" spans="1:9" s="26" customFormat="1">
      <c r="A3241" s="947">
        <v>6</v>
      </c>
      <c r="B3241" s="948">
        <v>107.855</v>
      </c>
      <c r="C3241" s="948" t="s">
        <v>102</v>
      </c>
      <c r="D3241" s="947" t="s">
        <v>17</v>
      </c>
      <c r="E3241" s="949">
        <v>3398</v>
      </c>
      <c r="F3241" s="950">
        <v>3</v>
      </c>
      <c r="G3241" s="951">
        <v>170</v>
      </c>
      <c r="H3241" s="951">
        <v>166.73</v>
      </c>
      <c r="I3241" s="18"/>
    </row>
    <row r="3242" spans="1:9">
      <c r="A3242" s="943">
        <v>6</v>
      </c>
      <c r="B3242" s="944">
        <v>107.97</v>
      </c>
      <c r="C3242" s="944" t="s">
        <v>103</v>
      </c>
      <c r="D3242" s="943" t="s">
        <v>100</v>
      </c>
      <c r="E3242" s="952">
        <v>1200</v>
      </c>
      <c r="F3242" s="945">
        <v>1</v>
      </c>
      <c r="G3242" s="946">
        <v>100</v>
      </c>
      <c r="H3242" s="946">
        <v>97.75</v>
      </c>
    </row>
    <row r="3243" spans="1:9" s="26" customFormat="1">
      <c r="A3243" s="947">
        <v>6</v>
      </c>
      <c r="B3243" s="948">
        <v>114.1</v>
      </c>
      <c r="C3243" s="948" t="s">
        <v>104</v>
      </c>
      <c r="D3243" s="947" t="s">
        <v>22</v>
      </c>
      <c r="E3243" s="950">
        <v>1</v>
      </c>
      <c r="F3243" s="950">
        <v>1</v>
      </c>
      <c r="G3243" s="951">
        <v>278000</v>
      </c>
      <c r="H3243" s="951">
        <v>278000</v>
      </c>
      <c r="I3243" s="18"/>
    </row>
    <row r="3244" spans="1:9">
      <c r="A3244" s="943">
        <v>6</v>
      </c>
      <c r="B3244" s="944">
        <v>115.1</v>
      </c>
      <c r="C3244" s="944" t="s">
        <v>105</v>
      </c>
      <c r="D3244" s="943" t="s">
        <v>22</v>
      </c>
      <c r="E3244" s="945">
        <v>2</v>
      </c>
      <c r="F3244" s="945">
        <v>1</v>
      </c>
      <c r="G3244" s="946">
        <v>635700</v>
      </c>
      <c r="H3244" s="946">
        <v>592850</v>
      </c>
    </row>
    <row r="3245" spans="1:9" s="26" customFormat="1">
      <c r="A3245" s="947">
        <v>6</v>
      </c>
      <c r="B3245" s="948">
        <v>115.2</v>
      </c>
      <c r="C3245" s="948" t="s">
        <v>105</v>
      </c>
      <c r="D3245" s="947" t="s">
        <v>22</v>
      </c>
      <c r="E3245" s="950">
        <v>2</v>
      </c>
      <c r="F3245" s="950">
        <v>1</v>
      </c>
      <c r="G3245" s="951">
        <v>372800</v>
      </c>
      <c r="H3245" s="951">
        <v>311400</v>
      </c>
      <c r="I3245" s="18"/>
    </row>
    <row r="3246" spans="1:9">
      <c r="A3246" s="943">
        <v>6</v>
      </c>
      <c r="B3246" s="944">
        <v>115.3</v>
      </c>
      <c r="C3246" s="944" t="s">
        <v>105</v>
      </c>
      <c r="D3246" s="943" t="s">
        <v>22</v>
      </c>
      <c r="E3246" s="945">
        <v>2</v>
      </c>
      <c r="F3246" s="945">
        <v>1</v>
      </c>
      <c r="G3246" s="946">
        <v>601100</v>
      </c>
      <c r="H3246" s="946">
        <v>525550</v>
      </c>
    </row>
    <row r="3247" spans="1:9" s="26" customFormat="1">
      <c r="A3247" s="947">
        <v>6</v>
      </c>
      <c r="B3247" s="948">
        <v>119</v>
      </c>
      <c r="C3247" s="948" t="s">
        <v>106</v>
      </c>
      <c r="D3247" s="947" t="s">
        <v>22</v>
      </c>
      <c r="E3247" s="950">
        <v>5</v>
      </c>
      <c r="F3247" s="950">
        <v>2</v>
      </c>
      <c r="G3247" s="951">
        <v>30000</v>
      </c>
      <c r="H3247" s="951">
        <v>26430</v>
      </c>
      <c r="I3247" s="18"/>
    </row>
    <row r="3248" spans="1:9">
      <c r="A3248" s="943">
        <v>6</v>
      </c>
      <c r="B3248" s="944">
        <v>120</v>
      </c>
      <c r="C3248" s="944" t="s">
        <v>107</v>
      </c>
      <c r="D3248" s="943" t="s">
        <v>4</v>
      </c>
      <c r="E3248" s="952">
        <v>70650</v>
      </c>
      <c r="F3248" s="945">
        <v>1</v>
      </c>
      <c r="G3248" s="946">
        <v>55</v>
      </c>
      <c r="H3248" s="946">
        <v>58.33</v>
      </c>
    </row>
    <row r="3249" spans="1:9" s="26" customFormat="1">
      <c r="A3249" s="947">
        <v>6</v>
      </c>
      <c r="B3249" s="948">
        <v>120.1</v>
      </c>
      <c r="C3249" s="948" t="s">
        <v>19</v>
      </c>
      <c r="D3249" s="947" t="s">
        <v>4</v>
      </c>
      <c r="E3249" s="949">
        <v>77893</v>
      </c>
      <c r="F3249" s="950">
        <v>15</v>
      </c>
      <c r="G3249" s="951">
        <v>79</v>
      </c>
      <c r="H3249" s="951">
        <v>77.31</v>
      </c>
      <c r="I3249" s="18"/>
    </row>
    <row r="3250" spans="1:9">
      <c r="A3250" s="943">
        <v>6</v>
      </c>
      <c r="B3250" s="944">
        <v>121</v>
      </c>
      <c r="C3250" s="944" t="s">
        <v>108</v>
      </c>
      <c r="D3250" s="943" t="s">
        <v>4</v>
      </c>
      <c r="E3250" s="945">
        <v>220</v>
      </c>
      <c r="F3250" s="945">
        <v>2</v>
      </c>
      <c r="G3250" s="946">
        <v>225</v>
      </c>
      <c r="H3250" s="946">
        <v>220</v>
      </c>
    </row>
    <row r="3251" spans="1:9" s="26" customFormat="1">
      <c r="A3251" s="947">
        <v>6</v>
      </c>
      <c r="B3251" s="948">
        <v>127</v>
      </c>
      <c r="C3251" s="948" t="s">
        <v>111</v>
      </c>
      <c r="D3251" s="947" t="s">
        <v>4</v>
      </c>
      <c r="E3251" s="949">
        <v>1928</v>
      </c>
      <c r="F3251" s="950">
        <v>4</v>
      </c>
      <c r="G3251" s="951">
        <v>206</v>
      </c>
      <c r="H3251" s="951">
        <v>196.5</v>
      </c>
      <c r="I3251" s="18"/>
    </row>
    <row r="3252" spans="1:9">
      <c r="A3252" s="943">
        <v>6</v>
      </c>
      <c r="B3252" s="944">
        <v>127.1</v>
      </c>
      <c r="C3252" s="944" t="s">
        <v>112</v>
      </c>
      <c r="D3252" s="943" t="s">
        <v>4</v>
      </c>
      <c r="E3252" s="952">
        <v>2677</v>
      </c>
      <c r="F3252" s="945">
        <v>6</v>
      </c>
      <c r="G3252" s="946">
        <v>5820</v>
      </c>
      <c r="H3252" s="946">
        <v>5622.86</v>
      </c>
    </row>
    <row r="3253" spans="1:9" s="26" customFormat="1">
      <c r="A3253" s="947">
        <v>6</v>
      </c>
      <c r="B3253" s="948">
        <v>127.4</v>
      </c>
      <c r="C3253" s="948" t="s">
        <v>113</v>
      </c>
      <c r="D3253" s="947" t="s">
        <v>1</v>
      </c>
      <c r="E3253" s="949">
        <v>7160</v>
      </c>
      <c r="F3253" s="950">
        <v>4</v>
      </c>
      <c r="G3253" s="951">
        <v>1070</v>
      </c>
      <c r="H3253" s="951">
        <v>1023.57</v>
      </c>
      <c r="I3253" s="18"/>
    </row>
    <row r="3254" spans="1:9">
      <c r="A3254" s="943">
        <v>6</v>
      </c>
      <c r="B3254" s="944">
        <v>127.41</v>
      </c>
      <c r="C3254" s="944" t="s">
        <v>114</v>
      </c>
      <c r="D3254" s="943" t="s">
        <v>4</v>
      </c>
      <c r="E3254" s="952">
        <v>2838</v>
      </c>
      <c r="F3254" s="945">
        <v>5</v>
      </c>
      <c r="G3254" s="946">
        <v>4000</v>
      </c>
      <c r="H3254" s="946">
        <v>4842.18</v>
      </c>
    </row>
    <row r="3255" spans="1:9" s="26" customFormat="1">
      <c r="A3255" s="947">
        <v>6</v>
      </c>
      <c r="B3255" s="948">
        <v>129.19999999999999</v>
      </c>
      <c r="C3255" s="948" t="s">
        <v>115</v>
      </c>
      <c r="D3255" s="947" t="s">
        <v>1</v>
      </c>
      <c r="E3255" s="949">
        <v>7600</v>
      </c>
      <c r="F3255" s="950">
        <v>1</v>
      </c>
      <c r="G3255" s="951">
        <v>44.5</v>
      </c>
      <c r="H3255" s="951">
        <v>42.25</v>
      </c>
      <c r="I3255" s="18"/>
    </row>
    <row r="3256" spans="1:9">
      <c r="A3256" s="943">
        <v>6</v>
      </c>
      <c r="B3256" s="944">
        <v>129.6</v>
      </c>
      <c r="C3256" s="944" t="s">
        <v>117</v>
      </c>
      <c r="D3256" s="943" t="s">
        <v>1</v>
      </c>
      <c r="E3256" s="952">
        <v>107220</v>
      </c>
      <c r="F3256" s="945">
        <v>2</v>
      </c>
      <c r="G3256" s="946">
        <v>55</v>
      </c>
      <c r="H3256" s="946">
        <v>61.25</v>
      </c>
    </row>
    <row r="3257" spans="1:9" s="26" customFormat="1">
      <c r="A3257" s="947">
        <v>6</v>
      </c>
      <c r="B3257" s="948">
        <v>140</v>
      </c>
      <c r="C3257" s="948" t="s">
        <v>118</v>
      </c>
      <c r="D3257" s="947" t="s">
        <v>4</v>
      </c>
      <c r="E3257" s="950">
        <v>500</v>
      </c>
      <c r="F3257" s="950">
        <v>1</v>
      </c>
      <c r="G3257" s="951">
        <v>90</v>
      </c>
      <c r="H3257" s="951">
        <v>90</v>
      </c>
      <c r="I3257" s="18"/>
    </row>
    <row r="3258" spans="1:9">
      <c r="A3258" s="943">
        <v>6</v>
      </c>
      <c r="B3258" s="944">
        <v>141</v>
      </c>
      <c r="C3258" s="944" t="s">
        <v>120</v>
      </c>
      <c r="D3258" s="943" t="s">
        <v>4</v>
      </c>
      <c r="E3258" s="945">
        <v>340</v>
      </c>
      <c r="F3258" s="945">
        <v>4</v>
      </c>
      <c r="G3258" s="946">
        <v>80</v>
      </c>
      <c r="H3258" s="946">
        <v>80.86</v>
      </c>
    </row>
    <row r="3259" spans="1:9" s="26" customFormat="1">
      <c r="A3259" s="947">
        <v>6</v>
      </c>
      <c r="B3259" s="948">
        <v>141.1</v>
      </c>
      <c r="C3259" s="948" t="s">
        <v>121</v>
      </c>
      <c r="D3259" s="947" t="s">
        <v>4</v>
      </c>
      <c r="E3259" s="949">
        <v>2825</v>
      </c>
      <c r="F3259" s="950">
        <v>6</v>
      </c>
      <c r="G3259" s="951">
        <v>126</v>
      </c>
      <c r="H3259" s="951">
        <v>132.4</v>
      </c>
      <c r="I3259" s="18"/>
    </row>
    <row r="3260" spans="1:9">
      <c r="A3260" s="943">
        <v>6</v>
      </c>
      <c r="B3260" s="944">
        <v>142</v>
      </c>
      <c r="C3260" s="944" t="s">
        <v>122</v>
      </c>
      <c r="D3260" s="943" t="s">
        <v>4</v>
      </c>
      <c r="E3260" s="952">
        <v>6945</v>
      </c>
      <c r="F3260" s="945">
        <v>4</v>
      </c>
      <c r="G3260" s="946">
        <v>30</v>
      </c>
      <c r="H3260" s="946">
        <v>33.43</v>
      </c>
    </row>
    <row r="3261" spans="1:9" s="26" customFormat="1">
      <c r="A3261" s="947">
        <v>6</v>
      </c>
      <c r="B3261" s="948">
        <v>144</v>
      </c>
      <c r="C3261" s="948" t="s">
        <v>124</v>
      </c>
      <c r="D3261" s="947" t="s">
        <v>4</v>
      </c>
      <c r="E3261" s="950">
        <v>310</v>
      </c>
      <c r="F3261" s="950">
        <v>9</v>
      </c>
      <c r="G3261" s="951">
        <v>240</v>
      </c>
      <c r="H3261" s="951">
        <v>247.32</v>
      </c>
      <c r="I3261" s="18"/>
    </row>
    <row r="3262" spans="1:9">
      <c r="A3262" s="943">
        <v>6</v>
      </c>
      <c r="B3262" s="944">
        <v>145</v>
      </c>
      <c r="C3262" s="944" t="s">
        <v>125</v>
      </c>
      <c r="D3262" s="943" t="s">
        <v>2</v>
      </c>
      <c r="E3262" s="945">
        <v>60</v>
      </c>
      <c r="F3262" s="945">
        <v>3</v>
      </c>
      <c r="G3262" s="946">
        <v>1000</v>
      </c>
      <c r="H3262" s="946">
        <v>901.56</v>
      </c>
    </row>
    <row r="3263" spans="1:9" s="26" customFormat="1">
      <c r="A3263" s="947">
        <v>6</v>
      </c>
      <c r="B3263" s="948">
        <v>146</v>
      </c>
      <c r="C3263" s="948" t="s">
        <v>126</v>
      </c>
      <c r="D3263" s="947" t="s">
        <v>2</v>
      </c>
      <c r="E3263" s="950">
        <v>550</v>
      </c>
      <c r="F3263" s="950">
        <v>5</v>
      </c>
      <c r="G3263" s="951">
        <v>1150</v>
      </c>
      <c r="H3263" s="951">
        <v>1158.04</v>
      </c>
      <c r="I3263" s="18"/>
    </row>
    <row r="3264" spans="1:9">
      <c r="A3264" s="943">
        <v>6</v>
      </c>
      <c r="B3264" s="944">
        <v>149.19999999999999</v>
      </c>
      <c r="C3264" s="944" t="s">
        <v>1284</v>
      </c>
      <c r="D3264" s="943" t="s">
        <v>22</v>
      </c>
      <c r="E3264" s="945">
        <v>3</v>
      </c>
      <c r="F3264" s="945">
        <v>1</v>
      </c>
      <c r="G3264" s="946">
        <v>350000</v>
      </c>
      <c r="H3264" s="946">
        <v>333333.33</v>
      </c>
    </row>
    <row r="3265" spans="1:9" s="26" customFormat="1">
      <c r="A3265" s="947">
        <v>6</v>
      </c>
      <c r="B3265" s="948">
        <v>150</v>
      </c>
      <c r="C3265" s="948" t="s">
        <v>128</v>
      </c>
      <c r="D3265" s="947" t="s">
        <v>4</v>
      </c>
      <c r="E3265" s="950">
        <v>825</v>
      </c>
      <c r="F3265" s="950">
        <v>2</v>
      </c>
      <c r="G3265" s="951">
        <v>25.45</v>
      </c>
      <c r="H3265" s="951">
        <v>28.63</v>
      </c>
      <c r="I3265" s="18"/>
    </row>
    <row r="3266" spans="1:9">
      <c r="A3266" s="943">
        <v>6</v>
      </c>
      <c r="B3266" s="944">
        <v>150.1</v>
      </c>
      <c r="C3266" s="944" t="s">
        <v>129</v>
      </c>
      <c r="D3266" s="943" t="s">
        <v>4</v>
      </c>
      <c r="E3266" s="945">
        <v>300</v>
      </c>
      <c r="F3266" s="945">
        <v>1</v>
      </c>
      <c r="G3266" s="946">
        <v>35</v>
      </c>
      <c r="H3266" s="946">
        <v>36.67</v>
      </c>
    </row>
    <row r="3267" spans="1:9" s="26" customFormat="1">
      <c r="A3267" s="947">
        <v>6</v>
      </c>
      <c r="B3267" s="948">
        <v>151</v>
      </c>
      <c r="C3267" s="948" t="s">
        <v>5</v>
      </c>
      <c r="D3267" s="947" t="s">
        <v>4</v>
      </c>
      <c r="E3267" s="949">
        <v>63485</v>
      </c>
      <c r="F3267" s="950">
        <v>14</v>
      </c>
      <c r="G3267" s="951">
        <v>57.5</v>
      </c>
      <c r="H3267" s="951">
        <v>56.38</v>
      </c>
      <c r="I3267" s="18"/>
    </row>
    <row r="3268" spans="1:9">
      <c r="A3268" s="943">
        <v>6</v>
      </c>
      <c r="B3268" s="944">
        <v>151.01</v>
      </c>
      <c r="C3268" s="944" t="s">
        <v>130</v>
      </c>
      <c r="D3268" s="943" t="s">
        <v>4</v>
      </c>
      <c r="E3268" s="952">
        <v>2917</v>
      </c>
      <c r="F3268" s="945">
        <v>4</v>
      </c>
      <c r="G3268" s="946">
        <v>60</v>
      </c>
      <c r="H3268" s="946">
        <v>49.98</v>
      </c>
    </row>
    <row r="3269" spans="1:9" s="26" customFormat="1">
      <c r="A3269" s="947">
        <v>6</v>
      </c>
      <c r="B3269" s="948">
        <v>151.19999999999999</v>
      </c>
      <c r="C3269" s="948" t="s">
        <v>52</v>
      </c>
      <c r="D3269" s="947" t="s">
        <v>4</v>
      </c>
      <c r="E3269" s="949">
        <v>18570</v>
      </c>
      <c r="F3269" s="950">
        <v>3</v>
      </c>
      <c r="G3269" s="951">
        <v>45</v>
      </c>
      <c r="H3269" s="951">
        <v>52</v>
      </c>
      <c r="I3269" s="18"/>
    </row>
    <row r="3270" spans="1:9">
      <c r="A3270" s="943">
        <v>6</v>
      </c>
      <c r="B3270" s="944">
        <v>153</v>
      </c>
      <c r="C3270" s="944" t="s">
        <v>134</v>
      </c>
      <c r="D3270" s="943" t="s">
        <v>4</v>
      </c>
      <c r="E3270" s="952">
        <v>1126</v>
      </c>
      <c r="F3270" s="945">
        <v>4</v>
      </c>
      <c r="G3270" s="946">
        <v>325</v>
      </c>
      <c r="H3270" s="946">
        <v>333.13</v>
      </c>
    </row>
    <row r="3271" spans="1:9" s="26" customFormat="1">
      <c r="A3271" s="947">
        <v>6</v>
      </c>
      <c r="B3271" s="948">
        <v>154</v>
      </c>
      <c r="C3271" s="948" t="s">
        <v>136</v>
      </c>
      <c r="D3271" s="947" t="s">
        <v>4</v>
      </c>
      <c r="E3271" s="950">
        <v>700</v>
      </c>
      <c r="F3271" s="950">
        <v>1</v>
      </c>
      <c r="G3271" s="951">
        <v>50</v>
      </c>
      <c r="H3271" s="951">
        <v>50</v>
      </c>
      <c r="I3271" s="18"/>
    </row>
    <row r="3272" spans="1:9">
      <c r="A3272" s="943">
        <v>6</v>
      </c>
      <c r="B3272" s="944">
        <v>156</v>
      </c>
      <c r="C3272" s="944" t="s">
        <v>26</v>
      </c>
      <c r="D3272" s="943" t="s">
        <v>7</v>
      </c>
      <c r="E3272" s="952">
        <v>10205</v>
      </c>
      <c r="F3272" s="945">
        <v>7</v>
      </c>
      <c r="G3272" s="946">
        <v>48</v>
      </c>
      <c r="H3272" s="946">
        <v>45.65</v>
      </c>
    </row>
    <row r="3273" spans="1:9" s="26" customFormat="1">
      <c r="A3273" s="947">
        <v>6</v>
      </c>
      <c r="B3273" s="948">
        <v>170</v>
      </c>
      <c r="C3273" s="948" t="s">
        <v>1287</v>
      </c>
      <c r="D3273" s="947" t="s">
        <v>1</v>
      </c>
      <c r="E3273" s="949">
        <v>363985</v>
      </c>
      <c r="F3273" s="950">
        <v>11</v>
      </c>
      <c r="G3273" s="951">
        <v>15</v>
      </c>
      <c r="H3273" s="951">
        <v>14.97</v>
      </c>
      <c r="I3273" s="18"/>
    </row>
    <row r="3274" spans="1:9">
      <c r="A3274" s="943">
        <v>6</v>
      </c>
      <c r="B3274" s="944">
        <v>180.01</v>
      </c>
      <c r="C3274" s="944" t="s">
        <v>1288</v>
      </c>
      <c r="D3274" s="943" t="s">
        <v>22</v>
      </c>
      <c r="E3274" s="945">
        <v>15</v>
      </c>
      <c r="F3274" s="945">
        <v>7</v>
      </c>
      <c r="G3274" s="946">
        <v>10000</v>
      </c>
      <c r="H3274" s="946">
        <v>8386.67</v>
      </c>
    </row>
    <row r="3275" spans="1:9" s="26" customFormat="1">
      <c r="A3275" s="947">
        <v>6</v>
      </c>
      <c r="B3275" s="948">
        <v>180.02</v>
      </c>
      <c r="C3275" s="948" t="s">
        <v>1289</v>
      </c>
      <c r="D3275" s="947" t="s">
        <v>24</v>
      </c>
      <c r="E3275" s="949">
        <v>1100</v>
      </c>
      <c r="F3275" s="950">
        <v>9</v>
      </c>
      <c r="G3275" s="951">
        <v>10</v>
      </c>
      <c r="H3275" s="951">
        <v>12</v>
      </c>
      <c r="I3275" s="18"/>
    </row>
    <row r="3276" spans="1:9">
      <c r="A3276" s="943">
        <v>6</v>
      </c>
      <c r="B3276" s="944">
        <v>180.03</v>
      </c>
      <c r="C3276" s="944" t="s">
        <v>1290</v>
      </c>
      <c r="D3276" s="943" t="s">
        <v>24</v>
      </c>
      <c r="E3276" s="952">
        <v>2340</v>
      </c>
      <c r="F3276" s="945">
        <v>9</v>
      </c>
      <c r="G3276" s="946">
        <v>140</v>
      </c>
      <c r="H3276" s="946">
        <v>135.91999999999999</v>
      </c>
    </row>
    <row r="3277" spans="1:9" s="26" customFormat="1">
      <c r="A3277" s="947">
        <v>6</v>
      </c>
      <c r="B3277" s="948">
        <v>181.11</v>
      </c>
      <c r="C3277" s="948" t="s">
        <v>58</v>
      </c>
      <c r="D3277" s="947" t="s">
        <v>7</v>
      </c>
      <c r="E3277" s="949">
        <v>3756</v>
      </c>
      <c r="F3277" s="950">
        <v>9</v>
      </c>
      <c r="G3277" s="951">
        <v>54</v>
      </c>
      <c r="H3277" s="951">
        <v>51.33</v>
      </c>
      <c r="I3277" s="18"/>
    </row>
    <row r="3278" spans="1:9">
      <c r="A3278" s="943">
        <v>6</v>
      </c>
      <c r="B3278" s="944">
        <v>181.12</v>
      </c>
      <c r="C3278" s="944" t="s">
        <v>141</v>
      </c>
      <c r="D3278" s="943" t="s">
        <v>7</v>
      </c>
      <c r="E3278" s="952">
        <v>1850</v>
      </c>
      <c r="F3278" s="945">
        <v>9</v>
      </c>
      <c r="G3278" s="946">
        <v>105</v>
      </c>
      <c r="H3278" s="946">
        <v>104.35</v>
      </c>
    </row>
    <row r="3279" spans="1:9" s="26" customFormat="1">
      <c r="A3279" s="947">
        <v>6</v>
      </c>
      <c r="B3279" s="948">
        <v>181.13</v>
      </c>
      <c r="C3279" s="948" t="s">
        <v>142</v>
      </c>
      <c r="D3279" s="947" t="s">
        <v>7</v>
      </c>
      <c r="E3279" s="949">
        <v>1690</v>
      </c>
      <c r="F3279" s="950">
        <v>8</v>
      </c>
      <c r="G3279" s="951">
        <v>185</v>
      </c>
      <c r="H3279" s="951">
        <v>200.05</v>
      </c>
      <c r="I3279" s="18"/>
    </row>
    <row r="3280" spans="1:9">
      <c r="A3280" s="943">
        <v>6</v>
      </c>
      <c r="B3280" s="944">
        <v>181.14</v>
      </c>
      <c r="C3280" s="944" t="s">
        <v>59</v>
      </c>
      <c r="D3280" s="943" t="s">
        <v>7</v>
      </c>
      <c r="E3280" s="945">
        <v>525</v>
      </c>
      <c r="F3280" s="945">
        <v>8</v>
      </c>
      <c r="G3280" s="946">
        <v>525</v>
      </c>
      <c r="H3280" s="946">
        <v>521.12</v>
      </c>
    </row>
    <row r="3281" spans="1:9" s="26" customFormat="1">
      <c r="A3281" s="947">
        <v>6</v>
      </c>
      <c r="B3281" s="948">
        <v>182.1</v>
      </c>
      <c r="C3281" s="948" t="s">
        <v>143</v>
      </c>
      <c r="D3281" s="947" t="s">
        <v>22</v>
      </c>
      <c r="E3281" s="950">
        <v>6</v>
      </c>
      <c r="F3281" s="950">
        <v>3</v>
      </c>
      <c r="G3281" s="951">
        <v>3500</v>
      </c>
      <c r="H3281" s="951">
        <v>3633.33</v>
      </c>
      <c r="I3281" s="18"/>
    </row>
    <row r="3282" spans="1:9">
      <c r="A3282" s="943">
        <v>6</v>
      </c>
      <c r="B3282" s="944">
        <v>182.2</v>
      </c>
      <c r="C3282" s="944" t="s">
        <v>144</v>
      </c>
      <c r="D3282" s="943" t="s">
        <v>17</v>
      </c>
      <c r="E3282" s="945">
        <v>240</v>
      </c>
      <c r="F3282" s="945">
        <v>2</v>
      </c>
      <c r="G3282" s="946">
        <v>100</v>
      </c>
      <c r="H3282" s="946">
        <v>89.17</v>
      </c>
    </row>
    <row r="3283" spans="1:9" s="26" customFormat="1">
      <c r="A3283" s="947">
        <v>6</v>
      </c>
      <c r="B3283" s="948">
        <v>183.1</v>
      </c>
      <c r="C3283" s="948" t="s">
        <v>146</v>
      </c>
      <c r="D3283" s="947" t="s">
        <v>20</v>
      </c>
      <c r="E3283" s="950">
        <v>700</v>
      </c>
      <c r="F3283" s="950">
        <v>2</v>
      </c>
      <c r="G3283" s="951">
        <v>30</v>
      </c>
      <c r="H3283" s="951">
        <v>30</v>
      </c>
      <c r="I3283" s="18"/>
    </row>
    <row r="3284" spans="1:9">
      <c r="A3284" s="943">
        <v>6</v>
      </c>
      <c r="B3284" s="944">
        <v>183.2</v>
      </c>
      <c r="C3284" s="944" t="s">
        <v>147</v>
      </c>
      <c r="D3284" s="943" t="s">
        <v>100</v>
      </c>
      <c r="E3284" s="952">
        <v>1600</v>
      </c>
      <c r="F3284" s="945">
        <v>2</v>
      </c>
      <c r="G3284" s="946">
        <v>8.85</v>
      </c>
      <c r="H3284" s="946">
        <v>7.18</v>
      </c>
    </row>
    <row r="3285" spans="1:9" s="26" customFormat="1">
      <c r="A3285" s="947">
        <v>6</v>
      </c>
      <c r="B3285" s="948">
        <v>184.1</v>
      </c>
      <c r="C3285" s="948" t="s">
        <v>148</v>
      </c>
      <c r="D3285" s="947" t="s">
        <v>7</v>
      </c>
      <c r="E3285" s="950">
        <v>677</v>
      </c>
      <c r="F3285" s="950">
        <v>7</v>
      </c>
      <c r="G3285" s="951">
        <v>350</v>
      </c>
      <c r="H3285" s="951">
        <v>373.24</v>
      </c>
      <c r="I3285" s="18"/>
    </row>
    <row r="3286" spans="1:9">
      <c r="A3286" s="943">
        <v>6</v>
      </c>
      <c r="B3286" s="944">
        <v>188.3</v>
      </c>
      <c r="C3286" s="944" t="s">
        <v>150</v>
      </c>
      <c r="D3286" s="943" t="s">
        <v>2</v>
      </c>
      <c r="E3286" s="952">
        <v>27802</v>
      </c>
      <c r="F3286" s="945">
        <v>1</v>
      </c>
      <c r="G3286" s="946">
        <v>8</v>
      </c>
      <c r="H3286" s="946">
        <v>8</v>
      </c>
    </row>
    <row r="3287" spans="1:9" s="26" customFormat="1">
      <c r="A3287" s="947">
        <v>6</v>
      </c>
      <c r="B3287" s="948">
        <v>201</v>
      </c>
      <c r="C3287" s="948" t="s">
        <v>155</v>
      </c>
      <c r="D3287" s="947" t="s">
        <v>2</v>
      </c>
      <c r="E3287" s="950">
        <v>807</v>
      </c>
      <c r="F3287" s="950">
        <v>6</v>
      </c>
      <c r="G3287" s="951">
        <v>7500</v>
      </c>
      <c r="H3287" s="951">
        <v>7827.4</v>
      </c>
      <c r="I3287" s="18"/>
    </row>
    <row r="3288" spans="1:9">
      <c r="A3288" s="943">
        <v>6</v>
      </c>
      <c r="B3288" s="944">
        <v>201.3</v>
      </c>
      <c r="C3288" s="944" t="s">
        <v>156</v>
      </c>
      <c r="D3288" s="943" t="s">
        <v>2</v>
      </c>
      <c r="E3288" s="945">
        <v>25</v>
      </c>
      <c r="F3288" s="945">
        <v>1</v>
      </c>
      <c r="G3288" s="946">
        <v>10500</v>
      </c>
      <c r="H3288" s="946">
        <v>10500</v>
      </c>
    </row>
    <row r="3289" spans="1:9" s="26" customFormat="1">
      <c r="A3289" s="947">
        <v>6</v>
      </c>
      <c r="B3289" s="948">
        <v>201.5</v>
      </c>
      <c r="C3289" s="948" t="s">
        <v>2075</v>
      </c>
      <c r="D3289" s="947" t="s">
        <v>2</v>
      </c>
      <c r="E3289" s="950">
        <v>66</v>
      </c>
      <c r="F3289" s="950">
        <v>1</v>
      </c>
      <c r="G3289" s="951">
        <v>8178.85</v>
      </c>
      <c r="H3289" s="951">
        <v>7685.9</v>
      </c>
      <c r="I3289" s="18"/>
    </row>
    <row r="3290" spans="1:9">
      <c r="A3290" s="943">
        <v>6</v>
      </c>
      <c r="B3290" s="944">
        <v>202</v>
      </c>
      <c r="C3290" s="944" t="s">
        <v>157</v>
      </c>
      <c r="D3290" s="943" t="s">
        <v>2</v>
      </c>
      <c r="E3290" s="945">
        <v>689</v>
      </c>
      <c r="F3290" s="945">
        <v>5</v>
      </c>
      <c r="G3290" s="946">
        <v>8550</v>
      </c>
      <c r="H3290" s="946">
        <v>8231.32</v>
      </c>
    </row>
    <row r="3291" spans="1:9" s="26" customFormat="1">
      <c r="A3291" s="947">
        <v>6</v>
      </c>
      <c r="B3291" s="948">
        <v>202.01</v>
      </c>
      <c r="C3291" s="948" t="s">
        <v>2076</v>
      </c>
      <c r="D3291" s="947" t="s">
        <v>2</v>
      </c>
      <c r="E3291" s="950">
        <v>28</v>
      </c>
      <c r="F3291" s="950">
        <v>1</v>
      </c>
      <c r="G3291" s="951">
        <v>8487.5</v>
      </c>
      <c r="H3291" s="951">
        <v>8494.77</v>
      </c>
      <c r="I3291" s="18"/>
    </row>
    <row r="3292" spans="1:9">
      <c r="A3292" s="943">
        <v>6</v>
      </c>
      <c r="B3292" s="944">
        <v>202.21</v>
      </c>
      <c r="C3292" s="944" t="s">
        <v>2077</v>
      </c>
      <c r="D3292" s="943" t="s">
        <v>2</v>
      </c>
      <c r="E3292" s="945">
        <v>12</v>
      </c>
      <c r="F3292" s="945">
        <v>1</v>
      </c>
      <c r="G3292" s="946">
        <v>14299.79</v>
      </c>
      <c r="H3292" s="946">
        <v>13399.19</v>
      </c>
    </row>
    <row r="3293" spans="1:9" s="26" customFormat="1">
      <c r="A3293" s="947">
        <v>6</v>
      </c>
      <c r="B3293" s="948">
        <v>203</v>
      </c>
      <c r="C3293" s="948" t="s">
        <v>159</v>
      </c>
      <c r="D3293" s="947" t="s">
        <v>2</v>
      </c>
      <c r="E3293" s="950">
        <v>4</v>
      </c>
      <c r="F3293" s="950">
        <v>1</v>
      </c>
      <c r="G3293" s="951">
        <v>12950</v>
      </c>
      <c r="H3293" s="951">
        <v>11375</v>
      </c>
      <c r="I3293" s="18"/>
    </row>
    <row r="3294" spans="1:9">
      <c r="A3294" s="943">
        <v>6</v>
      </c>
      <c r="B3294" s="944">
        <v>204</v>
      </c>
      <c r="C3294" s="944" t="s">
        <v>160</v>
      </c>
      <c r="D3294" s="943" t="s">
        <v>2</v>
      </c>
      <c r="E3294" s="945">
        <v>20</v>
      </c>
      <c r="F3294" s="945">
        <v>1</v>
      </c>
      <c r="G3294" s="946">
        <v>4150</v>
      </c>
      <c r="H3294" s="946">
        <v>3933</v>
      </c>
    </row>
    <row r="3295" spans="1:9" s="26" customFormat="1">
      <c r="A3295" s="947">
        <v>6</v>
      </c>
      <c r="B3295" s="948">
        <v>204.11</v>
      </c>
      <c r="C3295" s="948" t="s">
        <v>1294</v>
      </c>
      <c r="D3295" s="947" t="s">
        <v>2</v>
      </c>
      <c r="E3295" s="950">
        <v>85</v>
      </c>
      <c r="F3295" s="950">
        <v>2</v>
      </c>
      <c r="G3295" s="951">
        <v>4500</v>
      </c>
      <c r="H3295" s="951">
        <v>4890</v>
      </c>
      <c r="I3295" s="18"/>
    </row>
    <row r="3296" spans="1:9">
      <c r="A3296" s="943">
        <v>6</v>
      </c>
      <c r="B3296" s="944">
        <v>204.3</v>
      </c>
      <c r="C3296" s="944" t="s">
        <v>2081</v>
      </c>
      <c r="D3296" s="943" t="s">
        <v>2</v>
      </c>
      <c r="E3296" s="945">
        <v>4</v>
      </c>
      <c r="F3296" s="945">
        <v>1</v>
      </c>
      <c r="G3296" s="946">
        <v>4250</v>
      </c>
      <c r="H3296" s="946">
        <v>4205.2</v>
      </c>
    </row>
    <row r="3297" spans="1:9" s="26" customFormat="1">
      <c r="A3297" s="947">
        <v>6</v>
      </c>
      <c r="B3297" s="948">
        <v>206</v>
      </c>
      <c r="C3297" s="948" t="s">
        <v>162</v>
      </c>
      <c r="D3297" s="947" t="s">
        <v>2</v>
      </c>
      <c r="E3297" s="950">
        <v>12</v>
      </c>
      <c r="F3297" s="950">
        <v>1</v>
      </c>
      <c r="G3297" s="951">
        <v>7200</v>
      </c>
      <c r="H3297" s="951">
        <v>7233.33</v>
      </c>
      <c r="I3297" s="18"/>
    </row>
    <row r="3298" spans="1:9">
      <c r="A3298" s="943">
        <v>6</v>
      </c>
      <c r="B3298" s="944">
        <v>220</v>
      </c>
      <c r="C3298" s="944" t="s">
        <v>172</v>
      </c>
      <c r="D3298" s="943" t="s">
        <v>2</v>
      </c>
      <c r="E3298" s="952">
        <v>3343</v>
      </c>
      <c r="F3298" s="945">
        <v>12</v>
      </c>
      <c r="G3298" s="946">
        <v>560</v>
      </c>
      <c r="H3298" s="946">
        <v>559.77</v>
      </c>
    </row>
    <row r="3299" spans="1:9" s="26" customFormat="1">
      <c r="A3299" s="947">
        <v>6</v>
      </c>
      <c r="B3299" s="948">
        <v>220.2</v>
      </c>
      <c r="C3299" s="948" t="s">
        <v>173</v>
      </c>
      <c r="D3299" s="947" t="s">
        <v>17</v>
      </c>
      <c r="E3299" s="949">
        <v>1081</v>
      </c>
      <c r="F3299" s="950">
        <v>8</v>
      </c>
      <c r="G3299" s="951">
        <v>520</v>
      </c>
      <c r="H3299" s="951">
        <v>501.56</v>
      </c>
      <c r="I3299" s="18"/>
    </row>
    <row r="3300" spans="1:9">
      <c r="A3300" s="943">
        <v>6</v>
      </c>
      <c r="B3300" s="944">
        <v>220.3</v>
      </c>
      <c r="C3300" s="944" t="s">
        <v>174</v>
      </c>
      <c r="D3300" s="943" t="s">
        <v>2</v>
      </c>
      <c r="E3300" s="945">
        <v>43</v>
      </c>
      <c r="F3300" s="945">
        <v>5</v>
      </c>
      <c r="G3300" s="946">
        <v>1400</v>
      </c>
      <c r="H3300" s="946">
        <v>1438</v>
      </c>
    </row>
    <row r="3301" spans="1:9" s="26" customFormat="1">
      <c r="A3301" s="947">
        <v>6</v>
      </c>
      <c r="B3301" s="948">
        <v>220.5</v>
      </c>
      <c r="C3301" s="948" t="s">
        <v>175</v>
      </c>
      <c r="D3301" s="947" t="s">
        <v>2</v>
      </c>
      <c r="E3301" s="950">
        <v>122</v>
      </c>
      <c r="F3301" s="950">
        <v>6</v>
      </c>
      <c r="G3301" s="951">
        <v>950</v>
      </c>
      <c r="H3301" s="951">
        <v>839.15</v>
      </c>
      <c r="I3301" s="18"/>
    </row>
    <row r="3302" spans="1:9">
      <c r="A3302" s="943">
        <v>6</v>
      </c>
      <c r="B3302" s="944">
        <v>220.6</v>
      </c>
      <c r="C3302" s="944" t="s">
        <v>176</v>
      </c>
      <c r="D3302" s="943" t="s">
        <v>17</v>
      </c>
      <c r="E3302" s="945">
        <v>235</v>
      </c>
      <c r="F3302" s="945">
        <v>3</v>
      </c>
      <c r="G3302" s="946">
        <v>512.5</v>
      </c>
      <c r="H3302" s="946">
        <v>621.88</v>
      </c>
    </row>
    <row r="3303" spans="1:9" s="26" customFormat="1">
      <c r="A3303" s="947">
        <v>6</v>
      </c>
      <c r="B3303" s="948">
        <v>220.7</v>
      </c>
      <c r="C3303" s="948" t="s">
        <v>177</v>
      </c>
      <c r="D3303" s="947" t="s">
        <v>2</v>
      </c>
      <c r="E3303" s="950">
        <v>906</v>
      </c>
      <c r="F3303" s="950">
        <v>12</v>
      </c>
      <c r="G3303" s="951">
        <v>525</v>
      </c>
      <c r="H3303" s="951">
        <v>548.64</v>
      </c>
      <c r="I3303" s="18"/>
    </row>
    <row r="3304" spans="1:9">
      <c r="A3304" s="943">
        <v>6</v>
      </c>
      <c r="B3304" s="944">
        <v>220.8</v>
      </c>
      <c r="C3304" s="944" t="s">
        <v>178</v>
      </c>
      <c r="D3304" s="943" t="s">
        <v>2</v>
      </c>
      <c r="E3304" s="945">
        <v>119</v>
      </c>
      <c r="F3304" s="945">
        <v>3</v>
      </c>
      <c r="G3304" s="946">
        <v>990</v>
      </c>
      <c r="H3304" s="946">
        <v>1000.45</v>
      </c>
    </row>
    <row r="3305" spans="1:9" s="26" customFormat="1">
      <c r="A3305" s="947">
        <v>6</v>
      </c>
      <c r="B3305" s="948">
        <v>221</v>
      </c>
      <c r="C3305" s="948" t="s">
        <v>180</v>
      </c>
      <c r="D3305" s="947" t="s">
        <v>2</v>
      </c>
      <c r="E3305" s="950">
        <v>263</v>
      </c>
      <c r="F3305" s="950">
        <v>5</v>
      </c>
      <c r="G3305" s="951">
        <v>1080</v>
      </c>
      <c r="H3305" s="951">
        <v>1050.93</v>
      </c>
      <c r="I3305" s="18"/>
    </row>
    <row r="3306" spans="1:9">
      <c r="A3306" s="943">
        <v>6</v>
      </c>
      <c r="B3306" s="944">
        <v>221.1</v>
      </c>
      <c r="C3306" s="944" t="s">
        <v>1300</v>
      </c>
      <c r="D3306" s="943" t="s">
        <v>2</v>
      </c>
      <c r="E3306" s="945">
        <v>506</v>
      </c>
      <c r="F3306" s="945">
        <v>4</v>
      </c>
      <c r="G3306" s="946">
        <v>1034.5</v>
      </c>
      <c r="H3306" s="946">
        <v>1003.78</v>
      </c>
    </row>
    <row r="3307" spans="1:9" s="26" customFormat="1">
      <c r="A3307" s="947">
        <v>6</v>
      </c>
      <c r="B3307" s="948">
        <v>222</v>
      </c>
      <c r="C3307" s="948" t="s">
        <v>181</v>
      </c>
      <c r="D3307" s="947" t="s">
        <v>2</v>
      </c>
      <c r="E3307" s="950">
        <v>426</v>
      </c>
      <c r="F3307" s="950">
        <v>5</v>
      </c>
      <c r="G3307" s="951">
        <v>1080</v>
      </c>
      <c r="H3307" s="951">
        <v>973.71</v>
      </c>
      <c r="I3307" s="18"/>
    </row>
    <row r="3308" spans="1:9">
      <c r="A3308" s="943">
        <v>6</v>
      </c>
      <c r="B3308" s="944">
        <v>222.1</v>
      </c>
      <c r="C3308" s="944" t="s">
        <v>182</v>
      </c>
      <c r="D3308" s="943" t="s">
        <v>2</v>
      </c>
      <c r="E3308" s="945">
        <v>529</v>
      </c>
      <c r="F3308" s="945">
        <v>7</v>
      </c>
      <c r="G3308" s="946">
        <v>1425</v>
      </c>
      <c r="H3308" s="946">
        <v>1294.81</v>
      </c>
    </row>
    <row r="3309" spans="1:9" s="26" customFormat="1">
      <c r="A3309" s="947">
        <v>6</v>
      </c>
      <c r="B3309" s="948">
        <v>222.3</v>
      </c>
      <c r="C3309" s="948" t="s">
        <v>29</v>
      </c>
      <c r="D3309" s="947" t="s">
        <v>2</v>
      </c>
      <c r="E3309" s="949">
        <v>2237</v>
      </c>
      <c r="F3309" s="950">
        <v>8</v>
      </c>
      <c r="G3309" s="951">
        <v>1300</v>
      </c>
      <c r="H3309" s="951">
        <v>1247.3</v>
      </c>
      <c r="I3309" s="18"/>
    </row>
    <row r="3310" spans="1:9">
      <c r="A3310" s="943">
        <v>6</v>
      </c>
      <c r="B3310" s="944">
        <v>223.1</v>
      </c>
      <c r="C3310" s="944" t="s">
        <v>184</v>
      </c>
      <c r="D3310" s="943" t="s">
        <v>2</v>
      </c>
      <c r="E3310" s="945">
        <v>208</v>
      </c>
      <c r="F3310" s="945">
        <v>1</v>
      </c>
      <c r="G3310" s="946">
        <v>100</v>
      </c>
      <c r="H3310" s="946">
        <v>86.25</v>
      </c>
    </row>
    <row r="3311" spans="1:9" s="26" customFormat="1">
      <c r="A3311" s="947">
        <v>6</v>
      </c>
      <c r="B3311" s="948">
        <v>223.2</v>
      </c>
      <c r="C3311" s="948" t="s">
        <v>185</v>
      </c>
      <c r="D3311" s="947" t="s">
        <v>2</v>
      </c>
      <c r="E3311" s="950">
        <v>768</v>
      </c>
      <c r="F3311" s="950">
        <v>12</v>
      </c>
      <c r="G3311" s="951">
        <v>150</v>
      </c>
      <c r="H3311" s="951">
        <v>151.87</v>
      </c>
      <c r="I3311" s="18"/>
    </row>
    <row r="3312" spans="1:9">
      <c r="A3312" s="943">
        <v>6</v>
      </c>
      <c r="B3312" s="944">
        <v>224.1</v>
      </c>
      <c r="C3312" s="944" t="s">
        <v>186</v>
      </c>
      <c r="D3312" s="943" t="s">
        <v>2</v>
      </c>
      <c r="E3312" s="945">
        <v>3</v>
      </c>
      <c r="F3312" s="945">
        <v>1</v>
      </c>
      <c r="G3312" s="946">
        <v>475</v>
      </c>
      <c r="H3312" s="946">
        <v>400</v>
      </c>
    </row>
    <row r="3313" spans="1:9" s="26" customFormat="1">
      <c r="A3313" s="947">
        <v>6</v>
      </c>
      <c r="B3313" s="948">
        <v>224.12</v>
      </c>
      <c r="C3313" s="948" t="s">
        <v>187</v>
      </c>
      <c r="D3313" s="947" t="s">
        <v>2</v>
      </c>
      <c r="E3313" s="950">
        <v>312</v>
      </c>
      <c r="F3313" s="950">
        <v>1</v>
      </c>
      <c r="G3313" s="951">
        <v>500</v>
      </c>
      <c r="H3313" s="951">
        <v>475</v>
      </c>
      <c r="I3313" s="18"/>
    </row>
    <row r="3314" spans="1:9">
      <c r="A3314" s="943">
        <v>6</v>
      </c>
      <c r="B3314" s="944">
        <v>225.52</v>
      </c>
      <c r="C3314" s="944" t="s">
        <v>1303</v>
      </c>
      <c r="D3314" s="943" t="s">
        <v>2</v>
      </c>
      <c r="E3314" s="945">
        <v>27</v>
      </c>
      <c r="F3314" s="945">
        <v>1</v>
      </c>
      <c r="G3314" s="946">
        <v>600</v>
      </c>
      <c r="H3314" s="946">
        <v>600</v>
      </c>
    </row>
    <row r="3315" spans="1:9" s="26" customFormat="1">
      <c r="A3315" s="947">
        <v>6</v>
      </c>
      <c r="B3315" s="948">
        <v>227.3</v>
      </c>
      <c r="C3315" s="948" t="s">
        <v>189</v>
      </c>
      <c r="D3315" s="947" t="s">
        <v>4</v>
      </c>
      <c r="E3315" s="949">
        <v>2083</v>
      </c>
      <c r="F3315" s="950">
        <v>11</v>
      </c>
      <c r="G3315" s="951">
        <v>337.5</v>
      </c>
      <c r="H3315" s="951">
        <v>324.98</v>
      </c>
      <c r="I3315" s="18"/>
    </row>
    <row r="3316" spans="1:9">
      <c r="A3316" s="943">
        <v>6</v>
      </c>
      <c r="B3316" s="944">
        <v>227.31</v>
      </c>
      <c r="C3316" s="944" t="s">
        <v>190</v>
      </c>
      <c r="D3316" s="943" t="s">
        <v>17</v>
      </c>
      <c r="E3316" s="952">
        <v>14359</v>
      </c>
      <c r="F3316" s="945">
        <v>12</v>
      </c>
      <c r="G3316" s="946">
        <v>20</v>
      </c>
      <c r="H3316" s="946">
        <v>19.46</v>
      </c>
    </row>
    <row r="3317" spans="1:9" s="26" customFormat="1">
      <c r="A3317" s="947">
        <v>6</v>
      </c>
      <c r="B3317" s="948">
        <v>227.4</v>
      </c>
      <c r="C3317" s="948" t="s">
        <v>191</v>
      </c>
      <c r="D3317" s="947" t="s">
        <v>3</v>
      </c>
      <c r="E3317" s="950">
        <v>443</v>
      </c>
      <c r="F3317" s="950">
        <v>4</v>
      </c>
      <c r="G3317" s="951">
        <v>150</v>
      </c>
      <c r="H3317" s="951">
        <v>148.02000000000001</v>
      </c>
      <c r="I3317" s="18"/>
    </row>
    <row r="3318" spans="1:9">
      <c r="A3318" s="943">
        <v>6</v>
      </c>
      <c r="B3318" s="944">
        <v>234.12</v>
      </c>
      <c r="C3318" s="944" t="s">
        <v>195</v>
      </c>
      <c r="D3318" s="943" t="s">
        <v>17</v>
      </c>
      <c r="E3318" s="952">
        <v>23500</v>
      </c>
      <c r="F3318" s="945">
        <v>3</v>
      </c>
      <c r="G3318" s="946">
        <v>165</v>
      </c>
      <c r="H3318" s="946">
        <v>177.75</v>
      </c>
    </row>
    <row r="3319" spans="1:9" s="26" customFormat="1">
      <c r="A3319" s="947">
        <v>6</v>
      </c>
      <c r="B3319" s="948">
        <v>234.15</v>
      </c>
      <c r="C3319" s="948" t="s">
        <v>196</v>
      </c>
      <c r="D3319" s="947" t="s">
        <v>17</v>
      </c>
      <c r="E3319" s="949">
        <v>3000</v>
      </c>
      <c r="F3319" s="950">
        <v>1</v>
      </c>
      <c r="G3319" s="951">
        <v>225</v>
      </c>
      <c r="H3319" s="951">
        <v>224</v>
      </c>
      <c r="I3319" s="18"/>
    </row>
    <row r="3320" spans="1:9">
      <c r="A3320" s="943">
        <v>6</v>
      </c>
      <c r="B3320" s="944">
        <v>234.18</v>
      </c>
      <c r="C3320" s="944" t="s">
        <v>197</v>
      </c>
      <c r="D3320" s="943" t="s">
        <v>17</v>
      </c>
      <c r="E3320" s="952">
        <v>9124</v>
      </c>
      <c r="F3320" s="945">
        <v>2</v>
      </c>
      <c r="G3320" s="946">
        <v>230</v>
      </c>
      <c r="H3320" s="946">
        <v>214.14</v>
      </c>
    </row>
    <row r="3321" spans="1:9" s="26" customFormat="1">
      <c r="A3321" s="947">
        <v>6</v>
      </c>
      <c r="B3321" s="948">
        <v>234.24</v>
      </c>
      <c r="C3321" s="948" t="s">
        <v>198</v>
      </c>
      <c r="D3321" s="947" t="s">
        <v>17</v>
      </c>
      <c r="E3321" s="949">
        <v>10024</v>
      </c>
      <c r="F3321" s="950">
        <v>2</v>
      </c>
      <c r="G3321" s="951">
        <v>250</v>
      </c>
      <c r="H3321" s="951">
        <v>241.57</v>
      </c>
      <c r="I3321" s="18"/>
    </row>
    <row r="3322" spans="1:9">
      <c r="A3322" s="943">
        <v>6</v>
      </c>
      <c r="B3322" s="944">
        <v>238.1</v>
      </c>
      <c r="C3322" s="944" t="s">
        <v>207</v>
      </c>
      <c r="D3322" s="943" t="s">
        <v>17</v>
      </c>
      <c r="E3322" s="952">
        <v>4220</v>
      </c>
      <c r="F3322" s="945">
        <v>5</v>
      </c>
      <c r="G3322" s="946">
        <v>245</v>
      </c>
      <c r="H3322" s="946">
        <v>235.06</v>
      </c>
    </row>
    <row r="3323" spans="1:9" s="26" customFormat="1">
      <c r="A3323" s="947">
        <v>6</v>
      </c>
      <c r="B3323" s="948">
        <v>238.12</v>
      </c>
      <c r="C3323" s="948" t="s">
        <v>208</v>
      </c>
      <c r="D3323" s="947" t="s">
        <v>17</v>
      </c>
      <c r="E3323" s="949">
        <v>8802</v>
      </c>
      <c r="F3323" s="950">
        <v>6</v>
      </c>
      <c r="G3323" s="951">
        <v>275</v>
      </c>
      <c r="H3323" s="951">
        <v>271.88</v>
      </c>
      <c r="I3323" s="18"/>
    </row>
    <row r="3324" spans="1:9">
      <c r="A3324" s="943">
        <v>6</v>
      </c>
      <c r="B3324" s="944">
        <v>241.12</v>
      </c>
      <c r="C3324" s="944" t="s">
        <v>3996</v>
      </c>
      <c r="D3324" s="943" t="s">
        <v>17</v>
      </c>
      <c r="E3324" s="952">
        <v>11494</v>
      </c>
      <c r="F3324" s="945">
        <v>3</v>
      </c>
      <c r="G3324" s="946">
        <v>177</v>
      </c>
      <c r="H3324" s="946">
        <v>179.66</v>
      </c>
    </row>
    <row r="3325" spans="1:9" s="26" customFormat="1">
      <c r="A3325" s="947">
        <v>6</v>
      </c>
      <c r="B3325" s="948">
        <v>241.15</v>
      </c>
      <c r="C3325" s="948" t="s">
        <v>3997</v>
      </c>
      <c r="D3325" s="947" t="s">
        <v>17</v>
      </c>
      <c r="E3325" s="949">
        <v>3536</v>
      </c>
      <c r="F3325" s="950">
        <v>2</v>
      </c>
      <c r="G3325" s="951">
        <v>188</v>
      </c>
      <c r="H3325" s="951">
        <v>194.57</v>
      </c>
      <c r="I3325" s="18"/>
    </row>
    <row r="3326" spans="1:9">
      <c r="A3326" s="943">
        <v>6</v>
      </c>
      <c r="B3326" s="944">
        <v>241.18</v>
      </c>
      <c r="C3326" s="944" t="s">
        <v>3998</v>
      </c>
      <c r="D3326" s="943" t="s">
        <v>17</v>
      </c>
      <c r="E3326" s="952">
        <v>4308</v>
      </c>
      <c r="F3326" s="945">
        <v>2</v>
      </c>
      <c r="G3326" s="946">
        <v>199</v>
      </c>
      <c r="H3326" s="946">
        <v>206.96</v>
      </c>
    </row>
    <row r="3327" spans="1:9" s="26" customFormat="1">
      <c r="A3327" s="947">
        <v>6</v>
      </c>
      <c r="B3327" s="948">
        <v>242.12</v>
      </c>
      <c r="C3327" s="948" t="s">
        <v>219</v>
      </c>
      <c r="D3327" s="947" t="s">
        <v>2</v>
      </c>
      <c r="E3327" s="950">
        <v>2</v>
      </c>
      <c r="F3327" s="950">
        <v>2</v>
      </c>
      <c r="G3327" s="951">
        <v>12310</v>
      </c>
      <c r="H3327" s="951">
        <v>14280</v>
      </c>
      <c r="I3327" s="18"/>
    </row>
    <row r="3328" spans="1:9">
      <c r="A3328" s="943">
        <v>6</v>
      </c>
      <c r="B3328" s="944">
        <v>242.18</v>
      </c>
      <c r="C3328" s="944" t="s">
        <v>221</v>
      </c>
      <c r="D3328" s="943" t="s">
        <v>2</v>
      </c>
      <c r="E3328" s="945">
        <v>1</v>
      </c>
      <c r="F3328" s="945">
        <v>1</v>
      </c>
      <c r="G3328" s="946">
        <v>18885</v>
      </c>
      <c r="H3328" s="946">
        <v>18885</v>
      </c>
    </row>
    <row r="3329" spans="1:9" s="26" customFormat="1">
      <c r="A3329" s="947">
        <v>6</v>
      </c>
      <c r="B3329" s="948">
        <v>244.12</v>
      </c>
      <c r="C3329" s="948" t="s">
        <v>229</v>
      </c>
      <c r="D3329" s="947" t="s">
        <v>17</v>
      </c>
      <c r="E3329" s="950">
        <v>130</v>
      </c>
      <c r="F3329" s="950">
        <v>1</v>
      </c>
      <c r="G3329" s="951">
        <v>344.5</v>
      </c>
      <c r="H3329" s="951">
        <v>344.5</v>
      </c>
      <c r="I3329" s="18"/>
    </row>
    <row r="3330" spans="1:9">
      <c r="A3330" s="943">
        <v>6</v>
      </c>
      <c r="B3330" s="944">
        <v>258</v>
      </c>
      <c r="C3330" s="944" t="s">
        <v>238</v>
      </c>
      <c r="D3330" s="943" t="s">
        <v>1</v>
      </c>
      <c r="E3330" s="945">
        <v>60</v>
      </c>
      <c r="F3330" s="945">
        <v>1</v>
      </c>
      <c r="G3330" s="946">
        <v>99</v>
      </c>
      <c r="H3330" s="946">
        <v>99</v>
      </c>
    </row>
    <row r="3331" spans="1:9" s="26" customFormat="1">
      <c r="A3331" s="947">
        <v>6</v>
      </c>
      <c r="B3331" s="948">
        <v>280.10000000000002</v>
      </c>
      <c r="C3331" s="948" t="s">
        <v>244</v>
      </c>
      <c r="D3331" s="947" t="s">
        <v>7</v>
      </c>
      <c r="E3331" s="950">
        <v>678</v>
      </c>
      <c r="F3331" s="950">
        <v>1</v>
      </c>
      <c r="G3331" s="951">
        <v>271</v>
      </c>
      <c r="H3331" s="951">
        <v>271</v>
      </c>
      <c r="I3331" s="18"/>
    </row>
    <row r="3332" spans="1:9">
      <c r="A3332" s="943">
        <v>6</v>
      </c>
      <c r="B3332" s="944">
        <v>302.06</v>
      </c>
      <c r="C3332" s="944" t="s">
        <v>247</v>
      </c>
      <c r="D3332" s="943" t="s">
        <v>17</v>
      </c>
      <c r="E3332" s="945">
        <v>160</v>
      </c>
      <c r="F3332" s="945">
        <v>2</v>
      </c>
      <c r="G3332" s="946">
        <v>274.5</v>
      </c>
      <c r="H3332" s="946">
        <v>268.57</v>
      </c>
    </row>
    <row r="3333" spans="1:9" s="26" customFormat="1">
      <c r="A3333" s="947">
        <v>6</v>
      </c>
      <c r="B3333" s="948">
        <v>302.08</v>
      </c>
      <c r="C3333" s="948" t="s">
        <v>248</v>
      </c>
      <c r="D3333" s="947" t="s">
        <v>17</v>
      </c>
      <c r="E3333" s="950">
        <v>150</v>
      </c>
      <c r="F3333" s="950">
        <v>1</v>
      </c>
      <c r="G3333" s="951">
        <v>200</v>
      </c>
      <c r="H3333" s="951">
        <v>200</v>
      </c>
      <c r="I3333" s="18"/>
    </row>
    <row r="3334" spans="1:9">
      <c r="A3334" s="943">
        <v>6</v>
      </c>
      <c r="B3334" s="944">
        <v>303.06</v>
      </c>
      <c r="C3334" s="944" t="s">
        <v>251</v>
      </c>
      <c r="D3334" s="943" t="s">
        <v>17</v>
      </c>
      <c r="E3334" s="945">
        <v>725</v>
      </c>
      <c r="F3334" s="945">
        <v>2</v>
      </c>
      <c r="G3334" s="946">
        <v>288.5</v>
      </c>
      <c r="H3334" s="946">
        <v>273.7</v>
      </c>
    </row>
    <row r="3335" spans="1:9" s="26" customFormat="1">
      <c r="A3335" s="947">
        <v>6</v>
      </c>
      <c r="B3335" s="948">
        <v>303.08</v>
      </c>
      <c r="C3335" s="948" t="s">
        <v>252</v>
      </c>
      <c r="D3335" s="947" t="s">
        <v>17</v>
      </c>
      <c r="E3335" s="950">
        <v>155</v>
      </c>
      <c r="F3335" s="950">
        <v>2</v>
      </c>
      <c r="G3335" s="951">
        <v>407.5</v>
      </c>
      <c r="H3335" s="951">
        <v>413.67</v>
      </c>
      <c r="I3335" s="18"/>
    </row>
    <row r="3336" spans="1:9">
      <c r="A3336" s="943">
        <v>6</v>
      </c>
      <c r="B3336" s="944">
        <v>303.10000000000002</v>
      </c>
      <c r="C3336" s="944" t="s">
        <v>253</v>
      </c>
      <c r="D3336" s="943" t="s">
        <v>17</v>
      </c>
      <c r="E3336" s="945">
        <v>80</v>
      </c>
      <c r="F3336" s="945">
        <v>1</v>
      </c>
      <c r="G3336" s="946">
        <v>450</v>
      </c>
      <c r="H3336" s="946">
        <v>450</v>
      </c>
    </row>
    <row r="3337" spans="1:9" s="26" customFormat="1">
      <c r="A3337" s="947">
        <v>6</v>
      </c>
      <c r="B3337" s="948">
        <v>303.12</v>
      </c>
      <c r="C3337" s="948" t="s">
        <v>254</v>
      </c>
      <c r="D3337" s="947" t="s">
        <v>17</v>
      </c>
      <c r="E3337" s="950">
        <v>225</v>
      </c>
      <c r="F3337" s="950">
        <v>1</v>
      </c>
      <c r="G3337" s="951">
        <v>350</v>
      </c>
      <c r="H3337" s="951">
        <v>291.67</v>
      </c>
      <c r="I3337" s="18"/>
    </row>
    <row r="3338" spans="1:9">
      <c r="A3338" s="943">
        <v>6</v>
      </c>
      <c r="B3338" s="944">
        <v>309</v>
      </c>
      <c r="C3338" s="944" t="s">
        <v>256</v>
      </c>
      <c r="D3338" s="943" t="s">
        <v>100</v>
      </c>
      <c r="E3338" s="952">
        <v>15290</v>
      </c>
      <c r="F3338" s="945">
        <v>5</v>
      </c>
      <c r="G3338" s="946">
        <v>10</v>
      </c>
      <c r="H3338" s="946">
        <v>10.18</v>
      </c>
    </row>
    <row r="3339" spans="1:9" s="26" customFormat="1">
      <c r="A3339" s="947">
        <v>6</v>
      </c>
      <c r="B3339" s="948">
        <v>347.1</v>
      </c>
      <c r="C3339" s="948" t="s">
        <v>260</v>
      </c>
      <c r="D3339" s="947" t="s">
        <v>17</v>
      </c>
      <c r="E3339" s="950">
        <v>620</v>
      </c>
      <c r="F3339" s="950">
        <v>2</v>
      </c>
      <c r="G3339" s="951">
        <v>250</v>
      </c>
      <c r="H3339" s="951">
        <v>246.29</v>
      </c>
      <c r="I3339" s="18"/>
    </row>
    <row r="3340" spans="1:9">
      <c r="A3340" s="943">
        <v>6</v>
      </c>
      <c r="B3340" s="944">
        <v>347.2</v>
      </c>
      <c r="C3340" s="944" t="s">
        <v>261</v>
      </c>
      <c r="D3340" s="943" t="s">
        <v>17</v>
      </c>
      <c r="E3340" s="945">
        <v>500</v>
      </c>
      <c r="F3340" s="945">
        <v>1</v>
      </c>
      <c r="G3340" s="946">
        <v>153.5</v>
      </c>
      <c r="H3340" s="946">
        <v>167.4</v>
      </c>
    </row>
    <row r="3341" spans="1:9" s="26" customFormat="1">
      <c r="A3341" s="947">
        <v>6</v>
      </c>
      <c r="B3341" s="948">
        <v>350.06</v>
      </c>
      <c r="C3341" s="948" t="s">
        <v>264</v>
      </c>
      <c r="D3341" s="947" t="s">
        <v>2</v>
      </c>
      <c r="E3341" s="950">
        <v>21</v>
      </c>
      <c r="F3341" s="950">
        <v>2</v>
      </c>
      <c r="G3341" s="951">
        <v>4250</v>
      </c>
      <c r="H3341" s="951">
        <v>4100</v>
      </c>
      <c r="I3341" s="18"/>
    </row>
    <row r="3342" spans="1:9">
      <c r="A3342" s="943">
        <v>6</v>
      </c>
      <c r="B3342" s="944">
        <v>350.08</v>
      </c>
      <c r="C3342" s="944" t="s">
        <v>265</v>
      </c>
      <c r="D3342" s="943" t="s">
        <v>2</v>
      </c>
      <c r="E3342" s="945">
        <v>2</v>
      </c>
      <c r="F3342" s="945">
        <v>1</v>
      </c>
      <c r="G3342" s="946">
        <v>8000</v>
      </c>
      <c r="H3342" s="946">
        <v>8000</v>
      </c>
    </row>
    <row r="3343" spans="1:9" s="26" customFormat="1">
      <c r="A3343" s="947">
        <v>6</v>
      </c>
      <c r="B3343" s="948">
        <v>350.12</v>
      </c>
      <c r="C3343" s="948" t="s">
        <v>267</v>
      </c>
      <c r="D3343" s="947" t="s">
        <v>2</v>
      </c>
      <c r="E3343" s="950">
        <v>10</v>
      </c>
      <c r="F3343" s="950">
        <v>1</v>
      </c>
      <c r="G3343" s="951">
        <v>8500</v>
      </c>
      <c r="H3343" s="951">
        <v>8600</v>
      </c>
      <c r="I3343" s="18"/>
    </row>
    <row r="3344" spans="1:9">
      <c r="A3344" s="943">
        <v>6</v>
      </c>
      <c r="B3344" s="944">
        <v>355.06</v>
      </c>
      <c r="C3344" s="944" t="s">
        <v>1334</v>
      </c>
      <c r="D3344" s="943" t="s">
        <v>2</v>
      </c>
      <c r="E3344" s="945">
        <v>15</v>
      </c>
      <c r="F3344" s="945">
        <v>1</v>
      </c>
      <c r="G3344" s="946">
        <v>1000</v>
      </c>
      <c r="H3344" s="946">
        <v>1066.67</v>
      </c>
    </row>
    <row r="3345" spans="1:9" s="26" customFormat="1">
      <c r="A3345" s="947">
        <v>6</v>
      </c>
      <c r="B3345" s="948">
        <v>357.06</v>
      </c>
      <c r="C3345" s="948" t="s">
        <v>268</v>
      </c>
      <c r="D3345" s="947" t="s">
        <v>2</v>
      </c>
      <c r="E3345" s="950">
        <v>21</v>
      </c>
      <c r="F3345" s="950">
        <v>2</v>
      </c>
      <c r="G3345" s="951">
        <v>800</v>
      </c>
      <c r="H3345" s="951">
        <v>679</v>
      </c>
      <c r="I3345" s="18"/>
    </row>
    <row r="3346" spans="1:9">
      <c r="A3346" s="943">
        <v>6</v>
      </c>
      <c r="B3346" s="944">
        <v>357.08</v>
      </c>
      <c r="C3346" s="944" t="s">
        <v>269</v>
      </c>
      <c r="D3346" s="943" t="s">
        <v>2</v>
      </c>
      <c r="E3346" s="945">
        <v>12</v>
      </c>
      <c r="F3346" s="945">
        <v>1</v>
      </c>
      <c r="G3346" s="946">
        <v>750</v>
      </c>
      <c r="H3346" s="946">
        <v>605.75</v>
      </c>
    </row>
    <row r="3347" spans="1:9" s="26" customFormat="1">
      <c r="A3347" s="947">
        <v>6</v>
      </c>
      <c r="B3347" s="948">
        <v>357.12</v>
      </c>
      <c r="C3347" s="948" t="s">
        <v>271</v>
      </c>
      <c r="D3347" s="947" t="s">
        <v>2</v>
      </c>
      <c r="E3347" s="950">
        <v>24</v>
      </c>
      <c r="F3347" s="950">
        <v>1</v>
      </c>
      <c r="G3347" s="951">
        <v>800</v>
      </c>
      <c r="H3347" s="951">
        <v>698.33</v>
      </c>
      <c r="I3347" s="18"/>
    </row>
    <row r="3348" spans="1:9">
      <c r="A3348" s="943">
        <v>6</v>
      </c>
      <c r="B3348" s="944">
        <v>358</v>
      </c>
      <c r="C3348" s="944" t="s">
        <v>274</v>
      </c>
      <c r="D3348" s="943" t="s">
        <v>2</v>
      </c>
      <c r="E3348" s="952">
        <v>2522</v>
      </c>
      <c r="F3348" s="945">
        <v>12</v>
      </c>
      <c r="G3348" s="946">
        <v>338</v>
      </c>
      <c r="H3348" s="946">
        <v>311.87</v>
      </c>
    </row>
    <row r="3349" spans="1:9" s="26" customFormat="1">
      <c r="A3349" s="947">
        <v>6</v>
      </c>
      <c r="B3349" s="948">
        <v>363.1</v>
      </c>
      <c r="C3349" s="948" t="s">
        <v>276</v>
      </c>
      <c r="D3349" s="947" t="s">
        <v>2</v>
      </c>
      <c r="E3349" s="950">
        <v>124</v>
      </c>
      <c r="F3349" s="950">
        <v>2</v>
      </c>
      <c r="G3349" s="951">
        <v>825</v>
      </c>
      <c r="H3349" s="951">
        <v>1218.75</v>
      </c>
      <c r="I3349" s="18"/>
    </row>
    <row r="3350" spans="1:9">
      <c r="A3350" s="943">
        <v>6</v>
      </c>
      <c r="B3350" s="944">
        <v>369.06</v>
      </c>
      <c r="C3350" s="944" t="s">
        <v>2322</v>
      </c>
      <c r="D3350" s="943" t="s">
        <v>2</v>
      </c>
      <c r="E3350" s="945">
        <v>3</v>
      </c>
      <c r="F3350" s="945">
        <v>1</v>
      </c>
      <c r="G3350" s="946">
        <v>9750</v>
      </c>
      <c r="H3350" s="946">
        <v>8916.67</v>
      </c>
    </row>
    <row r="3351" spans="1:9" s="26" customFormat="1">
      <c r="A3351" s="947">
        <v>6</v>
      </c>
      <c r="B3351" s="948">
        <v>369.08</v>
      </c>
      <c r="C3351" s="948" t="s">
        <v>280</v>
      </c>
      <c r="D3351" s="947" t="s">
        <v>2</v>
      </c>
      <c r="E3351" s="950">
        <v>1</v>
      </c>
      <c r="F3351" s="950">
        <v>1</v>
      </c>
      <c r="G3351" s="951">
        <v>15000</v>
      </c>
      <c r="H3351" s="951">
        <v>15000</v>
      </c>
      <c r="I3351" s="18"/>
    </row>
    <row r="3352" spans="1:9">
      <c r="A3352" s="943">
        <v>6</v>
      </c>
      <c r="B3352" s="944">
        <v>370.1</v>
      </c>
      <c r="C3352" s="944" t="s">
        <v>282</v>
      </c>
      <c r="D3352" s="943" t="s">
        <v>2</v>
      </c>
      <c r="E3352" s="945">
        <v>3</v>
      </c>
      <c r="F3352" s="945">
        <v>1</v>
      </c>
      <c r="G3352" s="946">
        <v>10100</v>
      </c>
      <c r="H3352" s="946">
        <v>10200</v>
      </c>
    </row>
    <row r="3353" spans="1:9" s="26" customFormat="1">
      <c r="A3353" s="947">
        <v>6</v>
      </c>
      <c r="B3353" s="948">
        <v>370.2</v>
      </c>
      <c r="C3353" s="948" t="s">
        <v>1343</v>
      </c>
      <c r="D3353" s="947" t="s">
        <v>2</v>
      </c>
      <c r="E3353" s="950">
        <v>2</v>
      </c>
      <c r="F3353" s="950">
        <v>1</v>
      </c>
      <c r="G3353" s="951">
        <v>11700</v>
      </c>
      <c r="H3353" s="951">
        <v>8850</v>
      </c>
      <c r="I3353" s="18"/>
    </row>
    <row r="3354" spans="1:9">
      <c r="A3354" s="943">
        <v>6</v>
      </c>
      <c r="B3354" s="944">
        <v>370.4</v>
      </c>
      <c r="C3354" s="944" t="s">
        <v>283</v>
      </c>
      <c r="D3354" s="943" t="s">
        <v>2</v>
      </c>
      <c r="E3354" s="945">
        <v>1</v>
      </c>
      <c r="F3354" s="945">
        <v>1</v>
      </c>
      <c r="G3354" s="946">
        <v>6500</v>
      </c>
      <c r="H3354" s="946">
        <v>6500</v>
      </c>
    </row>
    <row r="3355" spans="1:9" s="26" customFormat="1">
      <c r="A3355" s="947">
        <v>6</v>
      </c>
      <c r="B3355" s="948">
        <v>371.06</v>
      </c>
      <c r="C3355" s="948" t="s">
        <v>285</v>
      </c>
      <c r="D3355" s="947" t="s">
        <v>2</v>
      </c>
      <c r="E3355" s="950">
        <v>25</v>
      </c>
      <c r="F3355" s="950">
        <v>2</v>
      </c>
      <c r="G3355" s="951">
        <v>700</v>
      </c>
      <c r="H3355" s="951">
        <v>1075</v>
      </c>
      <c r="I3355" s="18"/>
    </row>
    <row r="3356" spans="1:9">
      <c r="A3356" s="943">
        <v>6</v>
      </c>
      <c r="B3356" s="944">
        <v>371.08</v>
      </c>
      <c r="C3356" s="944" t="s">
        <v>286</v>
      </c>
      <c r="D3356" s="943" t="s">
        <v>2</v>
      </c>
      <c r="E3356" s="945">
        <v>4</v>
      </c>
      <c r="F3356" s="945">
        <v>1</v>
      </c>
      <c r="G3356" s="946">
        <v>787.5</v>
      </c>
      <c r="H3356" s="946">
        <v>787.5</v>
      </c>
    </row>
    <row r="3357" spans="1:9" s="26" customFormat="1">
      <c r="A3357" s="947">
        <v>6</v>
      </c>
      <c r="B3357" s="948">
        <v>371.1</v>
      </c>
      <c r="C3357" s="948" t="s">
        <v>2335</v>
      </c>
      <c r="D3357" s="947" t="s">
        <v>2</v>
      </c>
      <c r="E3357" s="950">
        <v>2</v>
      </c>
      <c r="F3357" s="950">
        <v>1</v>
      </c>
      <c r="G3357" s="951">
        <v>725</v>
      </c>
      <c r="H3357" s="951">
        <v>725</v>
      </c>
      <c r="I3357" s="18"/>
    </row>
    <row r="3358" spans="1:9">
      <c r="A3358" s="943">
        <v>6</v>
      </c>
      <c r="B3358" s="944">
        <v>371.12</v>
      </c>
      <c r="C3358" s="944" t="s">
        <v>287</v>
      </c>
      <c r="D3358" s="943" t="s">
        <v>2</v>
      </c>
      <c r="E3358" s="945">
        <v>24</v>
      </c>
      <c r="F3358" s="945">
        <v>1</v>
      </c>
      <c r="G3358" s="946">
        <v>1025</v>
      </c>
      <c r="H3358" s="946">
        <v>1262.5</v>
      </c>
    </row>
    <row r="3359" spans="1:9" s="26" customFormat="1">
      <c r="A3359" s="947">
        <v>6</v>
      </c>
      <c r="B3359" s="948">
        <v>376</v>
      </c>
      <c r="C3359" s="948" t="s">
        <v>290</v>
      </c>
      <c r="D3359" s="947" t="s">
        <v>2</v>
      </c>
      <c r="E3359" s="950">
        <v>110</v>
      </c>
      <c r="F3359" s="950">
        <v>2</v>
      </c>
      <c r="G3359" s="951">
        <v>9648</v>
      </c>
      <c r="H3359" s="951">
        <v>9479.7999999999993</v>
      </c>
      <c r="I3359" s="18"/>
    </row>
    <row r="3360" spans="1:9">
      <c r="A3360" s="943">
        <v>6</v>
      </c>
      <c r="B3360" s="944">
        <v>376.2</v>
      </c>
      <c r="C3360" s="944" t="s">
        <v>292</v>
      </c>
      <c r="D3360" s="943" t="s">
        <v>2</v>
      </c>
      <c r="E3360" s="945">
        <v>20</v>
      </c>
      <c r="F3360" s="945">
        <v>2</v>
      </c>
      <c r="G3360" s="946">
        <v>5325</v>
      </c>
      <c r="H3360" s="946">
        <v>4932.0200000000004</v>
      </c>
    </row>
    <row r="3361" spans="1:9" s="26" customFormat="1">
      <c r="A3361" s="947">
        <v>6</v>
      </c>
      <c r="B3361" s="948">
        <v>376.3</v>
      </c>
      <c r="C3361" s="948" t="s">
        <v>293</v>
      </c>
      <c r="D3361" s="947" t="s">
        <v>2</v>
      </c>
      <c r="E3361" s="950">
        <v>75</v>
      </c>
      <c r="F3361" s="950">
        <v>2</v>
      </c>
      <c r="G3361" s="951">
        <v>1000</v>
      </c>
      <c r="H3361" s="951">
        <v>870</v>
      </c>
      <c r="I3361" s="18"/>
    </row>
    <row r="3362" spans="1:9">
      <c r="A3362" s="943">
        <v>6</v>
      </c>
      <c r="B3362" s="944">
        <v>376.5</v>
      </c>
      <c r="C3362" s="944" t="s">
        <v>294</v>
      </c>
      <c r="D3362" s="943" t="s">
        <v>2</v>
      </c>
      <c r="E3362" s="945">
        <v>15</v>
      </c>
      <c r="F3362" s="945">
        <v>1</v>
      </c>
      <c r="G3362" s="946">
        <v>3500</v>
      </c>
      <c r="H3362" s="946">
        <v>3044</v>
      </c>
    </row>
    <row r="3363" spans="1:9" s="26" customFormat="1">
      <c r="A3363" s="947">
        <v>6</v>
      </c>
      <c r="B3363" s="948">
        <v>381</v>
      </c>
      <c r="C3363" s="948" t="s">
        <v>295</v>
      </c>
      <c r="D3363" s="947" t="s">
        <v>2</v>
      </c>
      <c r="E3363" s="950">
        <v>121</v>
      </c>
      <c r="F3363" s="950">
        <v>4</v>
      </c>
      <c r="G3363" s="951">
        <v>500</v>
      </c>
      <c r="H3363" s="951">
        <v>464.73</v>
      </c>
      <c r="I3363" s="18"/>
    </row>
    <row r="3364" spans="1:9">
      <c r="A3364" s="943">
        <v>6</v>
      </c>
      <c r="B3364" s="944">
        <v>381.01</v>
      </c>
      <c r="C3364" s="944" t="s">
        <v>296</v>
      </c>
      <c r="D3364" s="943" t="s">
        <v>2</v>
      </c>
      <c r="E3364" s="945">
        <v>120</v>
      </c>
      <c r="F3364" s="945">
        <v>1</v>
      </c>
      <c r="G3364" s="946">
        <v>500</v>
      </c>
      <c r="H3364" s="946">
        <v>479.83</v>
      </c>
    </row>
    <row r="3365" spans="1:9" s="26" customFormat="1">
      <c r="A3365" s="947">
        <v>6</v>
      </c>
      <c r="B3365" s="948">
        <v>381.1</v>
      </c>
      <c r="C3365" s="948" t="s">
        <v>39</v>
      </c>
      <c r="D3365" s="947" t="s">
        <v>2</v>
      </c>
      <c r="E3365" s="950">
        <v>8</v>
      </c>
      <c r="F3365" s="950">
        <v>1</v>
      </c>
      <c r="G3365" s="951">
        <v>375</v>
      </c>
      <c r="H3365" s="951">
        <v>362.5</v>
      </c>
      <c r="I3365" s="18"/>
    </row>
    <row r="3366" spans="1:9">
      <c r="A3366" s="943">
        <v>6</v>
      </c>
      <c r="B3366" s="944">
        <v>381.3</v>
      </c>
      <c r="C3366" s="944" t="s">
        <v>298</v>
      </c>
      <c r="D3366" s="943" t="s">
        <v>2</v>
      </c>
      <c r="E3366" s="952">
        <v>1240</v>
      </c>
      <c r="F3366" s="945">
        <v>7</v>
      </c>
      <c r="G3366" s="946">
        <v>250</v>
      </c>
      <c r="H3366" s="946">
        <v>246.95</v>
      </c>
    </row>
    <row r="3367" spans="1:9" s="26" customFormat="1">
      <c r="A3367" s="947">
        <v>6</v>
      </c>
      <c r="B3367" s="948">
        <v>384</v>
      </c>
      <c r="C3367" s="948" t="s">
        <v>299</v>
      </c>
      <c r="D3367" s="947" t="s">
        <v>2</v>
      </c>
      <c r="E3367" s="950">
        <v>166</v>
      </c>
      <c r="F3367" s="950">
        <v>2</v>
      </c>
      <c r="G3367" s="951">
        <v>725</v>
      </c>
      <c r="H3367" s="951">
        <v>855.11</v>
      </c>
      <c r="I3367" s="18"/>
    </row>
    <row r="3368" spans="1:9">
      <c r="A3368" s="943">
        <v>6</v>
      </c>
      <c r="B3368" s="944">
        <v>384.1</v>
      </c>
      <c r="C3368" s="944" t="s">
        <v>1356</v>
      </c>
      <c r="D3368" s="943" t="s">
        <v>2</v>
      </c>
      <c r="E3368" s="945">
        <v>6</v>
      </c>
      <c r="F3368" s="945">
        <v>1</v>
      </c>
      <c r="G3368" s="946">
        <v>375</v>
      </c>
      <c r="H3368" s="946">
        <v>358.33</v>
      </c>
    </row>
    <row r="3369" spans="1:9" s="26" customFormat="1">
      <c r="A3369" s="947">
        <v>6</v>
      </c>
      <c r="B3369" s="948">
        <v>402</v>
      </c>
      <c r="C3369" s="948" t="s">
        <v>301</v>
      </c>
      <c r="D3369" s="947" t="s">
        <v>4</v>
      </c>
      <c r="E3369" s="949">
        <v>21548</v>
      </c>
      <c r="F3369" s="950">
        <v>7</v>
      </c>
      <c r="G3369" s="951">
        <v>105.47</v>
      </c>
      <c r="H3369" s="951">
        <v>110.16</v>
      </c>
      <c r="I3369" s="18"/>
    </row>
    <row r="3370" spans="1:9">
      <c r="A3370" s="943">
        <v>6</v>
      </c>
      <c r="B3370" s="944">
        <v>402.1</v>
      </c>
      <c r="C3370" s="944" t="s">
        <v>301</v>
      </c>
      <c r="D3370" s="943" t="s">
        <v>7</v>
      </c>
      <c r="E3370" s="952">
        <v>2610</v>
      </c>
      <c r="F3370" s="945">
        <v>1</v>
      </c>
      <c r="G3370" s="946">
        <v>80</v>
      </c>
      <c r="H3370" s="946">
        <v>80.33</v>
      </c>
    </row>
    <row r="3371" spans="1:9" s="26" customFormat="1">
      <c r="A3371" s="947">
        <v>6</v>
      </c>
      <c r="B3371" s="948">
        <v>402.11</v>
      </c>
      <c r="C3371" s="948" t="s">
        <v>302</v>
      </c>
      <c r="D3371" s="947" t="s">
        <v>7</v>
      </c>
      <c r="E3371" s="949">
        <v>1010</v>
      </c>
      <c r="F3371" s="950">
        <v>1</v>
      </c>
      <c r="G3371" s="951">
        <v>90.5</v>
      </c>
      <c r="H3371" s="951">
        <v>90.5</v>
      </c>
      <c r="I3371" s="18"/>
    </row>
    <row r="3372" spans="1:9">
      <c r="A3372" s="943">
        <v>6</v>
      </c>
      <c r="B3372" s="944">
        <v>402.12</v>
      </c>
      <c r="C3372" s="944" t="s">
        <v>302</v>
      </c>
      <c r="D3372" s="943" t="s">
        <v>4</v>
      </c>
      <c r="E3372" s="945">
        <v>6</v>
      </c>
      <c r="F3372" s="945">
        <v>1</v>
      </c>
      <c r="G3372" s="946">
        <v>243</v>
      </c>
      <c r="H3372" s="946">
        <v>220.33</v>
      </c>
    </row>
    <row r="3373" spans="1:9" s="26" customFormat="1">
      <c r="A3373" s="947">
        <v>6</v>
      </c>
      <c r="B3373" s="948">
        <v>415.1</v>
      </c>
      <c r="C3373" s="948" t="s">
        <v>1360</v>
      </c>
      <c r="D3373" s="947" t="s">
        <v>1</v>
      </c>
      <c r="E3373" s="949">
        <v>897924</v>
      </c>
      <c r="F3373" s="950">
        <v>3</v>
      </c>
      <c r="G3373" s="951">
        <v>20</v>
      </c>
      <c r="H3373" s="951">
        <v>27.91</v>
      </c>
      <c r="I3373" s="18"/>
    </row>
    <row r="3374" spans="1:9">
      <c r="A3374" s="943">
        <v>6</v>
      </c>
      <c r="B3374" s="944">
        <v>415.2</v>
      </c>
      <c r="C3374" s="944" t="s">
        <v>1361</v>
      </c>
      <c r="D3374" s="943" t="s">
        <v>1</v>
      </c>
      <c r="E3374" s="952">
        <v>324400</v>
      </c>
      <c r="F3374" s="945">
        <v>4</v>
      </c>
      <c r="G3374" s="946">
        <v>26.22</v>
      </c>
      <c r="H3374" s="946">
        <v>22.99</v>
      </c>
    </row>
    <row r="3375" spans="1:9" s="26" customFormat="1">
      <c r="A3375" s="947">
        <v>6</v>
      </c>
      <c r="B3375" s="948">
        <v>415.3</v>
      </c>
      <c r="C3375" s="948" t="s">
        <v>1230</v>
      </c>
      <c r="D3375" s="947" t="s">
        <v>1</v>
      </c>
      <c r="E3375" s="949">
        <v>191305</v>
      </c>
      <c r="F3375" s="950">
        <v>3</v>
      </c>
      <c r="G3375" s="951">
        <v>18.5</v>
      </c>
      <c r="H3375" s="951">
        <v>36.590000000000003</v>
      </c>
      <c r="I3375" s="18"/>
    </row>
    <row r="3376" spans="1:9">
      <c r="A3376" s="943">
        <v>6</v>
      </c>
      <c r="B3376" s="944">
        <v>415.4</v>
      </c>
      <c r="C3376" s="944" t="s">
        <v>1362</v>
      </c>
      <c r="D3376" s="943" t="s">
        <v>1</v>
      </c>
      <c r="E3376" s="952">
        <v>52680</v>
      </c>
      <c r="F3376" s="945">
        <v>2</v>
      </c>
      <c r="G3376" s="946">
        <v>20</v>
      </c>
      <c r="H3376" s="946">
        <v>17.75</v>
      </c>
    </row>
    <row r="3377" spans="1:9" s="26" customFormat="1">
      <c r="A3377" s="947">
        <v>6</v>
      </c>
      <c r="B3377" s="948">
        <v>431</v>
      </c>
      <c r="C3377" s="948" t="s">
        <v>27</v>
      </c>
      <c r="D3377" s="947" t="s">
        <v>1</v>
      </c>
      <c r="E3377" s="949">
        <v>8045</v>
      </c>
      <c r="F3377" s="950">
        <v>5</v>
      </c>
      <c r="G3377" s="951">
        <v>93</v>
      </c>
      <c r="H3377" s="951">
        <v>95.97</v>
      </c>
      <c r="I3377" s="18"/>
    </row>
    <row r="3378" spans="1:9">
      <c r="A3378" s="943">
        <v>6</v>
      </c>
      <c r="B3378" s="944">
        <v>431.1</v>
      </c>
      <c r="C3378" s="944" t="s">
        <v>27</v>
      </c>
      <c r="D3378" s="943" t="s">
        <v>4</v>
      </c>
      <c r="E3378" s="945">
        <v>20</v>
      </c>
      <c r="F3378" s="945">
        <v>1</v>
      </c>
      <c r="G3378" s="946">
        <v>85</v>
      </c>
      <c r="H3378" s="946">
        <v>85</v>
      </c>
    </row>
    <row r="3379" spans="1:9" s="26" customFormat="1">
      <c r="A3379" s="947">
        <v>6</v>
      </c>
      <c r="B3379" s="948">
        <v>440</v>
      </c>
      <c r="C3379" s="948" t="s">
        <v>305</v>
      </c>
      <c r="D3379" s="947" t="s">
        <v>100</v>
      </c>
      <c r="E3379" s="949">
        <v>335500</v>
      </c>
      <c r="F3379" s="950">
        <v>5</v>
      </c>
      <c r="G3379" s="951">
        <v>0.35</v>
      </c>
      <c r="H3379" s="951">
        <v>0.38</v>
      </c>
      <c r="I3379" s="18"/>
    </row>
    <row r="3380" spans="1:9">
      <c r="A3380" s="943">
        <v>6</v>
      </c>
      <c r="B3380" s="944">
        <v>443</v>
      </c>
      <c r="C3380" s="944" t="s">
        <v>306</v>
      </c>
      <c r="D3380" s="943" t="s">
        <v>307</v>
      </c>
      <c r="E3380" s="945">
        <v>611</v>
      </c>
      <c r="F3380" s="945">
        <v>6</v>
      </c>
      <c r="G3380" s="946">
        <v>100</v>
      </c>
      <c r="H3380" s="946">
        <v>129.09</v>
      </c>
    </row>
    <row r="3381" spans="1:9" s="26" customFormat="1">
      <c r="A3381" s="947">
        <v>6</v>
      </c>
      <c r="B3381" s="948">
        <v>450.1</v>
      </c>
      <c r="C3381" s="948" t="s">
        <v>4069</v>
      </c>
      <c r="D3381" s="947" t="s">
        <v>7</v>
      </c>
      <c r="E3381" s="949">
        <v>1200</v>
      </c>
      <c r="F3381" s="950">
        <v>1</v>
      </c>
      <c r="G3381" s="951">
        <v>185</v>
      </c>
      <c r="H3381" s="951">
        <v>185</v>
      </c>
      <c r="I3381" s="18"/>
    </row>
    <row r="3382" spans="1:9">
      <c r="A3382" s="943">
        <v>6</v>
      </c>
      <c r="B3382" s="944">
        <v>450.22</v>
      </c>
      <c r="C3382" s="944" t="s">
        <v>4033</v>
      </c>
      <c r="D3382" s="943" t="s">
        <v>7</v>
      </c>
      <c r="E3382" s="945">
        <v>200</v>
      </c>
      <c r="F3382" s="945">
        <v>1</v>
      </c>
      <c r="G3382" s="946">
        <v>307.5</v>
      </c>
      <c r="H3382" s="946">
        <v>307.5</v>
      </c>
    </row>
    <row r="3383" spans="1:9" s="26" customFormat="1">
      <c r="A3383" s="947">
        <v>6</v>
      </c>
      <c r="B3383" s="948">
        <v>450.221</v>
      </c>
      <c r="C3383" s="948" t="s">
        <v>4034</v>
      </c>
      <c r="D3383" s="947" t="s">
        <v>7</v>
      </c>
      <c r="E3383" s="949">
        <v>5002</v>
      </c>
      <c r="F3383" s="950">
        <v>2</v>
      </c>
      <c r="G3383" s="951">
        <v>590</v>
      </c>
      <c r="H3383" s="951">
        <v>591.66999999999996</v>
      </c>
      <c r="I3383" s="18"/>
    </row>
    <row r="3384" spans="1:9">
      <c r="A3384" s="943">
        <v>6</v>
      </c>
      <c r="B3384" s="944">
        <v>450.23</v>
      </c>
      <c r="C3384" s="944" t="s">
        <v>308</v>
      </c>
      <c r="D3384" s="943" t="s">
        <v>7</v>
      </c>
      <c r="E3384" s="952">
        <v>33150</v>
      </c>
      <c r="F3384" s="945">
        <v>3</v>
      </c>
      <c r="G3384" s="946">
        <v>148</v>
      </c>
      <c r="H3384" s="946">
        <v>151.91999999999999</v>
      </c>
    </row>
    <row r="3385" spans="1:9" s="26" customFormat="1">
      <c r="A3385" s="947">
        <v>6</v>
      </c>
      <c r="B3385" s="948">
        <v>450.23099999999999</v>
      </c>
      <c r="C3385" s="948" t="s">
        <v>1367</v>
      </c>
      <c r="D3385" s="947" t="s">
        <v>7</v>
      </c>
      <c r="E3385" s="949">
        <v>180849</v>
      </c>
      <c r="F3385" s="950">
        <v>8</v>
      </c>
      <c r="G3385" s="951">
        <v>270</v>
      </c>
      <c r="H3385" s="951">
        <v>303.35000000000002</v>
      </c>
      <c r="I3385" s="18"/>
    </row>
    <row r="3386" spans="1:9">
      <c r="A3386" s="943">
        <v>6</v>
      </c>
      <c r="B3386" s="944">
        <v>450.31</v>
      </c>
      <c r="C3386" s="944" t="s">
        <v>53</v>
      </c>
      <c r="D3386" s="943" t="s">
        <v>7</v>
      </c>
      <c r="E3386" s="952">
        <v>1630</v>
      </c>
      <c r="F3386" s="945">
        <v>4</v>
      </c>
      <c r="G3386" s="946">
        <v>234.5</v>
      </c>
      <c r="H3386" s="946">
        <v>229.52</v>
      </c>
    </row>
    <row r="3387" spans="1:9" s="26" customFormat="1">
      <c r="A3387" s="947">
        <v>6</v>
      </c>
      <c r="B3387" s="948">
        <v>450.32</v>
      </c>
      <c r="C3387" s="948" t="s">
        <v>309</v>
      </c>
      <c r="D3387" s="947" t="s">
        <v>7</v>
      </c>
      <c r="E3387" s="949">
        <v>64745</v>
      </c>
      <c r="F3387" s="950">
        <v>7</v>
      </c>
      <c r="G3387" s="951">
        <v>160</v>
      </c>
      <c r="H3387" s="951">
        <v>167.21</v>
      </c>
      <c r="I3387" s="18"/>
    </row>
    <row r="3388" spans="1:9">
      <c r="A3388" s="943">
        <v>6</v>
      </c>
      <c r="B3388" s="944">
        <v>450.32100000000003</v>
      </c>
      <c r="C3388" s="944" t="s">
        <v>1370</v>
      </c>
      <c r="D3388" s="943" t="s">
        <v>7</v>
      </c>
      <c r="E3388" s="945">
        <v>30</v>
      </c>
      <c r="F3388" s="945">
        <v>1</v>
      </c>
      <c r="G3388" s="946">
        <v>794</v>
      </c>
      <c r="H3388" s="946">
        <v>749.33</v>
      </c>
    </row>
    <row r="3389" spans="1:9" s="26" customFormat="1">
      <c r="A3389" s="947">
        <v>6</v>
      </c>
      <c r="B3389" s="948">
        <v>450.42</v>
      </c>
      <c r="C3389" s="948" t="s">
        <v>37</v>
      </c>
      <c r="D3389" s="947" t="s">
        <v>7</v>
      </c>
      <c r="E3389" s="949">
        <v>111950</v>
      </c>
      <c r="F3389" s="950">
        <v>5</v>
      </c>
      <c r="G3389" s="951">
        <v>150</v>
      </c>
      <c r="H3389" s="951">
        <v>151.15</v>
      </c>
      <c r="I3389" s="18"/>
    </row>
    <row r="3390" spans="1:9">
      <c r="A3390" s="943">
        <v>6</v>
      </c>
      <c r="B3390" s="944">
        <v>450.52</v>
      </c>
      <c r="C3390" s="944" t="s">
        <v>310</v>
      </c>
      <c r="D3390" s="943" t="s">
        <v>7</v>
      </c>
      <c r="E3390" s="952">
        <v>10680</v>
      </c>
      <c r="F3390" s="945">
        <v>1</v>
      </c>
      <c r="G3390" s="946">
        <v>140.5</v>
      </c>
      <c r="H3390" s="946">
        <v>142.83000000000001</v>
      </c>
    </row>
    <row r="3391" spans="1:9" s="26" customFormat="1">
      <c r="A3391" s="947">
        <v>6</v>
      </c>
      <c r="B3391" s="948">
        <v>450.6</v>
      </c>
      <c r="C3391" s="948" t="s">
        <v>311</v>
      </c>
      <c r="D3391" s="947" t="s">
        <v>7</v>
      </c>
      <c r="E3391" s="950">
        <v>16</v>
      </c>
      <c r="F3391" s="950">
        <v>1</v>
      </c>
      <c r="G3391" s="951">
        <v>150</v>
      </c>
      <c r="H3391" s="951">
        <v>150</v>
      </c>
      <c r="I3391" s="18"/>
    </row>
    <row r="3392" spans="1:9">
      <c r="A3392" s="943">
        <v>6</v>
      </c>
      <c r="B3392" s="944">
        <v>450.601</v>
      </c>
      <c r="C3392" s="944" t="s">
        <v>1373</v>
      </c>
      <c r="D3392" s="943" t="s">
        <v>7</v>
      </c>
      <c r="E3392" s="952">
        <v>1650</v>
      </c>
      <c r="F3392" s="945">
        <v>2</v>
      </c>
      <c r="G3392" s="946">
        <v>285</v>
      </c>
      <c r="H3392" s="946">
        <v>276.67</v>
      </c>
    </row>
    <row r="3393" spans="1:9" s="26" customFormat="1">
      <c r="A3393" s="947">
        <v>6</v>
      </c>
      <c r="B3393" s="948">
        <v>450.7</v>
      </c>
      <c r="C3393" s="948" t="s">
        <v>313</v>
      </c>
      <c r="D3393" s="947" t="s">
        <v>7</v>
      </c>
      <c r="E3393" s="950">
        <v>16</v>
      </c>
      <c r="F3393" s="950">
        <v>1</v>
      </c>
      <c r="G3393" s="951">
        <v>150</v>
      </c>
      <c r="H3393" s="951">
        <v>150</v>
      </c>
      <c r="I3393" s="18"/>
    </row>
    <row r="3394" spans="1:9">
      <c r="A3394" s="943">
        <v>6</v>
      </c>
      <c r="B3394" s="944">
        <v>451</v>
      </c>
      <c r="C3394" s="944" t="s">
        <v>36</v>
      </c>
      <c r="D3394" s="943" t="s">
        <v>7</v>
      </c>
      <c r="E3394" s="952">
        <v>13260</v>
      </c>
      <c r="F3394" s="945">
        <v>17</v>
      </c>
      <c r="G3394" s="946">
        <v>332</v>
      </c>
      <c r="H3394" s="946">
        <v>317.44</v>
      </c>
    </row>
    <row r="3395" spans="1:9" s="26" customFormat="1">
      <c r="A3395" s="947">
        <v>6</v>
      </c>
      <c r="B3395" s="948">
        <v>452</v>
      </c>
      <c r="C3395" s="948" t="s">
        <v>31</v>
      </c>
      <c r="D3395" s="947" t="s">
        <v>20</v>
      </c>
      <c r="E3395" s="949">
        <v>146788</v>
      </c>
      <c r="F3395" s="950">
        <v>15</v>
      </c>
      <c r="G3395" s="951">
        <v>11</v>
      </c>
      <c r="H3395" s="951">
        <v>10.130000000000001</v>
      </c>
      <c r="I3395" s="18"/>
    </row>
    <row r="3396" spans="1:9">
      <c r="A3396" s="943">
        <v>6</v>
      </c>
      <c r="B3396" s="944">
        <v>453</v>
      </c>
      <c r="C3396" s="944" t="s">
        <v>3962</v>
      </c>
      <c r="D3396" s="943" t="s">
        <v>17</v>
      </c>
      <c r="E3396" s="952">
        <v>501080</v>
      </c>
      <c r="F3396" s="945">
        <v>14</v>
      </c>
      <c r="G3396" s="946">
        <v>2</v>
      </c>
      <c r="H3396" s="946">
        <v>1.66</v>
      </c>
    </row>
    <row r="3397" spans="1:9" s="26" customFormat="1">
      <c r="A3397" s="947">
        <v>6</v>
      </c>
      <c r="B3397" s="948">
        <v>457.1</v>
      </c>
      <c r="C3397" s="948" t="s">
        <v>1378</v>
      </c>
      <c r="D3397" s="947" t="s">
        <v>7</v>
      </c>
      <c r="E3397" s="949">
        <v>1330</v>
      </c>
      <c r="F3397" s="950">
        <v>2</v>
      </c>
      <c r="G3397" s="951">
        <v>550</v>
      </c>
      <c r="H3397" s="951">
        <v>570</v>
      </c>
      <c r="I3397" s="18"/>
    </row>
    <row r="3398" spans="1:9">
      <c r="A3398" s="943">
        <v>6</v>
      </c>
      <c r="B3398" s="944">
        <v>457.2</v>
      </c>
      <c r="C3398" s="944" t="s">
        <v>1379</v>
      </c>
      <c r="D3398" s="943" t="s">
        <v>7</v>
      </c>
      <c r="E3398" s="952">
        <v>29391</v>
      </c>
      <c r="F3398" s="945">
        <v>3</v>
      </c>
      <c r="G3398" s="946">
        <v>720</v>
      </c>
      <c r="H3398" s="946">
        <v>707.5</v>
      </c>
    </row>
    <row r="3399" spans="1:9" s="26" customFormat="1">
      <c r="A3399" s="947">
        <v>6</v>
      </c>
      <c r="B3399" s="948">
        <v>470</v>
      </c>
      <c r="C3399" s="948" t="s">
        <v>1382</v>
      </c>
      <c r="D3399" s="947" t="s">
        <v>7</v>
      </c>
      <c r="E3399" s="950">
        <v>146</v>
      </c>
      <c r="F3399" s="950">
        <v>5</v>
      </c>
      <c r="G3399" s="951">
        <v>600</v>
      </c>
      <c r="H3399" s="951">
        <v>527.66999999999996</v>
      </c>
      <c r="I3399" s="18"/>
    </row>
    <row r="3400" spans="1:9">
      <c r="A3400" s="943">
        <v>6</v>
      </c>
      <c r="B3400" s="944">
        <v>472</v>
      </c>
      <c r="C3400" s="944" t="s">
        <v>1383</v>
      </c>
      <c r="D3400" s="943" t="s">
        <v>7</v>
      </c>
      <c r="E3400" s="952">
        <v>14146</v>
      </c>
      <c r="F3400" s="945">
        <v>16</v>
      </c>
      <c r="G3400" s="946">
        <v>325</v>
      </c>
      <c r="H3400" s="946">
        <v>345.11</v>
      </c>
    </row>
    <row r="3401" spans="1:9" s="26" customFormat="1">
      <c r="A3401" s="947">
        <v>6</v>
      </c>
      <c r="B3401" s="948">
        <v>476</v>
      </c>
      <c r="C3401" s="948" t="s">
        <v>316</v>
      </c>
      <c r="D3401" s="947" t="s">
        <v>1</v>
      </c>
      <c r="E3401" s="949">
        <v>1500</v>
      </c>
      <c r="F3401" s="950">
        <v>1</v>
      </c>
      <c r="G3401" s="951">
        <v>166.5</v>
      </c>
      <c r="H3401" s="951">
        <v>165.5</v>
      </c>
      <c r="I3401" s="18"/>
    </row>
    <row r="3402" spans="1:9">
      <c r="A3402" s="943">
        <v>6</v>
      </c>
      <c r="B3402" s="944">
        <v>477</v>
      </c>
      <c r="C3402" s="944" t="s">
        <v>1384</v>
      </c>
      <c r="D3402" s="943" t="s">
        <v>17</v>
      </c>
      <c r="E3402" s="952">
        <v>131400</v>
      </c>
      <c r="F3402" s="945">
        <v>3</v>
      </c>
      <c r="G3402" s="946">
        <v>2.7</v>
      </c>
      <c r="H3402" s="946">
        <v>2.79</v>
      </c>
    </row>
    <row r="3403" spans="1:9" s="26" customFormat="1">
      <c r="A3403" s="947">
        <v>6</v>
      </c>
      <c r="B3403" s="948">
        <v>477.2</v>
      </c>
      <c r="C3403" s="948" t="s">
        <v>1386</v>
      </c>
      <c r="D3403" s="947" t="s">
        <v>17</v>
      </c>
      <c r="E3403" s="949">
        <v>9750</v>
      </c>
      <c r="F3403" s="950">
        <v>1</v>
      </c>
      <c r="G3403" s="951">
        <v>1.5</v>
      </c>
      <c r="H3403" s="951">
        <v>1.5</v>
      </c>
      <c r="I3403" s="18"/>
    </row>
    <row r="3404" spans="1:9">
      <c r="A3404" s="943">
        <v>6</v>
      </c>
      <c r="B3404" s="944">
        <v>480.2</v>
      </c>
      <c r="C3404" s="944" t="s">
        <v>4002</v>
      </c>
      <c r="D3404" s="943" t="s">
        <v>20</v>
      </c>
      <c r="E3404" s="952">
        <v>9340</v>
      </c>
      <c r="F3404" s="945">
        <v>2</v>
      </c>
      <c r="G3404" s="946">
        <v>17</v>
      </c>
      <c r="H3404" s="946">
        <v>17</v>
      </c>
    </row>
    <row r="3405" spans="1:9" s="26" customFormat="1">
      <c r="A3405" s="947">
        <v>6</v>
      </c>
      <c r="B3405" s="948">
        <v>482.3</v>
      </c>
      <c r="C3405" s="948" t="s">
        <v>319</v>
      </c>
      <c r="D3405" s="947" t="s">
        <v>17</v>
      </c>
      <c r="E3405" s="949">
        <v>10895</v>
      </c>
      <c r="F3405" s="950">
        <v>4</v>
      </c>
      <c r="G3405" s="951">
        <v>7</v>
      </c>
      <c r="H3405" s="951">
        <v>6.13</v>
      </c>
      <c r="I3405" s="18"/>
    </row>
    <row r="3406" spans="1:9">
      <c r="A3406" s="943">
        <v>6</v>
      </c>
      <c r="B3406" s="944">
        <v>482.31</v>
      </c>
      <c r="C3406" s="944" t="s">
        <v>4038</v>
      </c>
      <c r="D3406" s="943" t="s">
        <v>17</v>
      </c>
      <c r="E3406" s="952">
        <v>11910</v>
      </c>
      <c r="F3406" s="945">
        <v>3</v>
      </c>
      <c r="G3406" s="946">
        <v>38</v>
      </c>
      <c r="H3406" s="946">
        <v>36.25</v>
      </c>
    </row>
    <row r="3407" spans="1:9" s="26" customFormat="1">
      <c r="A3407" s="947">
        <v>6</v>
      </c>
      <c r="B3407" s="948">
        <v>482.4</v>
      </c>
      <c r="C3407" s="948" t="s">
        <v>321</v>
      </c>
      <c r="D3407" s="947" t="s">
        <v>17</v>
      </c>
      <c r="E3407" s="949">
        <v>3810</v>
      </c>
      <c r="F3407" s="950">
        <v>5</v>
      </c>
      <c r="G3407" s="951">
        <v>10</v>
      </c>
      <c r="H3407" s="951">
        <v>9.57</v>
      </c>
      <c r="I3407" s="18"/>
    </row>
    <row r="3408" spans="1:9">
      <c r="A3408" s="943">
        <v>6</v>
      </c>
      <c r="B3408" s="944">
        <v>482.5</v>
      </c>
      <c r="C3408" s="944" t="s">
        <v>43</v>
      </c>
      <c r="D3408" s="943" t="s">
        <v>17</v>
      </c>
      <c r="E3408" s="952">
        <v>35500</v>
      </c>
      <c r="F3408" s="945">
        <v>3</v>
      </c>
      <c r="G3408" s="946">
        <v>5.5</v>
      </c>
      <c r="H3408" s="946">
        <v>5.5</v>
      </c>
    </row>
    <row r="3409" spans="1:9" s="26" customFormat="1">
      <c r="A3409" s="947">
        <v>6</v>
      </c>
      <c r="B3409" s="948">
        <v>501</v>
      </c>
      <c r="C3409" s="948" t="s">
        <v>1391</v>
      </c>
      <c r="D3409" s="947" t="s">
        <v>17</v>
      </c>
      <c r="E3409" s="950">
        <v>100</v>
      </c>
      <c r="F3409" s="950">
        <v>1</v>
      </c>
      <c r="G3409" s="951">
        <v>190</v>
      </c>
      <c r="H3409" s="951">
        <v>190</v>
      </c>
      <c r="I3409" s="18"/>
    </row>
    <row r="3410" spans="1:9">
      <c r="A3410" s="943">
        <v>6</v>
      </c>
      <c r="B3410" s="944">
        <v>501.1</v>
      </c>
      <c r="C3410" s="944" t="s">
        <v>2387</v>
      </c>
      <c r="D3410" s="943" t="s">
        <v>17</v>
      </c>
      <c r="E3410" s="945">
        <v>50</v>
      </c>
      <c r="F3410" s="945">
        <v>1</v>
      </c>
      <c r="G3410" s="946">
        <v>210</v>
      </c>
      <c r="H3410" s="946">
        <v>210</v>
      </c>
    </row>
    <row r="3411" spans="1:9" s="26" customFormat="1">
      <c r="A3411" s="947">
        <v>6</v>
      </c>
      <c r="B3411" s="948">
        <v>503</v>
      </c>
      <c r="C3411" s="948" t="s">
        <v>323</v>
      </c>
      <c r="D3411" s="947" t="s">
        <v>17</v>
      </c>
      <c r="E3411" s="949">
        <v>15600</v>
      </c>
      <c r="F3411" s="950">
        <v>1</v>
      </c>
      <c r="G3411" s="951">
        <v>88</v>
      </c>
      <c r="H3411" s="951">
        <v>86</v>
      </c>
      <c r="I3411" s="18"/>
    </row>
    <row r="3412" spans="1:9">
      <c r="A3412" s="943">
        <v>6</v>
      </c>
      <c r="B3412" s="944">
        <v>503.1</v>
      </c>
      <c r="C3412" s="944" t="s">
        <v>324</v>
      </c>
      <c r="D3412" s="943" t="s">
        <v>17</v>
      </c>
      <c r="E3412" s="952">
        <v>1260</v>
      </c>
      <c r="F3412" s="945">
        <v>1</v>
      </c>
      <c r="G3412" s="946">
        <v>95.5</v>
      </c>
      <c r="H3412" s="946">
        <v>96.67</v>
      </c>
    </row>
    <row r="3413" spans="1:9" s="26" customFormat="1">
      <c r="A3413" s="947">
        <v>6</v>
      </c>
      <c r="B3413" s="948">
        <v>504</v>
      </c>
      <c r="C3413" s="948" t="s">
        <v>325</v>
      </c>
      <c r="D3413" s="947" t="s">
        <v>17</v>
      </c>
      <c r="E3413" s="949">
        <v>74020</v>
      </c>
      <c r="F3413" s="950">
        <v>9</v>
      </c>
      <c r="G3413" s="951">
        <v>85</v>
      </c>
      <c r="H3413" s="951">
        <v>84.97</v>
      </c>
      <c r="I3413" s="18"/>
    </row>
    <row r="3414" spans="1:9">
      <c r="A3414" s="943">
        <v>6</v>
      </c>
      <c r="B3414" s="944">
        <v>504.1</v>
      </c>
      <c r="C3414" s="944" t="s">
        <v>326</v>
      </c>
      <c r="D3414" s="943" t="s">
        <v>17</v>
      </c>
      <c r="E3414" s="952">
        <v>31450</v>
      </c>
      <c r="F3414" s="945">
        <v>9</v>
      </c>
      <c r="G3414" s="946">
        <v>105</v>
      </c>
      <c r="H3414" s="946">
        <v>101.28</v>
      </c>
    </row>
    <row r="3415" spans="1:9" s="26" customFormat="1">
      <c r="A3415" s="947">
        <v>6</v>
      </c>
      <c r="B3415" s="948">
        <v>505</v>
      </c>
      <c r="C3415" s="948" t="s">
        <v>328</v>
      </c>
      <c r="D3415" s="947" t="s">
        <v>17</v>
      </c>
      <c r="E3415" s="950">
        <v>450</v>
      </c>
      <c r="F3415" s="950">
        <v>1</v>
      </c>
      <c r="G3415" s="951">
        <v>100</v>
      </c>
      <c r="H3415" s="951">
        <v>105.6</v>
      </c>
      <c r="I3415" s="18"/>
    </row>
    <row r="3416" spans="1:9">
      <c r="A3416" s="943">
        <v>6</v>
      </c>
      <c r="B3416" s="944">
        <v>506</v>
      </c>
      <c r="C3416" s="944" t="s">
        <v>40</v>
      </c>
      <c r="D3416" s="943" t="s">
        <v>17</v>
      </c>
      <c r="E3416" s="952">
        <v>17645</v>
      </c>
      <c r="F3416" s="945">
        <v>3</v>
      </c>
      <c r="G3416" s="946">
        <v>75</v>
      </c>
      <c r="H3416" s="946">
        <v>74.209999999999994</v>
      </c>
    </row>
    <row r="3417" spans="1:9" s="26" customFormat="1">
      <c r="A3417" s="947">
        <v>6</v>
      </c>
      <c r="B3417" s="948">
        <v>506.1</v>
      </c>
      <c r="C3417" s="948" t="s">
        <v>41</v>
      </c>
      <c r="D3417" s="947" t="s">
        <v>17</v>
      </c>
      <c r="E3417" s="949">
        <v>5245</v>
      </c>
      <c r="F3417" s="950">
        <v>3</v>
      </c>
      <c r="G3417" s="951">
        <v>91</v>
      </c>
      <c r="H3417" s="951">
        <v>88.57</v>
      </c>
      <c r="I3417" s="18"/>
    </row>
    <row r="3418" spans="1:9">
      <c r="A3418" s="943">
        <v>6</v>
      </c>
      <c r="B3418" s="944">
        <v>509</v>
      </c>
      <c r="C3418" s="944" t="s">
        <v>1394</v>
      </c>
      <c r="D3418" s="943" t="s">
        <v>17</v>
      </c>
      <c r="E3418" s="952">
        <v>18945</v>
      </c>
      <c r="F3418" s="945">
        <v>10</v>
      </c>
      <c r="G3418" s="946">
        <v>91</v>
      </c>
      <c r="H3418" s="946">
        <v>93.26</v>
      </c>
    </row>
    <row r="3419" spans="1:9" s="26" customFormat="1">
      <c r="A3419" s="947">
        <v>6</v>
      </c>
      <c r="B3419" s="948">
        <v>509.1</v>
      </c>
      <c r="C3419" s="948" t="s">
        <v>1395</v>
      </c>
      <c r="D3419" s="947" t="s">
        <v>17</v>
      </c>
      <c r="E3419" s="949">
        <v>21060</v>
      </c>
      <c r="F3419" s="950">
        <v>10</v>
      </c>
      <c r="G3419" s="951">
        <v>114</v>
      </c>
      <c r="H3419" s="951">
        <v>110.06</v>
      </c>
      <c r="I3419" s="18"/>
    </row>
    <row r="3420" spans="1:9">
      <c r="A3420" s="943">
        <v>6</v>
      </c>
      <c r="B3420" s="944">
        <v>510</v>
      </c>
      <c r="C3420" s="944" t="s">
        <v>330</v>
      </c>
      <c r="D3420" s="943" t="s">
        <v>17</v>
      </c>
      <c r="E3420" s="945">
        <v>300</v>
      </c>
      <c r="F3420" s="945">
        <v>2</v>
      </c>
      <c r="G3420" s="946">
        <v>80</v>
      </c>
      <c r="H3420" s="946">
        <v>81.2</v>
      </c>
    </row>
    <row r="3421" spans="1:9" s="26" customFormat="1">
      <c r="A3421" s="947">
        <v>6</v>
      </c>
      <c r="B3421" s="948">
        <v>510.1</v>
      </c>
      <c r="C3421" s="948" t="s">
        <v>331</v>
      </c>
      <c r="D3421" s="947" t="s">
        <v>17</v>
      </c>
      <c r="E3421" s="950">
        <v>140</v>
      </c>
      <c r="F3421" s="950">
        <v>2</v>
      </c>
      <c r="G3421" s="951">
        <v>95.5</v>
      </c>
      <c r="H3421" s="951">
        <v>114.33</v>
      </c>
      <c r="I3421" s="18"/>
    </row>
    <row r="3422" spans="1:9">
      <c r="A3422" s="943">
        <v>6</v>
      </c>
      <c r="B3422" s="944">
        <v>511.1</v>
      </c>
      <c r="C3422" s="944" t="s">
        <v>332</v>
      </c>
      <c r="D3422" s="943" t="s">
        <v>17</v>
      </c>
      <c r="E3422" s="945">
        <v>170</v>
      </c>
      <c r="F3422" s="945">
        <v>2</v>
      </c>
      <c r="G3422" s="946">
        <v>55.5</v>
      </c>
      <c r="H3422" s="946">
        <v>53.67</v>
      </c>
    </row>
    <row r="3423" spans="1:9" s="26" customFormat="1">
      <c r="A3423" s="947">
        <v>6</v>
      </c>
      <c r="B3423" s="948">
        <v>514</v>
      </c>
      <c r="C3423" s="948" t="s">
        <v>38</v>
      </c>
      <c r="D3423" s="947" t="s">
        <v>2</v>
      </c>
      <c r="E3423" s="950">
        <v>394</v>
      </c>
      <c r="F3423" s="950">
        <v>10</v>
      </c>
      <c r="G3423" s="951">
        <v>750</v>
      </c>
      <c r="H3423" s="951">
        <v>772.69</v>
      </c>
      <c r="I3423" s="18"/>
    </row>
    <row r="3424" spans="1:9">
      <c r="A3424" s="943">
        <v>6</v>
      </c>
      <c r="B3424" s="944">
        <v>515</v>
      </c>
      <c r="C3424" s="944" t="s">
        <v>45</v>
      </c>
      <c r="D3424" s="943" t="s">
        <v>2</v>
      </c>
      <c r="E3424" s="945">
        <v>48</v>
      </c>
      <c r="F3424" s="945">
        <v>3</v>
      </c>
      <c r="G3424" s="946">
        <v>925</v>
      </c>
      <c r="H3424" s="946">
        <v>876</v>
      </c>
    </row>
    <row r="3425" spans="1:9" s="26" customFormat="1">
      <c r="A3425" s="947">
        <v>6</v>
      </c>
      <c r="B3425" s="948">
        <v>516</v>
      </c>
      <c r="C3425" s="948" t="s">
        <v>47</v>
      </c>
      <c r="D3425" s="947" t="s">
        <v>2</v>
      </c>
      <c r="E3425" s="949">
        <v>1151</v>
      </c>
      <c r="F3425" s="950">
        <v>8</v>
      </c>
      <c r="G3425" s="951">
        <v>600</v>
      </c>
      <c r="H3425" s="951">
        <v>610.38</v>
      </c>
      <c r="I3425" s="18"/>
    </row>
    <row r="3426" spans="1:9">
      <c r="A3426" s="943">
        <v>6</v>
      </c>
      <c r="B3426" s="944">
        <v>520.11</v>
      </c>
      <c r="C3426" s="944" t="s">
        <v>2396</v>
      </c>
      <c r="D3426" s="943" t="s">
        <v>17</v>
      </c>
      <c r="E3426" s="945">
        <v>300</v>
      </c>
      <c r="F3426" s="945">
        <v>1</v>
      </c>
      <c r="G3426" s="946">
        <v>125</v>
      </c>
      <c r="H3426" s="946">
        <v>125</v>
      </c>
    </row>
    <row r="3427" spans="1:9" s="26" customFormat="1">
      <c r="A3427" s="947">
        <v>6</v>
      </c>
      <c r="B3427" s="948">
        <v>570.20000000000005</v>
      </c>
      <c r="C3427" s="948" t="s">
        <v>338</v>
      </c>
      <c r="D3427" s="947" t="s">
        <v>17</v>
      </c>
      <c r="E3427" s="949">
        <v>1234</v>
      </c>
      <c r="F3427" s="950">
        <v>4</v>
      </c>
      <c r="G3427" s="951">
        <v>69</v>
      </c>
      <c r="H3427" s="951">
        <v>70.56</v>
      </c>
      <c r="I3427" s="18"/>
    </row>
    <row r="3428" spans="1:9">
      <c r="A3428" s="943">
        <v>6</v>
      </c>
      <c r="B3428" s="944">
        <v>570.29999999999995</v>
      </c>
      <c r="C3428" s="944" t="s">
        <v>339</v>
      </c>
      <c r="D3428" s="943" t="s">
        <v>17</v>
      </c>
      <c r="E3428" s="945">
        <v>600</v>
      </c>
      <c r="F3428" s="945">
        <v>2</v>
      </c>
      <c r="G3428" s="946">
        <v>22.5</v>
      </c>
      <c r="H3428" s="946">
        <v>22.43</v>
      </c>
    </row>
    <row r="3429" spans="1:9" s="26" customFormat="1">
      <c r="A3429" s="947">
        <v>6</v>
      </c>
      <c r="B3429" s="948">
        <v>580</v>
      </c>
      <c r="C3429" s="948" t="s">
        <v>56</v>
      </c>
      <c r="D3429" s="947" t="s">
        <v>17</v>
      </c>
      <c r="E3429" s="949">
        <v>113495</v>
      </c>
      <c r="F3429" s="950">
        <v>10</v>
      </c>
      <c r="G3429" s="951">
        <v>49</v>
      </c>
      <c r="H3429" s="951">
        <v>54.96</v>
      </c>
      <c r="I3429" s="18"/>
    </row>
    <row r="3430" spans="1:9">
      <c r="A3430" s="943">
        <v>6</v>
      </c>
      <c r="B3430" s="944">
        <v>581</v>
      </c>
      <c r="C3430" s="944" t="s">
        <v>340</v>
      </c>
      <c r="D3430" s="943" t="s">
        <v>2</v>
      </c>
      <c r="E3430" s="945">
        <v>174</v>
      </c>
      <c r="F3430" s="945">
        <v>5</v>
      </c>
      <c r="G3430" s="946">
        <v>300</v>
      </c>
      <c r="H3430" s="946">
        <v>219.5</v>
      </c>
    </row>
    <row r="3431" spans="1:9" s="26" customFormat="1">
      <c r="A3431" s="947">
        <v>6</v>
      </c>
      <c r="B3431" s="948">
        <v>582</v>
      </c>
      <c r="C3431" s="948" t="s">
        <v>341</v>
      </c>
      <c r="D3431" s="947" t="s">
        <v>2</v>
      </c>
      <c r="E3431" s="950">
        <v>376</v>
      </c>
      <c r="F3431" s="950">
        <v>4</v>
      </c>
      <c r="G3431" s="951">
        <v>150</v>
      </c>
      <c r="H3431" s="951">
        <v>122.73</v>
      </c>
      <c r="I3431" s="18"/>
    </row>
    <row r="3432" spans="1:9">
      <c r="A3432" s="943">
        <v>6</v>
      </c>
      <c r="B3432" s="944">
        <v>583</v>
      </c>
      <c r="C3432" s="944" t="s">
        <v>342</v>
      </c>
      <c r="D3432" s="943" t="s">
        <v>17</v>
      </c>
      <c r="E3432" s="952">
        <v>1880</v>
      </c>
      <c r="F3432" s="945">
        <v>4</v>
      </c>
      <c r="G3432" s="946">
        <v>40</v>
      </c>
      <c r="H3432" s="946">
        <v>38.33</v>
      </c>
    </row>
    <row r="3433" spans="1:9" s="26" customFormat="1">
      <c r="A3433" s="947">
        <v>6</v>
      </c>
      <c r="B3433" s="948">
        <v>591</v>
      </c>
      <c r="C3433" s="948" t="s">
        <v>344</v>
      </c>
      <c r="D3433" s="947" t="s">
        <v>2</v>
      </c>
      <c r="E3433" s="950">
        <v>6</v>
      </c>
      <c r="F3433" s="950">
        <v>1</v>
      </c>
      <c r="G3433" s="951">
        <v>62.5</v>
      </c>
      <c r="H3433" s="951">
        <v>56.67</v>
      </c>
      <c r="I3433" s="18"/>
    </row>
    <row r="3434" spans="1:9">
      <c r="A3434" s="943">
        <v>6</v>
      </c>
      <c r="B3434" s="944">
        <v>592</v>
      </c>
      <c r="C3434" s="944" t="s">
        <v>345</v>
      </c>
      <c r="D3434" s="943" t="s">
        <v>2</v>
      </c>
      <c r="E3434" s="945">
        <v>30</v>
      </c>
      <c r="F3434" s="945">
        <v>1</v>
      </c>
      <c r="G3434" s="946">
        <v>350</v>
      </c>
      <c r="H3434" s="946">
        <v>400</v>
      </c>
    </row>
    <row r="3435" spans="1:9" s="26" customFormat="1">
      <c r="A3435" s="947">
        <v>6</v>
      </c>
      <c r="B3435" s="948">
        <v>594</v>
      </c>
      <c r="C3435" s="948" t="s">
        <v>346</v>
      </c>
      <c r="D3435" s="947" t="s">
        <v>17</v>
      </c>
      <c r="E3435" s="949">
        <v>37430</v>
      </c>
      <c r="F3435" s="950">
        <v>10</v>
      </c>
      <c r="G3435" s="951">
        <v>8</v>
      </c>
      <c r="H3435" s="951">
        <v>7.87</v>
      </c>
      <c r="I3435" s="18"/>
    </row>
    <row r="3436" spans="1:9">
      <c r="A3436" s="943">
        <v>6</v>
      </c>
      <c r="B3436" s="944">
        <v>595</v>
      </c>
      <c r="C3436" s="944" t="s">
        <v>347</v>
      </c>
      <c r="D3436" s="943" t="s">
        <v>2</v>
      </c>
      <c r="E3436" s="945">
        <v>69</v>
      </c>
      <c r="F3436" s="945">
        <v>4</v>
      </c>
      <c r="G3436" s="946">
        <v>75</v>
      </c>
      <c r="H3436" s="946">
        <v>70.709999999999994</v>
      </c>
    </row>
    <row r="3437" spans="1:9" s="26" customFormat="1">
      <c r="A3437" s="947">
        <v>6</v>
      </c>
      <c r="B3437" s="948">
        <v>596</v>
      </c>
      <c r="C3437" s="948" t="s">
        <v>348</v>
      </c>
      <c r="D3437" s="947" t="s">
        <v>2</v>
      </c>
      <c r="E3437" s="950">
        <v>133</v>
      </c>
      <c r="F3437" s="950">
        <v>5</v>
      </c>
      <c r="G3437" s="951">
        <v>45</v>
      </c>
      <c r="H3437" s="951">
        <v>40.08</v>
      </c>
      <c r="I3437" s="18"/>
    </row>
    <row r="3438" spans="1:9">
      <c r="A3438" s="943">
        <v>6</v>
      </c>
      <c r="B3438" s="944">
        <v>597</v>
      </c>
      <c r="C3438" s="944" t="s">
        <v>349</v>
      </c>
      <c r="D3438" s="943" t="s">
        <v>17</v>
      </c>
      <c r="E3438" s="952">
        <v>1285</v>
      </c>
      <c r="F3438" s="945">
        <v>4</v>
      </c>
      <c r="G3438" s="946">
        <v>7.5</v>
      </c>
      <c r="H3438" s="946">
        <v>8.25</v>
      </c>
    </row>
    <row r="3439" spans="1:9" s="26" customFormat="1">
      <c r="A3439" s="947">
        <v>6</v>
      </c>
      <c r="B3439" s="948">
        <v>620.12</v>
      </c>
      <c r="C3439" s="948" t="s">
        <v>1252</v>
      </c>
      <c r="D3439" s="947" t="s">
        <v>17</v>
      </c>
      <c r="E3439" s="949">
        <v>2250</v>
      </c>
      <c r="F3439" s="950">
        <v>3</v>
      </c>
      <c r="G3439" s="951">
        <v>247.5</v>
      </c>
      <c r="H3439" s="951">
        <v>193.57</v>
      </c>
      <c r="I3439" s="18"/>
    </row>
    <row r="3440" spans="1:9">
      <c r="A3440" s="943">
        <v>6</v>
      </c>
      <c r="B3440" s="944">
        <v>620.13</v>
      </c>
      <c r="C3440" s="944" t="s">
        <v>1398</v>
      </c>
      <c r="D3440" s="943" t="s">
        <v>17</v>
      </c>
      <c r="E3440" s="952">
        <v>26060</v>
      </c>
      <c r="F3440" s="945">
        <v>3</v>
      </c>
      <c r="G3440" s="946">
        <v>50</v>
      </c>
      <c r="H3440" s="946">
        <v>45.14</v>
      </c>
    </row>
    <row r="3441" spans="1:9" s="26" customFormat="1">
      <c r="A3441" s="947">
        <v>6</v>
      </c>
      <c r="B3441" s="948">
        <v>620.33000000000004</v>
      </c>
      <c r="C3441" s="948" t="s">
        <v>1400</v>
      </c>
      <c r="D3441" s="947" t="s">
        <v>17</v>
      </c>
      <c r="E3441" s="950">
        <v>380</v>
      </c>
      <c r="F3441" s="950">
        <v>1</v>
      </c>
      <c r="G3441" s="951">
        <v>41.5</v>
      </c>
      <c r="H3441" s="951">
        <v>41.5</v>
      </c>
      <c r="I3441" s="18"/>
    </row>
    <row r="3442" spans="1:9">
      <c r="A3442" s="943">
        <v>6</v>
      </c>
      <c r="B3442" s="944">
        <v>621.12</v>
      </c>
      <c r="C3442" s="944" t="s">
        <v>1401</v>
      </c>
      <c r="D3442" s="943" t="s">
        <v>17</v>
      </c>
      <c r="E3442" s="945">
        <v>220</v>
      </c>
      <c r="F3442" s="945">
        <v>1</v>
      </c>
      <c r="G3442" s="946">
        <v>34</v>
      </c>
      <c r="H3442" s="946">
        <v>34</v>
      </c>
    </row>
    <row r="3443" spans="1:9" s="26" customFormat="1">
      <c r="A3443" s="947">
        <v>6</v>
      </c>
      <c r="B3443" s="948">
        <v>621.13</v>
      </c>
      <c r="C3443" s="948" t="s">
        <v>1402</v>
      </c>
      <c r="D3443" s="947" t="s">
        <v>17</v>
      </c>
      <c r="E3443" s="950">
        <v>220</v>
      </c>
      <c r="F3443" s="950">
        <v>1</v>
      </c>
      <c r="G3443" s="951">
        <v>71</v>
      </c>
      <c r="H3443" s="951">
        <v>71</v>
      </c>
      <c r="I3443" s="18"/>
    </row>
    <row r="3444" spans="1:9">
      <c r="A3444" s="943">
        <v>6</v>
      </c>
      <c r="B3444" s="944">
        <v>627.1</v>
      </c>
      <c r="C3444" s="944" t="s">
        <v>1403</v>
      </c>
      <c r="D3444" s="943" t="s">
        <v>2</v>
      </c>
      <c r="E3444" s="945">
        <v>167</v>
      </c>
      <c r="F3444" s="945">
        <v>4</v>
      </c>
      <c r="G3444" s="946">
        <v>3125</v>
      </c>
      <c r="H3444" s="946">
        <v>3376.25</v>
      </c>
    </row>
    <row r="3445" spans="1:9" s="26" customFormat="1">
      <c r="A3445" s="947">
        <v>6</v>
      </c>
      <c r="B3445" s="948">
        <v>627.82000000000005</v>
      </c>
      <c r="C3445" s="948" t="s">
        <v>1406</v>
      </c>
      <c r="D3445" s="947" t="s">
        <v>2</v>
      </c>
      <c r="E3445" s="950">
        <v>7</v>
      </c>
      <c r="F3445" s="950">
        <v>3</v>
      </c>
      <c r="G3445" s="951">
        <v>7540</v>
      </c>
      <c r="H3445" s="951">
        <v>7020</v>
      </c>
      <c r="I3445" s="18"/>
    </row>
    <row r="3446" spans="1:9">
      <c r="A3446" s="943">
        <v>6</v>
      </c>
      <c r="B3446" s="944">
        <v>627.83000000000004</v>
      </c>
      <c r="C3446" s="944" t="s">
        <v>1407</v>
      </c>
      <c r="D3446" s="943" t="s">
        <v>2</v>
      </c>
      <c r="E3446" s="945">
        <v>16</v>
      </c>
      <c r="F3446" s="945">
        <v>1</v>
      </c>
      <c r="G3446" s="946">
        <v>6387.5</v>
      </c>
      <c r="H3446" s="946">
        <v>6387.5</v>
      </c>
    </row>
    <row r="3447" spans="1:9" s="26" customFormat="1">
      <c r="A3447" s="947">
        <v>6</v>
      </c>
      <c r="B3447" s="948">
        <v>627.91999999999996</v>
      </c>
      <c r="C3447" s="948" t="s">
        <v>1408</v>
      </c>
      <c r="D3447" s="947" t="s">
        <v>2</v>
      </c>
      <c r="E3447" s="950">
        <v>4</v>
      </c>
      <c r="F3447" s="950">
        <v>1</v>
      </c>
      <c r="G3447" s="951">
        <v>3075</v>
      </c>
      <c r="H3447" s="951">
        <v>3075</v>
      </c>
      <c r="I3447" s="18"/>
    </row>
    <row r="3448" spans="1:9">
      <c r="A3448" s="943">
        <v>6</v>
      </c>
      <c r="B3448" s="944">
        <v>627.92999999999995</v>
      </c>
      <c r="C3448" s="944" t="s">
        <v>1409</v>
      </c>
      <c r="D3448" s="943" t="s">
        <v>2</v>
      </c>
      <c r="E3448" s="945">
        <v>66</v>
      </c>
      <c r="F3448" s="945">
        <v>2</v>
      </c>
      <c r="G3448" s="946">
        <v>6250</v>
      </c>
      <c r="H3448" s="946">
        <v>6072</v>
      </c>
    </row>
    <row r="3449" spans="1:9" s="26" customFormat="1">
      <c r="A3449" s="947">
        <v>6</v>
      </c>
      <c r="B3449" s="948">
        <v>628.21</v>
      </c>
      <c r="C3449" s="948" t="s">
        <v>1410</v>
      </c>
      <c r="D3449" s="947" t="s">
        <v>2</v>
      </c>
      <c r="E3449" s="950">
        <v>14</v>
      </c>
      <c r="F3449" s="950">
        <v>1</v>
      </c>
      <c r="G3449" s="951">
        <v>2042.5</v>
      </c>
      <c r="H3449" s="951">
        <v>2042.5</v>
      </c>
      <c r="I3449" s="18"/>
    </row>
    <row r="3450" spans="1:9">
      <c r="A3450" s="943">
        <v>6</v>
      </c>
      <c r="B3450" s="944">
        <v>628.22</v>
      </c>
      <c r="C3450" s="944" t="s">
        <v>1411</v>
      </c>
      <c r="D3450" s="943" t="s">
        <v>2</v>
      </c>
      <c r="E3450" s="945">
        <v>49</v>
      </c>
      <c r="F3450" s="945">
        <v>2</v>
      </c>
      <c r="G3450" s="946">
        <v>7300</v>
      </c>
      <c r="H3450" s="946">
        <v>6960</v>
      </c>
    </row>
    <row r="3451" spans="1:9" s="26" customFormat="1">
      <c r="A3451" s="947">
        <v>6</v>
      </c>
      <c r="B3451" s="948">
        <v>628.23</v>
      </c>
      <c r="C3451" s="948" t="s">
        <v>1412</v>
      </c>
      <c r="D3451" s="947" t="s">
        <v>2</v>
      </c>
      <c r="E3451" s="950">
        <v>7</v>
      </c>
      <c r="F3451" s="950">
        <v>3</v>
      </c>
      <c r="G3451" s="951">
        <v>14500</v>
      </c>
      <c r="H3451" s="951">
        <v>10310</v>
      </c>
      <c r="I3451" s="18"/>
    </row>
    <row r="3452" spans="1:9">
      <c r="A3452" s="943">
        <v>6</v>
      </c>
      <c r="B3452" s="944">
        <v>628.24</v>
      </c>
      <c r="C3452" s="944" t="s">
        <v>1413</v>
      </c>
      <c r="D3452" s="943" t="s">
        <v>2</v>
      </c>
      <c r="E3452" s="945">
        <v>303</v>
      </c>
      <c r="F3452" s="945">
        <v>3</v>
      </c>
      <c r="G3452" s="946">
        <v>6850</v>
      </c>
      <c r="H3452" s="946">
        <v>7558</v>
      </c>
    </row>
    <row r="3453" spans="1:9" s="26" customFormat="1">
      <c r="A3453" s="947">
        <v>6</v>
      </c>
      <c r="B3453" s="948">
        <v>628.25</v>
      </c>
      <c r="C3453" s="948" t="s">
        <v>1414</v>
      </c>
      <c r="D3453" s="947" t="s">
        <v>2</v>
      </c>
      <c r="E3453" s="950">
        <v>300</v>
      </c>
      <c r="F3453" s="950">
        <v>1</v>
      </c>
      <c r="G3453" s="951">
        <v>1000</v>
      </c>
      <c r="H3453" s="951">
        <v>1333.33</v>
      </c>
      <c r="I3453" s="18"/>
    </row>
    <row r="3454" spans="1:9">
      <c r="A3454" s="943">
        <v>6</v>
      </c>
      <c r="B3454" s="944">
        <v>628.30499999999995</v>
      </c>
      <c r="C3454" s="944" t="s">
        <v>2413</v>
      </c>
      <c r="D3454" s="943" t="s">
        <v>2</v>
      </c>
      <c r="E3454" s="945">
        <v>30</v>
      </c>
      <c r="F3454" s="945">
        <v>3</v>
      </c>
      <c r="G3454" s="946">
        <v>8500</v>
      </c>
      <c r="H3454" s="946">
        <v>9865.4500000000007</v>
      </c>
    </row>
    <row r="3455" spans="1:9" s="26" customFormat="1">
      <c r="A3455" s="947">
        <v>6</v>
      </c>
      <c r="B3455" s="948">
        <v>628.30999999999995</v>
      </c>
      <c r="C3455" s="948" t="s">
        <v>350</v>
      </c>
      <c r="D3455" s="947" t="s">
        <v>2</v>
      </c>
      <c r="E3455" s="950">
        <v>4</v>
      </c>
      <c r="F3455" s="950">
        <v>1</v>
      </c>
      <c r="G3455" s="951">
        <v>33500</v>
      </c>
      <c r="H3455" s="951">
        <v>36000</v>
      </c>
      <c r="I3455" s="18"/>
    </row>
    <row r="3456" spans="1:9">
      <c r="A3456" s="943">
        <v>6</v>
      </c>
      <c r="B3456" s="944">
        <v>628.31500000000005</v>
      </c>
      <c r="C3456" s="944" t="s">
        <v>2417</v>
      </c>
      <c r="D3456" s="943" t="s">
        <v>2</v>
      </c>
      <c r="E3456" s="945">
        <v>11</v>
      </c>
      <c r="F3456" s="945">
        <v>3</v>
      </c>
      <c r="G3456" s="946">
        <v>10137.5</v>
      </c>
      <c r="H3456" s="946">
        <v>9109.17</v>
      </c>
    </row>
    <row r="3457" spans="1:9" s="26" customFormat="1">
      <c r="A3457" s="947">
        <v>6</v>
      </c>
      <c r="B3457" s="948">
        <v>628.32000000000005</v>
      </c>
      <c r="C3457" s="948" t="s">
        <v>4003</v>
      </c>
      <c r="D3457" s="947" t="s">
        <v>2</v>
      </c>
      <c r="E3457" s="950">
        <v>31</v>
      </c>
      <c r="F3457" s="950">
        <v>2</v>
      </c>
      <c r="G3457" s="951">
        <v>11100</v>
      </c>
      <c r="H3457" s="951">
        <v>32285.94</v>
      </c>
      <c r="I3457" s="18"/>
    </row>
    <row r="3458" spans="1:9">
      <c r="A3458" s="943">
        <v>6</v>
      </c>
      <c r="B3458" s="944">
        <v>628.4</v>
      </c>
      <c r="C3458" s="944" t="s">
        <v>3901</v>
      </c>
      <c r="D3458" s="943" t="s">
        <v>2</v>
      </c>
      <c r="E3458" s="945">
        <v>34</v>
      </c>
      <c r="F3458" s="945">
        <v>5</v>
      </c>
      <c r="G3458" s="946">
        <v>2775</v>
      </c>
      <c r="H3458" s="946">
        <v>2745.88</v>
      </c>
    </row>
    <row r="3459" spans="1:9" s="26" customFormat="1">
      <c r="A3459" s="947">
        <v>6</v>
      </c>
      <c r="B3459" s="948">
        <v>629.1</v>
      </c>
      <c r="C3459" s="948" t="s">
        <v>353</v>
      </c>
      <c r="D3459" s="947" t="s">
        <v>17</v>
      </c>
      <c r="E3459" s="949">
        <v>2500</v>
      </c>
      <c r="F3459" s="950">
        <v>3</v>
      </c>
      <c r="G3459" s="951">
        <v>200</v>
      </c>
      <c r="H3459" s="951">
        <v>222.17</v>
      </c>
      <c r="I3459" s="18"/>
    </row>
    <row r="3460" spans="1:9">
      <c r="A3460" s="943">
        <v>6</v>
      </c>
      <c r="B3460" s="944">
        <v>629.20000000000005</v>
      </c>
      <c r="C3460" s="944" t="s">
        <v>354</v>
      </c>
      <c r="D3460" s="943" t="s">
        <v>17</v>
      </c>
      <c r="E3460" s="945">
        <v>800</v>
      </c>
      <c r="F3460" s="945">
        <v>2</v>
      </c>
      <c r="G3460" s="946">
        <v>321</v>
      </c>
      <c r="H3460" s="946">
        <v>323.8</v>
      </c>
    </row>
    <row r="3461" spans="1:9" s="26" customFormat="1">
      <c r="A3461" s="947">
        <v>6</v>
      </c>
      <c r="B3461" s="948">
        <v>629.29999999999995</v>
      </c>
      <c r="C3461" s="948" t="s">
        <v>1415</v>
      </c>
      <c r="D3461" s="947" t="s">
        <v>17</v>
      </c>
      <c r="E3461" s="950">
        <v>200</v>
      </c>
      <c r="F3461" s="950">
        <v>1</v>
      </c>
      <c r="G3461" s="951">
        <v>800</v>
      </c>
      <c r="H3461" s="951">
        <v>625</v>
      </c>
      <c r="I3461" s="18"/>
    </row>
    <row r="3462" spans="1:9">
      <c r="A3462" s="943">
        <v>6</v>
      </c>
      <c r="B3462" s="944">
        <v>629.4</v>
      </c>
      <c r="C3462" s="944" t="s">
        <v>355</v>
      </c>
      <c r="D3462" s="943" t="s">
        <v>17</v>
      </c>
      <c r="E3462" s="945">
        <v>200</v>
      </c>
      <c r="F3462" s="945">
        <v>1</v>
      </c>
      <c r="G3462" s="946">
        <v>850</v>
      </c>
      <c r="H3462" s="946">
        <v>675</v>
      </c>
    </row>
    <row r="3463" spans="1:9" s="26" customFormat="1">
      <c r="A3463" s="947">
        <v>6</v>
      </c>
      <c r="B3463" s="948">
        <v>629.5</v>
      </c>
      <c r="C3463" s="948" t="s">
        <v>1416</v>
      </c>
      <c r="D3463" s="947" t="s">
        <v>4</v>
      </c>
      <c r="E3463" s="950">
        <v>100</v>
      </c>
      <c r="F3463" s="950">
        <v>1</v>
      </c>
      <c r="G3463" s="951">
        <v>500</v>
      </c>
      <c r="H3463" s="951">
        <v>375</v>
      </c>
      <c r="I3463" s="18"/>
    </row>
    <row r="3464" spans="1:9">
      <c r="A3464" s="943">
        <v>6</v>
      </c>
      <c r="B3464" s="944">
        <v>630</v>
      </c>
      <c r="C3464" s="944" t="s">
        <v>356</v>
      </c>
      <c r="D3464" s="943" t="s">
        <v>17</v>
      </c>
      <c r="E3464" s="952">
        <v>2490</v>
      </c>
      <c r="F3464" s="945">
        <v>4</v>
      </c>
      <c r="G3464" s="946">
        <v>50</v>
      </c>
      <c r="H3464" s="946">
        <v>46.13</v>
      </c>
    </row>
    <row r="3465" spans="1:9" s="26" customFormat="1">
      <c r="A3465" s="947">
        <v>6</v>
      </c>
      <c r="B3465" s="948">
        <v>630.20000000000005</v>
      </c>
      <c r="C3465" s="948" t="s">
        <v>358</v>
      </c>
      <c r="D3465" s="947" t="s">
        <v>17</v>
      </c>
      <c r="E3465" s="949">
        <v>28465</v>
      </c>
      <c r="F3465" s="950">
        <v>3</v>
      </c>
      <c r="G3465" s="951">
        <v>16.13</v>
      </c>
      <c r="H3465" s="951">
        <v>12.95</v>
      </c>
      <c r="I3465" s="18"/>
    </row>
    <row r="3466" spans="1:9">
      <c r="A3466" s="943">
        <v>6</v>
      </c>
      <c r="B3466" s="944">
        <v>632</v>
      </c>
      <c r="C3466" s="944" t="s">
        <v>359</v>
      </c>
      <c r="D3466" s="943" t="s">
        <v>2</v>
      </c>
      <c r="E3466" s="945">
        <v>950</v>
      </c>
      <c r="F3466" s="945">
        <v>3</v>
      </c>
      <c r="G3466" s="946">
        <v>185</v>
      </c>
      <c r="H3466" s="946">
        <v>184.14</v>
      </c>
    </row>
    <row r="3467" spans="1:9" s="26" customFormat="1">
      <c r="A3467" s="947">
        <v>6</v>
      </c>
      <c r="B3467" s="948">
        <v>632.20000000000005</v>
      </c>
      <c r="C3467" s="948" t="s">
        <v>1418</v>
      </c>
      <c r="D3467" s="947" t="s">
        <v>2</v>
      </c>
      <c r="E3467" s="950">
        <v>60</v>
      </c>
      <c r="F3467" s="950">
        <v>1</v>
      </c>
      <c r="G3467" s="951">
        <v>142.5</v>
      </c>
      <c r="H3467" s="951">
        <v>142.5</v>
      </c>
      <c r="I3467" s="18"/>
    </row>
    <row r="3468" spans="1:9">
      <c r="A3468" s="943">
        <v>6</v>
      </c>
      <c r="B3468" s="944">
        <v>633</v>
      </c>
      <c r="C3468" s="944" t="s">
        <v>362</v>
      </c>
      <c r="D3468" s="943" t="s">
        <v>2</v>
      </c>
      <c r="E3468" s="945">
        <v>72</v>
      </c>
      <c r="F3468" s="945">
        <v>2</v>
      </c>
      <c r="G3468" s="946">
        <v>26.5</v>
      </c>
      <c r="H3468" s="946">
        <v>22.67</v>
      </c>
    </row>
    <row r="3469" spans="1:9" s="26" customFormat="1">
      <c r="A3469" s="947">
        <v>6</v>
      </c>
      <c r="B3469" s="948">
        <v>633.1</v>
      </c>
      <c r="C3469" s="948" t="s">
        <v>363</v>
      </c>
      <c r="D3469" s="947" t="s">
        <v>2</v>
      </c>
      <c r="E3469" s="950">
        <v>462</v>
      </c>
      <c r="F3469" s="950">
        <v>2</v>
      </c>
      <c r="G3469" s="951">
        <v>49</v>
      </c>
      <c r="H3469" s="951">
        <v>43</v>
      </c>
      <c r="I3469" s="18"/>
    </row>
    <row r="3470" spans="1:9">
      <c r="A3470" s="943">
        <v>6</v>
      </c>
      <c r="B3470" s="944">
        <v>634</v>
      </c>
      <c r="C3470" s="944" t="s">
        <v>364</v>
      </c>
      <c r="D3470" s="943" t="s">
        <v>2</v>
      </c>
      <c r="E3470" s="945">
        <v>346</v>
      </c>
      <c r="F3470" s="945">
        <v>2</v>
      </c>
      <c r="G3470" s="946">
        <v>374.5</v>
      </c>
      <c r="H3470" s="946">
        <v>356</v>
      </c>
    </row>
    <row r="3471" spans="1:9" s="26" customFormat="1">
      <c r="A3471" s="947">
        <v>6</v>
      </c>
      <c r="B3471" s="948">
        <v>634.1</v>
      </c>
      <c r="C3471" s="948" t="s">
        <v>365</v>
      </c>
      <c r="D3471" s="947" t="s">
        <v>2</v>
      </c>
      <c r="E3471" s="950">
        <v>592</v>
      </c>
      <c r="F3471" s="950">
        <v>2</v>
      </c>
      <c r="G3471" s="951">
        <v>525</v>
      </c>
      <c r="H3471" s="951">
        <v>548</v>
      </c>
      <c r="I3471" s="18"/>
    </row>
    <row r="3472" spans="1:9">
      <c r="A3472" s="943">
        <v>6</v>
      </c>
      <c r="B3472" s="944">
        <v>644.072</v>
      </c>
      <c r="C3472" s="944" t="s">
        <v>368</v>
      </c>
      <c r="D3472" s="943" t="s">
        <v>17</v>
      </c>
      <c r="E3472" s="952">
        <v>2258</v>
      </c>
      <c r="F3472" s="945">
        <v>1</v>
      </c>
      <c r="G3472" s="946">
        <v>73.5</v>
      </c>
      <c r="H3472" s="946">
        <v>73.5</v>
      </c>
    </row>
    <row r="3473" spans="1:9" s="26" customFormat="1">
      <c r="A3473" s="947">
        <v>6</v>
      </c>
      <c r="B3473" s="948">
        <v>644.14800000000002</v>
      </c>
      <c r="C3473" s="948" t="s">
        <v>369</v>
      </c>
      <c r="D3473" s="947" t="s">
        <v>17</v>
      </c>
      <c r="E3473" s="949">
        <v>1050</v>
      </c>
      <c r="F3473" s="950">
        <v>1</v>
      </c>
      <c r="G3473" s="951">
        <v>42</v>
      </c>
      <c r="H3473" s="951">
        <v>42</v>
      </c>
      <c r="I3473" s="18"/>
    </row>
    <row r="3474" spans="1:9">
      <c r="A3474" s="943">
        <v>6</v>
      </c>
      <c r="B3474" s="944">
        <v>644.17200000000003</v>
      </c>
      <c r="C3474" s="944" t="s">
        <v>371</v>
      </c>
      <c r="D3474" s="943" t="s">
        <v>17</v>
      </c>
      <c r="E3474" s="952">
        <v>1700</v>
      </c>
      <c r="F3474" s="945">
        <v>1</v>
      </c>
      <c r="G3474" s="946">
        <v>82</v>
      </c>
      <c r="H3474" s="946">
        <v>82</v>
      </c>
    </row>
    <row r="3475" spans="1:9" s="26" customFormat="1">
      <c r="A3475" s="947">
        <v>6</v>
      </c>
      <c r="B3475" s="948">
        <v>644.19600000000003</v>
      </c>
      <c r="C3475" s="948" t="s">
        <v>372</v>
      </c>
      <c r="D3475" s="947" t="s">
        <v>17</v>
      </c>
      <c r="E3475" s="950">
        <v>600</v>
      </c>
      <c r="F3475" s="950">
        <v>1</v>
      </c>
      <c r="G3475" s="951">
        <v>92.5</v>
      </c>
      <c r="H3475" s="951">
        <v>92.5</v>
      </c>
      <c r="I3475" s="18"/>
    </row>
    <row r="3476" spans="1:9">
      <c r="A3476" s="943">
        <v>6</v>
      </c>
      <c r="B3476" s="944">
        <v>645.072</v>
      </c>
      <c r="C3476" s="944" t="s">
        <v>374</v>
      </c>
      <c r="D3476" s="943" t="s">
        <v>17</v>
      </c>
      <c r="E3476" s="952">
        <v>1276</v>
      </c>
      <c r="F3476" s="945">
        <v>2</v>
      </c>
      <c r="G3476" s="946">
        <v>128.5</v>
      </c>
      <c r="H3476" s="946">
        <v>116.43</v>
      </c>
    </row>
    <row r="3477" spans="1:9" s="26" customFormat="1">
      <c r="A3477" s="947">
        <v>6</v>
      </c>
      <c r="B3477" s="948">
        <v>645.14800000000002</v>
      </c>
      <c r="C3477" s="948" t="s">
        <v>375</v>
      </c>
      <c r="D3477" s="947" t="s">
        <v>17</v>
      </c>
      <c r="E3477" s="949">
        <v>2435</v>
      </c>
      <c r="F3477" s="950">
        <v>2</v>
      </c>
      <c r="G3477" s="951">
        <v>70</v>
      </c>
      <c r="H3477" s="951">
        <v>69.83</v>
      </c>
      <c r="I3477" s="18"/>
    </row>
    <row r="3478" spans="1:9">
      <c r="A3478" s="943">
        <v>6</v>
      </c>
      <c r="B3478" s="944">
        <v>650.048</v>
      </c>
      <c r="C3478" s="944" t="s">
        <v>377</v>
      </c>
      <c r="D3478" s="943" t="s">
        <v>17</v>
      </c>
      <c r="E3478" s="945">
        <v>6</v>
      </c>
      <c r="F3478" s="945">
        <v>1</v>
      </c>
      <c r="G3478" s="946">
        <v>300</v>
      </c>
      <c r="H3478" s="946">
        <v>300</v>
      </c>
    </row>
    <row r="3479" spans="1:9" s="26" customFormat="1">
      <c r="A3479" s="947">
        <v>6</v>
      </c>
      <c r="B3479" s="948">
        <v>652.072</v>
      </c>
      <c r="C3479" s="948" t="s">
        <v>381</v>
      </c>
      <c r="D3479" s="947" t="s">
        <v>2</v>
      </c>
      <c r="E3479" s="950">
        <v>4</v>
      </c>
      <c r="F3479" s="950">
        <v>1</v>
      </c>
      <c r="G3479" s="951">
        <v>405</v>
      </c>
      <c r="H3479" s="951">
        <v>573.5</v>
      </c>
      <c r="I3479" s="18"/>
    </row>
    <row r="3480" spans="1:9">
      <c r="A3480" s="943">
        <v>6</v>
      </c>
      <c r="B3480" s="944">
        <v>653.072</v>
      </c>
      <c r="C3480" s="944" t="s">
        <v>383</v>
      </c>
      <c r="D3480" s="943" t="s">
        <v>2</v>
      </c>
      <c r="E3480" s="945">
        <v>60</v>
      </c>
      <c r="F3480" s="945">
        <v>1</v>
      </c>
      <c r="G3480" s="946">
        <v>287.5</v>
      </c>
      <c r="H3480" s="946">
        <v>287.5</v>
      </c>
    </row>
    <row r="3481" spans="1:9" s="26" customFormat="1">
      <c r="A3481" s="947">
        <v>6</v>
      </c>
      <c r="B3481" s="948">
        <v>654.072</v>
      </c>
      <c r="C3481" s="948" t="s">
        <v>385</v>
      </c>
      <c r="D3481" s="947" t="s">
        <v>17</v>
      </c>
      <c r="E3481" s="950">
        <v>400</v>
      </c>
      <c r="F3481" s="950">
        <v>1</v>
      </c>
      <c r="G3481" s="951">
        <v>32.5</v>
      </c>
      <c r="H3481" s="951">
        <v>32.5</v>
      </c>
      <c r="I3481" s="18"/>
    </row>
    <row r="3482" spans="1:9">
      <c r="A3482" s="943">
        <v>6</v>
      </c>
      <c r="B3482" s="944">
        <v>657</v>
      </c>
      <c r="C3482" s="944" t="s">
        <v>387</v>
      </c>
      <c r="D3482" s="943" t="s">
        <v>17</v>
      </c>
      <c r="E3482" s="952">
        <v>32370</v>
      </c>
      <c r="F3482" s="945">
        <v>2</v>
      </c>
      <c r="G3482" s="946">
        <v>90</v>
      </c>
      <c r="H3482" s="946">
        <v>103.8</v>
      </c>
    </row>
    <row r="3483" spans="1:9" s="26" customFormat="1">
      <c r="A3483" s="947">
        <v>6</v>
      </c>
      <c r="B3483" s="948">
        <v>665</v>
      </c>
      <c r="C3483" s="948" t="s">
        <v>390</v>
      </c>
      <c r="D3483" s="947" t="s">
        <v>17</v>
      </c>
      <c r="E3483" s="950">
        <v>100</v>
      </c>
      <c r="F3483" s="950">
        <v>1</v>
      </c>
      <c r="G3483" s="951">
        <v>35</v>
      </c>
      <c r="H3483" s="951">
        <v>33.5</v>
      </c>
      <c r="I3483" s="18"/>
    </row>
    <row r="3484" spans="1:9">
      <c r="A3484" s="943">
        <v>6</v>
      </c>
      <c r="B3484" s="944">
        <v>666</v>
      </c>
      <c r="C3484" s="944" t="s">
        <v>391</v>
      </c>
      <c r="D3484" s="943" t="s">
        <v>17</v>
      </c>
      <c r="E3484" s="952">
        <v>2073</v>
      </c>
      <c r="F3484" s="945">
        <v>4</v>
      </c>
      <c r="G3484" s="946">
        <v>80</v>
      </c>
      <c r="H3484" s="946">
        <v>89.65</v>
      </c>
    </row>
    <row r="3485" spans="1:9" s="26" customFormat="1">
      <c r="A3485" s="947">
        <v>6</v>
      </c>
      <c r="B3485" s="948">
        <v>670</v>
      </c>
      <c r="C3485" s="948" t="s">
        <v>394</v>
      </c>
      <c r="D3485" s="947" t="s">
        <v>17</v>
      </c>
      <c r="E3485" s="950">
        <v>860</v>
      </c>
      <c r="F3485" s="950">
        <v>2</v>
      </c>
      <c r="G3485" s="951">
        <v>63</v>
      </c>
      <c r="H3485" s="951">
        <v>63</v>
      </c>
      <c r="I3485" s="18"/>
    </row>
    <row r="3486" spans="1:9">
      <c r="A3486" s="943">
        <v>6</v>
      </c>
      <c r="B3486" s="944">
        <v>675</v>
      </c>
      <c r="C3486" s="944" t="s">
        <v>2497</v>
      </c>
      <c r="D3486" s="943" t="s">
        <v>17</v>
      </c>
      <c r="E3486" s="952">
        <v>5100</v>
      </c>
      <c r="F3486" s="945">
        <v>1</v>
      </c>
      <c r="G3486" s="946">
        <v>114</v>
      </c>
      <c r="H3486" s="946">
        <v>104.5</v>
      </c>
    </row>
    <row r="3487" spans="1:9" s="26" customFormat="1">
      <c r="A3487" s="947">
        <v>6</v>
      </c>
      <c r="B3487" s="948">
        <v>685</v>
      </c>
      <c r="C3487" s="948" t="s">
        <v>396</v>
      </c>
      <c r="D3487" s="947" t="s">
        <v>4</v>
      </c>
      <c r="E3487" s="950">
        <v>225</v>
      </c>
      <c r="F3487" s="950">
        <v>1</v>
      </c>
      <c r="G3487" s="951">
        <v>1379</v>
      </c>
      <c r="H3487" s="951">
        <v>1425.4</v>
      </c>
      <c r="I3487" s="18"/>
    </row>
    <row r="3488" spans="1:9">
      <c r="A3488" s="943">
        <v>6</v>
      </c>
      <c r="B3488" s="944">
        <v>690</v>
      </c>
      <c r="C3488" s="944" t="s">
        <v>397</v>
      </c>
      <c r="D3488" s="943" t="s">
        <v>4</v>
      </c>
      <c r="E3488" s="945">
        <v>30</v>
      </c>
      <c r="F3488" s="945">
        <v>1</v>
      </c>
      <c r="G3488" s="946">
        <v>1350</v>
      </c>
      <c r="H3488" s="946">
        <v>1350</v>
      </c>
    </row>
    <row r="3489" spans="1:9" s="26" customFormat="1">
      <c r="A3489" s="947">
        <v>6</v>
      </c>
      <c r="B3489" s="948">
        <v>697</v>
      </c>
      <c r="C3489" s="948" t="s">
        <v>400</v>
      </c>
      <c r="D3489" s="947" t="s">
        <v>17</v>
      </c>
      <c r="E3489" s="949">
        <v>30440</v>
      </c>
      <c r="F3489" s="950">
        <v>1</v>
      </c>
      <c r="G3489" s="951">
        <v>6</v>
      </c>
      <c r="H3489" s="951">
        <v>6</v>
      </c>
      <c r="I3489" s="18"/>
    </row>
    <row r="3490" spans="1:9">
      <c r="A3490" s="943">
        <v>6</v>
      </c>
      <c r="B3490" s="944">
        <v>697.1</v>
      </c>
      <c r="C3490" s="944" t="s">
        <v>401</v>
      </c>
      <c r="D3490" s="943" t="s">
        <v>2</v>
      </c>
      <c r="E3490" s="952">
        <v>2835</v>
      </c>
      <c r="F3490" s="945">
        <v>15</v>
      </c>
      <c r="G3490" s="946">
        <v>240</v>
      </c>
      <c r="H3490" s="946">
        <v>241.35</v>
      </c>
    </row>
    <row r="3491" spans="1:9" s="26" customFormat="1">
      <c r="A3491" s="947">
        <v>6</v>
      </c>
      <c r="B3491" s="948">
        <v>698.1</v>
      </c>
      <c r="C3491" s="948" t="s">
        <v>403</v>
      </c>
      <c r="D3491" s="947" t="s">
        <v>1</v>
      </c>
      <c r="E3491" s="950">
        <v>705</v>
      </c>
      <c r="F3491" s="950">
        <v>2</v>
      </c>
      <c r="G3491" s="951">
        <v>12</v>
      </c>
      <c r="H3491" s="951">
        <v>12.29</v>
      </c>
      <c r="I3491" s="18"/>
    </row>
    <row r="3492" spans="1:9">
      <c r="A3492" s="943">
        <v>6</v>
      </c>
      <c r="B3492" s="944">
        <v>698.3</v>
      </c>
      <c r="C3492" s="944" t="s">
        <v>404</v>
      </c>
      <c r="D3492" s="943" t="s">
        <v>1</v>
      </c>
      <c r="E3492" s="945">
        <v>740</v>
      </c>
      <c r="F3492" s="945">
        <v>2</v>
      </c>
      <c r="G3492" s="946">
        <v>10</v>
      </c>
      <c r="H3492" s="946">
        <v>9.17</v>
      </c>
    </row>
    <row r="3493" spans="1:9" s="26" customFormat="1">
      <c r="A3493" s="947">
        <v>6</v>
      </c>
      <c r="B3493" s="948">
        <v>698.4</v>
      </c>
      <c r="C3493" s="948" t="s">
        <v>405</v>
      </c>
      <c r="D3493" s="947" t="s">
        <v>1</v>
      </c>
      <c r="E3493" s="949">
        <v>1400</v>
      </c>
      <c r="F3493" s="950">
        <v>1</v>
      </c>
      <c r="G3493" s="951">
        <v>7</v>
      </c>
      <c r="H3493" s="951">
        <v>7</v>
      </c>
      <c r="I3493" s="18"/>
    </row>
    <row r="3494" spans="1:9">
      <c r="A3494" s="943">
        <v>6</v>
      </c>
      <c r="B3494" s="944">
        <v>701</v>
      </c>
      <c r="C3494" s="944" t="s">
        <v>406</v>
      </c>
      <c r="D3494" s="943" t="s">
        <v>1</v>
      </c>
      <c r="E3494" s="952">
        <v>163255</v>
      </c>
      <c r="F3494" s="945">
        <v>14</v>
      </c>
      <c r="G3494" s="946">
        <v>110</v>
      </c>
      <c r="H3494" s="946">
        <v>114.21</v>
      </c>
    </row>
    <row r="3495" spans="1:9" s="26" customFormat="1">
      <c r="A3495" s="947">
        <v>6</v>
      </c>
      <c r="B3495" s="948">
        <v>701.1</v>
      </c>
      <c r="C3495" s="948" t="s">
        <v>407</v>
      </c>
      <c r="D3495" s="947" t="s">
        <v>1</v>
      </c>
      <c r="E3495" s="949">
        <v>41770</v>
      </c>
      <c r="F3495" s="950">
        <v>10</v>
      </c>
      <c r="G3495" s="951">
        <v>125</v>
      </c>
      <c r="H3495" s="951">
        <v>134.12</v>
      </c>
      <c r="I3495" s="18"/>
    </row>
    <row r="3496" spans="1:9">
      <c r="A3496" s="943">
        <v>6</v>
      </c>
      <c r="B3496" s="944">
        <v>701.2</v>
      </c>
      <c r="C3496" s="944" t="s">
        <v>1422</v>
      </c>
      <c r="D3496" s="943" t="s">
        <v>1</v>
      </c>
      <c r="E3496" s="952">
        <v>35380</v>
      </c>
      <c r="F3496" s="945">
        <v>11</v>
      </c>
      <c r="G3496" s="946">
        <v>150</v>
      </c>
      <c r="H3496" s="946">
        <v>157.44</v>
      </c>
    </row>
    <row r="3497" spans="1:9" s="26" customFormat="1">
      <c r="A3497" s="947">
        <v>6</v>
      </c>
      <c r="B3497" s="948">
        <v>702</v>
      </c>
      <c r="C3497" s="948" t="s">
        <v>1423</v>
      </c>
      <c r="D3497" s="947" t="s">
        <v>7</v>
      </c>
      <c r="E3497" s="949">
        <v>8213</v>
      </c>
      <c r="F3497" s="950">
        <v>11</v>
      </c>
      <c r="G3497" s="951">
        <v>350</v>
      </c>
      <c r="H3497" s="951">
        <v>351.14</v>
      </c>
      <c r="I3497" s="18"/>
    </row>
    <row r="3498" spans="1:9">
      <c r="A3498" s="943">
        <v>6</v>
      </c>
      <c r="B3498" s="944">
        <v>705.1</v>
      </c>
      <c r="C3498" s="944" t="s">
        <v>409</v>
      </c>
      <c r="D3498" s="943" t="s">
        <v>1</v>
      </c>
      <c r="E3498" s="945">
        <v>180</v>
      </c>
      <c r="F3498" s="945">
        <v>2</v>
      </c>
      <c r="G3498" s="946">
        <v>485</v>
      </c>
      <c r="H3498" s="946">
        <v>470.2</v>
      </c>
    </row>
    <row r="3499" spans="1:9" s="26" customFormat="1">
      <c r="A3499" s="947">
        <v>6</v>
      </c>
      <c r="B3499" s="948">
        <v>706</v>
      </c>
      <c r="C3499" s="948" t="s">
        <v>410</v>
      </c>
      <c r="D3499" s="947" t="s">
        <v>1</v>
      </c>
      <c r="E3499" s="950">
        <v>100</v>
      </c>
      <c r="F3499" s="950">
        <v>1</v>
      </c>
      <c r="G3499" s="951">
        <v>575</v>
      </c>
      <c r="H3499" s="951">
        <v>521</v>
      </c>
      <c r="I3499" s="18"/>
    </row>
    <row r="3500" spans="1:9">
      <c r="A3500" s="943">
        <v>6</v>
      </c>
      <c r="B3500" s="944">
        <v>706.1</v>
      </c>
      <c r="C3500" s="944" t="s">
        <v>411</v>
      </c>
      <c r="D3500" s="943" t="s">
        <v>1</v>
      </c>
      <c r="E3500" s="945">
        <v>415</v>
      </c>
      <c r="F3500" s="945">
        <v>4</v>
      </c>
      <c r="G3500" s="946">
        <v>478.5</v>
      </c>
      <c r="H3500" s="946">
        <v>431.93</v>
      </c>
    </row>
    <row r="3501" spans="1:9" s="26" customFormat="1">
      <c r="A3501" s="947">
        <v>6</v>
      </c>
      <c r="B3501" s="948">
        <v>707.1</v>
      </c>
      <c r="C3501" s="948" t="s">
        <v>60</v>
      </c>
      <c r="D3501" s="947" t="s">
        <v>2</v>
      </c>
      <c r="E3501" s="950">
        <v>9</v>
      </c>
      <c r="F3501" s="950">
        <v>1</v>
      </c>
      <c r="G3501" s="951">
        <v>4384.08</v>
      </c>
      <c r="H3501" s="951">
        <v>4089.38</v>
      </c>
      <c r="I3501" s="18"/>
    </row>
    <row r="3502" spans="1:9">
      <c r="A3502" s="943">
        <v>6</v>
      </c>
      <c r="B3502" s="944">
        <v>707.15</v>
      </c>
      <c r="C3502" s="944" t="s">
        <v>414</v>
      </c>
      <c r="D3502" s="943" t="s">
        <v>2</v>
      </c>
      <c r="E3502" s="945">
        <v>10</v>
      </c>
      <c r="F3502" s="945">
        <v>2</v>
      </c>
      <c r="G3502" s="946">
        <v>1350</v>
      </c>
      <c r="H3502" s="946">
        <v>1037.5</v>
      </c>
    </row>
    <row r="3503" spans="1:9" s="26" customFormat="1">
      <c r="A3503" s="947">
        <v>6</v>
      </c>
      <c r="B3503" s="948">
        <v>707.8</v>
      </c>
      <c r="C3503" s="948" t="s">
        <v>416</v>
      </c>
      <c r="D3503" s="947" t="s">
        <v>2</v>
      </c>
      <c r="E3503" s="950">
        <v>18</v>
      </c>
      <c r="F3503" s="950">
        <v>1</v>
      </c>
      <c r="G3503" s="951">
        <v>2000</v>
      </c>
      <c r="H3503" s="951">
        <v>2023.33</v>
      </c>
      <c r="I3503" s="18"/>
    </row>
    <row r="3504" spans="1:9">
      <c r="A3504" s="943">
        <v>6</v>
      </c>
      <c r="B3504" s="944">
        <v>707.9</v>
      </c>
      <c r="C3504" s="944" t="s">
        <v>61</v>
      </c>
      <c r="D3504" s="943" t="s">
        <v>2</v>
      </c>
      <c r="E3504" s="945">
        <v>10</v>
      </c>
      <c r="F3504" s="945">
        <v>1</v>
      </c>
      <c r="G3504" s="946">
        <v>2272.7199999999998</v>
      </c>
      <c r="H3504" s="946">
        <v>2272.7199999999998</v>
      </c>
    </row>
    <row r="3505" spans="1:9" s="26" customFormat="1">
      <c r="A3505" s="947">
        <v>6</v>
      </c>
      <c r="B3505" s="948">
        <v>711</v>
      </c>
      <c r="C3505" s="948" t="s">
        <v>418</v>
      </c>
      <c r="D3505" s="947" t="s">
        <v>2</v>
      </c>
      <c r="E3505" s="950">
        <v>10</v>
      </c>
      <c r="F3505" s="950">
        <v>1</v>
      </c>
      <c r="G3505" s="951">
        <v>700</v>
      </c>
      <c r="H3505" s="951">
        <v>690</v>
      </c>
      <c r="I3505" s="18"/>
    </row>
    <row r="3506" spans="1:9">
      <c r="A3506" s="943">
        <v>6</v>
      </c>
      <c r="B3506" s="944">
        <v>714</v>
      </c>
      <c r="C3506" s="944" t="s">
        <v>420</v>
      </c>
      <c r="D3506" s="943" t="s">
        <v>2</v>
      </c>
      <c r="E3506" s="945">
        <v>4</v>
      </c>
      <c r="F3506" s="945">
        <v>1</v>
      </c>
      <c r="G3506" s="946">
        <v>10350</v>
      </c>
      <c r="H3506" s="946">
        <v>8475</v>
      </c>
    </row>
    <row r="3507" spans="1:9" s="26" customFormat="1">
      <c r="A3507" s="947">
        <v>6</v>
      </c>
      <c r="B3507" s="948">
        <v>715</v>
      </c>
      <c r="C3507" s="948" t="s">
        <v>422</v>
      </c>
      <c r="D3507" s="947" t="s">
        <v>2</v>
      </c>
      <c r="E3507" s="950">
        <v>12</v>
      </c>
      <c r="F3507" s="950">
        <v>1</v>
      </c>
      <c r="G3507" s="951">
        <v>275</v>
      </c>
      <c r="H3507" s="951">
        <v>265.75</v>
      </c>
      <c r="I3507" s="18"/>
    </row>
    <row r="3508" spans="1:9">
      <c r="A3508" s="943">
        <v>6</v>
      </c>
      <c r="B3508" s="944">
        <v>715.1</v>
      </c>
      <c r="C3508" s="944" t="s">
        <v>423</v>
      </c>
      <c r="D3508" s="943" t="s">
        <v>2</v>
      </c>
      <c r="E3508" s="945">
        <v>7</v>
      </c>
      <c r="F3508" s="945">
        <v>2</v>
      </c>
      <c r="G3508" s="946">
        <v>700</v>
      </c>
      <c r="H3508" s="946">
        <v>635.71</v>
      </c>
    </row>
    <row r="3509" spans="1:9" s="26" customFormat="1">
      <c r="A3509" s="947">
        <v>6</v>
      </c>
      <c r="B3509" s="948">
        <v>718.1</v>
      </c>
      <c r="C3509" s="948" t="s">
        <v>425</v>
      </c>
      <c r="D3509" s="947" t="s">
        <v>22</v>
      </c>
      <c r="E3509" s="950">
        <v>4</v>
      </c>
      <c r="F3509" s="950">
        <v>1</v>
      </c>
      <c r="G3509" s="951">
        <v>8495</v>
      </c>
      <c r="H3509" s="951">
        <v>7997.5</v>
      </c>
      <c r="I3509" s="18"/>
    </row>
    <row r="3510" spans="1:9">
      <c r="A3510" s="943">
        <v>6</v>
      </c>
      <c r="B3510" s="944">
        <v>740</v>
      </c>
      <c r="C3510" s="944" t="s">
        <v>4023</v>
      </c>
      <c r="D3510" s="943" t="s">
        <v>428</v>
      </c>
      <c r="E3510" s="952">
        <v>1631</v>
      </c>
      <c r="F3510" s="945">
        <v>18</v>
      </c>
      <c r="G3510" s="946">
        <v>4500</v>
      </c>
      <c r="H3510" s="946">
        <v>4644.29</v>
      </c>
    </row>
    <row r="3511" spans="1:9" s="26" customFormat="1">
      <c r="A3511" s="947">
        <v>6</v>
      </c>
      <c r="B3511" s="948">
        <v>741</v>
      </c>
      <c r="C3511" s="948" t="s">
        <v>2524</v>
      </c>
      <c r="D3511" s="947" t="s">
        <v>428</v>
      </c>
      <c r="E3511" s="950">
        <v>48</v>
      </c>
      <c r="F3511" s="950">
        <v>1</v>
      </c>
      <c r="G3511" s="951">
        <v>2100</v>
      </c>
      <c r="H3511" s="951">
        <v>1950</v>
      </c>
      <c r="I3511" s="18"/>
    </row>
    <row r="3512" spans="1:9">
      <c r="A3512" s="943">
        <v>6</v>
      </c>
      <c r="B3512" s="944">
        <v>747</v>
      </c>
      <c r="C3512" s="944" t="s">
        <v>429</v>
      </c>
      <c r="D3512" s="943" t="s">
        <v>22</v>
      </c>
      <c r="E3512" s="945">
        <v>2</v>
      </c>
      <c r="F3512" s="945">
        <v>1</v>
      </c>
      <c r="G3512" s="946">
        <v>7500</v>
      </c>
      <c r="H3512" s="946">
        <v>7250</v>
      </c>
    </row>
    <row r="3513" spans="1:9" s="26" customFormat="1">
      <c r="A3513" s="947">
        <v>6</v>
      </c>
      <c r="B3513" s="948">
        <v>748</v>
      </c>
      <c r="C3513" s="948" t="s">
        <v>430</v>
      </c>
      <c r="D3513" s="947" t="s">
        <v>22</v>
      </c>
      <c r="E3513" s="950">
        <v>17</v>
      </c>
      <c r="F3513" s="950">
        <v>6</v>
      </c>
      <c r="G3513" s="951">
        <v>219250</v>
      </c>
      <c r="H3513" s="951">
        <v>208979.11</v>
      </c>
      <c r="I3513" s="18"/>
    </row>
    <row r="3514" spans="1:9">
      <c r="A3514" s="943">
        <v>6</v>
      </c>
      <c r="B3514" s="944">
        <v>748.1</v>
      </c>
      <c r="C3514" s="944" t="s">
        <v>431</v>
      </c>
      <c r="D3514" s="943" t="s">
        <v>2</v>
      </c>
      <c r="E3514" s="945">
        <v>91</v>
      </c>
      <c r="F3514" s="945">
        <v>7</v>
      </c>
      <c r="G3514" s="946">
        <v>500</v>
      </c>
      <c r="H3514" s="946">
        <v>537.5</v>
      </c>
    </row>
    <row r="3515" spans="1:9" s="26" customFormat="1">
      <c r="A3515" s="947">
        <v>6</v>
      </c>
      <c r="B3515" s="948">
        <v>751</v>
      </c>
      <c r="C3515" s="948" t="s">
        <v>3902</v>
      </c>
      <c r="D3515" s="947" t="s">
        <v>4</v>
      </c>
      <c r="E3515" s="949">
        <v>12020</v>
      </c>
      <c r="F3515" s="950">
        <v>12</v>
      </c>
      <c r="G3515" s="951">
        <v>85</v>
      </c>
      <c r="H3515" s="951">
        <v>87.68</v>
      </c>
      <c r="I3515" s="18"/>
    </row>
    <row r="3516" spans="1:9">
      <c r="A3516" s="943">
        <v>6</v>
      </c>
      <c r="B3516" s="944">
        <v>751.1</v>
      </c>
      <c r="C3516" s="944" t="s">
        <v>4004</v>
      </c>
      <c r="D3516" s="943" t="s">
        <v>4</v>
      </c>
      <c r="E3516" s="952">
        <v>13710</v>
      </c>
      <c r="F3516" s="945">
        <v>4</v>
      </c>
      <c r="G3516" s="946">
        <v>85</v>
      </c>
      <c r="H3516" s="946">
        <v>86.27</v>
      </c>
    </row>
    <row r="3517" spans="1:9" s="26" customFormat="1">
      <c r="A3517" s="947">
        <v>6</v>
      </c>
      <c r="B3517" s="948">
        <v>751.7</v>
      </c>
      <c r="C3517" s="948" t="s">
        <v>4005</v>
      </c>
      <c r="D3517" s="947" t="s">
        <v>4</v>
      </c>
      <c r="E3517" s="950">
        <v>320</v>
      </c>
      <c r="F3517" s="950">
        <v>1</v>
      </c>
      <c r="G3517" s="951">
        <v>110</v>
      </c>
      <c r="H3517" s="951">
        <v>108.75</v>
      </c>
      <c r="I3517" s="18"/>
    </row>
    <row r="3518" spans="1:9">
      <c r="A3518" s="943">
        <v>6</v>
      </c>
      <c r="B3518" s="944">
        <v>756</v>
      </c>
      <c r="C3518" s="944" t="s">
        <v>432</v>
      </c>
      <c r="D3518" s="943" t="s">
        <v>22</v>
      </c>
      <c r="E3518" s="945">
        <v>16</v>
      </c>
      <c r="F3518" s="945">
        <v>6</v>
      </c>
      <c r="G3518" s="946">
        <v>10000</v>
      </c>
      <c r="H3518" s="946">
        <v>8543.75</v>
      </c>
    </row>
    <row r="3519" spans="1:9" s="26" customFormat="1">
      <c r="A3519" s="947">
        <v>6</v>
      </c>
      <c r="B3519" s="948">
        <v>765</v>
      </c>
      <c r="C3519" s="948" t="s">
        <v>34</v>
      </c>
      <c r="D3519" s="947" t="s">
        <v>1</v>
      </c>
      <c r="E3519" s="949">
        <v>98450</v>
      </c>
      <c r="F3519" s="950">
        <v>12</v>
      </c>
      <c r="G3519" s="951">
        <v>3.36</v>
      </c>
      <c r="H3519" s="951">
        <v>3.45</v>
      </c>
      <c r="I3519" s="18"/>
    </row>
    <row r="3520" spans="1:9">
      <c r="A3520" s="943">
        <v>6</v>
      </c>
      <c r="B3520" s="944">
        <v>765.2</v>
      </c>
      <c r="C3520" s="944" t="s">
        <v>2531</v>
      </c>
      <c r="D3520" s="943" t="s">
        <v>1</v>
      </c>
      <c r="E3520" s="952">
        <v>8200</v>
      </c>
      <c r="F3520" s="945">
        <v>1</v>
      </c>
      <c r="G3520" s="946">
        <v>2.4</v>
      </c>
      <c r="H3520" s="946">
        <v>2.4</v>
      </c>
    </row>
    <row r="3521" spans="1:9" s="26" customFormat="1">
      <c r="A3521" s="947">
        <v>6</v>
      </c>
      <c r="B3521" s="948">
        <v>767.12099999999998</v>
      </c>
      <c r="C3521" s="948" t="s">
        <v>1436</v>
      </c>
      <c r="D3521" s="947" t="s">
        <v>17</v>
      </c>
      <c r="E3521" s="949">
        <v>34390</v>
      </c>
      <c r="F3521" s="950">
        <v>13</v>
      </c>
      <c r="G3521" s="951">
        <v>12.25</v>
      </c>
      <c r="H3521" s="951">
        <v>11.08</v>
      </c>
      <c r="I3521" s="18"/>
    </row>
    <row r="3522" spans="1:9">
      <c r="A3522" s="943">
        <v>6</v>
      </c>
      <c r="B3522" s="944">
        <v>767.6</v>
      </c>
      <c r="C3522" s="944" t="s">
        <v>441</v>
      </c>
      <c r="D3522" s="943" t="s">
        <v>4</v>
      </c>
      <c r="E3522" s="952">
        <v>1997</v>
      </c>
      <c r="F3522" s="945">
        <v>7</v>
      </c>
      <c r="G3522" s="946">
        <v>100</v>
      </c>
      <c r="H3522" s="946">
        <v>106.41</v>
      </c>
    </row>
    <row r="3523" spans="1:9" s="26" customFormat="1">
      <c r="A3523" s="947">
        <v>6</v>
      </c>
      <c r="B3523" s="948">
        <v>767.8</v>
      </c>
      <c r="C3523" s="948" t="s">
        <v>442</v>
      </c>
      <c r="D3523" s="947" t="s">
        <v>2</v>
      </c>
      <c r="E3523" s="950">
        <v>24</v>
      </c>
      <c r="F3523" s="950">
        <v>1</v>
      </c>
      <c r="G3523" s="951">
        <v>27.5</v>
      </c>
      <c r="H3523" s="951">
        <v>27.5</v>
      </c>
      <c r="I3523" s="18"/>
    </row>
    <row r="3524" spans="1:9">
      <c r="A3524" s="943">
        <v>6</v>
      </c>
      <c r="B3524" s="944">
        <v>769</v>
      </c>
      <c r="C3524" s="944" t="s">
        <v>443</v>
      </c>
      <c r="D3524" s="943" t="s">
        <v>17</v>
      </c>
      <c r="E3524" s="952">
        <v>144000</v>
      </c>
      <c r="F3524" s="945">
        <v>1</v>
      </c>
      <c r="G3524" s="946">
        <v>12.5</v>
      </c>
      <c r="H3524" s="946">
        <v>11.83</v>
      </c>
    </row>
    <row r="3525" spans="1:9" s="26" customFormat="1">
      <c r="A3525" s="947">
        <v>6</v>
      </c>
      <c r="B3525" s="948">
        <v>775.43100000000004</v>
      </c>
      <c r="C3525" s="948" t="s">
        <v>4041</v>
      </c>
      <c r="D3525" s="947" t="s">
        <v>2</v>
      </c>
      <c r="E3525" s="950">
        <v>16</v>
      </c>
      <c r="F3525" s="950">
        <v>1</v>
      </c>
      <c r="G3525" s="951">
        <v>850</v>
      </c>
      <c r="H3525" s="951">
        <v>818.75</v>
      </c>
      <c r="I3525" s="18"/>
    </row>
    <row r="3526" spans="1:9">
      <c r="A3526" s="943">
        <v>6</v>
      </c>
      <c r="B3526" s="944">
        <v>776.52300000000002</v>
      </c>
      <c r="C3526" s="944" t="s">
        <v>4012</v>
      </c>
      <c r="D3526" s="943" t="s">
        <v>2</v>
      </c>
      <c r="E3526" s="945">
        <v>36</v>
      </c>
      <c r="F3526" s="945">
        <v>1</v>
      </c>
      <c r="G3526" s="946">
        <v>825</v>
      </c>
      <c r="H3526" s="946">
        <v>789.5</v>
      </c>
    </row>
    <row r="3527" spans="1:9" s="26" customFormat="1">
      <c r="A3527" s="947">
        <v>6</v>
      </c>
      <c r="B3527" s="948">
        <v>777.26099999999997</v>
      </c>
      <c r="C3527" s="948" t="s">
        <v>454</v>
      </c>
      <c r="D3527" s="947" t="s">
        <v>2</v>
      </c>
      <c r="E3527" s="950">
        <v>4</v>
      </c>
      <c r="F3527" s="950">
        <v>1</v>
      </c>
      <c r="G3527" s="951">
        <v>775</v>
      </c>
      <c r="H3527" s="951">
        <v>775</v>
      </c>
      <c r="I3527" s="18"/>
    </row>
    <row r="3528" spans="1:9">
      <c r="A3528" s="943">
        <v>6</v>
      </c>
      <c r="B3528" s="944">
        <v>777.67200000000003</v>
      </c>
      <c r="C3528" s="944" t="s">
        <v>4047</v>
      </c>
      <c r="D3528" s="943" t="s">
        <v>2</v>
      </c>
      <c r="E3528" s="945">
        <v>25</v>
      </c>
      <c r="F3528" s="945">
        <v>1</v>
      </c>
      <c r="G3528" s="946">
        <v>700</v>
      </c>
      <c r="H3528" s="946">
        <v>744.5</v>
      </c>
    </row>
    <row r="3529" spans="1:9" s="26" customFormat="1">
      <c r="A3529" s="947">
        <v>6</v>
      </c>
      <c r="B3529" s="948">
        <v>777.673</v>
      </c>
      <c r="C3529" s="948" t="s">
        <v>4006</v>
      </c>
      <c r="D3529" s="947" t="s">
        <v>2</v>
      </c>
      <c r="E3529" s="950">
        <v>4</v>
      </c>
      <c r="F3529" s="950">
        <v>1</v>
      </c>
      <c r="G3529" s="951">
        <v>775</v>
      </c>
      <c r="H3529" s="951">
        <v>775</v>
      </c>
      <c r="I3529" s="18"/>
    </row>
    <row r="3530" spans="1:9">
      <c r="A3530" s="943">
        <v>6</v>
      </c>
      <c r="B3530" s="944">
        <v>781.57799999999997</v>
      </c>
      <c r="C3530" s="944" t="s">
        <v>4050</v>
      </c>
      <c r="D3530" s="943" t="s">
        <v>2</v>
      </c>
      <c r="E3530" s="945">
        <v>30</v>
      </c>
      <c r="F3530" s="945">
        <v>1</v>
      </c>
      <c r="G3530" s="946">
        <v>750</v>
      </c>
      <c r="H3530" s="946">
        <v>795.6</v>
      </c>
    </row>
    <row r="3531" spans="1:9" s="26" customFormat="1">
      <c r="A3531" s="947">
        <v>6</v>
      </c>
      <c r="B3531" s="948">
        <v>782.53499999999997</v>
      </c>
      <c r="C3531" s="948" t="s">
        <v>4052</v>
      </c>
      <c r="D3531" s="947" t="s">
        <v>2</v>
      </c>
      <c r="E3531" s="950">
        <v>112</v>
      </c>
      <c r="F3531" s="950">
        <v>1</v>
      </c>
      <c r="G3531" s="951">
        <v>759.5</v>
      </c>
      <c r="H3531" s="951">
        <v>751.24</v>
      </c>
      <c r="I3531" s="18"/>
    </row>
    <row r="3532" spans="1:9">
      <c r="A3532" s="943">
        <v>6</v>
      </c>
      <c r="B3532" s="944">
        <v>782.53599999999994</v>
      </c>
      <c r="C3532" s="944" t="s">
        <v>4053</v>
      </c>
      <c r="D3532" s="943" t="s">
        <v>2</v>
      </c>
      <c r="E3532" s="945">
        <v>36</v>
      </c>
      <c r="F3532" s="945">
        <v>1</v>
      </c>
      <c r="G3532" s="946">
        <v>900</v>
      </c>
      <c r="H3532" s="946">
        <v>883.75</v>
      </c>
    </row>
    <row r="3533" spans="1:9" s="26" customFormat="1">
      <c r="A3533" s="947">
        <v>6</v>
      </c>
      <c r="B3533" s="948">
        <v>783.03899999999999</v>
      </c>
      <c r="C3533" s="948" t="s">
        <v>4055</v>
      </c>
      <c r="D3533" s="947" t="s">
        <v>2</v>
      </c>
      <c r="E3533" s="950">
        <v>12</v>
      </c>
      <c r="F3533" s="950">
        <v>1</v>
      </c>
      <c r="G3533" s="951">
        <v>875</v>
      </c>
      <c r="H3533" s="951">
        <v>875</v>
      </c>
      <c r="I3533" s="18"/>
    </row>
    <row r="3534" spans="1:9">
      <c r="A3534" s="943">
        <v>6</v>
      </c>
      <c r="B3534" s="944">
        <v>783.46500000000003</v>
      </c>
      <c r="C3534" s="944" t="s">
        <v>1491</v>
      </c>
      <c r="D3534" s="943" t="s">
        <v>2</v>
      </c>
      <c r="E3534" s="945">
        <v>6</v>
      </c>
      <c r="F3534" s="945">
        <v>1</v>
      </c>
      <c r="G3534" s="946">
        <v>850</v>
      </c>
      <c r="H3534" s="946">
        <v>850</v>
      </c>
    </row>
    <row r="3535" spans="1:9" s="26" customFormat="1">
      <c r="A3535" s="947">
        <v>6</v>
      </c>
      <c r="B3535" s="948">
        <v>785.73400000000004</v>
      </c>
      <c r="C3535" s="948" t="s">
        <v>4025</v>
      </c>
      <c r="D3535" s="947" t="s">
        <v>2</v>
      </c>
      <c r="E3535" s="950">
        <v>3</v>
      </c>
      <c r="F3535" s="950">
        <v>1</v>
      </c>
      <c r="G3535" s="951">
        <v>230</v>
      </c>
      <c r="H3535" s="951">
        <v>230</v>
      </c>
      <c r="I3535" s="18"/>
    </row>
    <row r="3536" spans="1:9">
      <c r="A3536" s="943">
        <v>6</v>
      </c>
      <c r="B3536" s="944">
        <v>794.33100000000002</v>
      </c>
      <c r="C3536" s="944" t="s">
        <v>4061</v>
      </c>
      <c r="D3536" s="943" t="s">
        <v>2</v>
      </c>
      <c r="E3536" s="945">
        <v>796</v>
      </c>
      <c r="F3536" s="945">
        <v>1</v>
      </c>
      <c r="G3536" s="946">
        <v>105</v>
      </c>
      <c r="H3536" s="946">
        <v>102.5</v>
      </c>
    </row>
    <row r="3537" spans="1:9" s="26" customFormat="1">
      <c r="A3537" s="947">
        <v>6</v>
      </c>
      <c r="B3537" s="948">
        <v>794.73699999999997</v>
      </c>
      <c r="C3537" s="948" t="s">
        <v>4010</v>
      </c>
      <c r="D3537" s="947" t="s">
        <v>2</v>
      </c>
      <c r="E3537" s="950">
        <v>5</v>
      </c>
      <c r="F3537" s="950">
        <v>1</v>
      </c>
      <c r="G3537" s="951">
        <v>140</v>
      </c>
      <c r="H3537" s="951">
        <v>140</v>
      </c>
      <c r="I3537" s="18"/>
    </row>
    <row r="3538" spans="1:9">
      <c r="A3538" s="943">
        <v>6</v>
      </c>
      <c r="B3538" s="944">
        <v>794.803</v>
      </c>
      <c r="C3538" s="944" t="s">
        <v>4017</v>
      </c>
      <c r="D3538" s="943" t="s">
        <v>2</v>
      </c>
      <c r="E3538" s="945">
        <v>12</v>
      </c>
      <c r="F3538" s="945">
        <v>1</v>
      </c>
      <c r="G3538" s="946">
        <v>45</v>
      </c>
      <c r="H3538" s="946">
        <v>45</v>
      </c>
    </row>
    <row r="3539" spans="1:9" s="26" customFormat="1">
      <c r="A3539" s="947">
        <v>6</v>
      </c>
      <c r="B3539" s="948">
        <v>801.42</v>
      </c>
      <c r="C3539" s="948" t="s">
        <v>484</v>
      </c>
      <c r="D3539" s="947" t="s">
        <v>17</v>
      </c>
      <c r="E3539" s="950">
        <v>300</v>
      </c>
      <c r="F3539" s="950">
        <v>1</v>
      </c>
      <c r="G3539" s="951">
        <v>42</v>
      </c>
      <c r="H3539" s="951">
        <v>42</v>
      </c>
      <c r="I3539" s="18"/>
    </row>
    <row r="3540" spans="1:9">
      <c r="A3540" s="943">
        <v>6</v>
      </c>
      <c r="B3540" s="944">
        <v>804.1</v>
      </c>
      <c r="C3540" s="944" t="s">
        <v>486</v>
      </c>
      <c r="D3540" s="943" t="s">
        <v>17</v>
      </c>
      <c r="E3540" s="945">
        <v>200</v>
      </c>
      <c r="F3540" s="945">
        <v>1</v>
      </c>
      <c r="G3540" s="946">
        <v>75</v>
      </c>
      <c r="H3540" s="946">
        <v>67.5</v>
      </c>
    </row>
    <row r="3541" spans="1:9" s="26" customFormat="1">
      <c r="A3541" s="947">
        <v>6</v>
      </c>
      <c r="B3541" s="948">
        <v>804.15</v>
      </c>
      <c r="C3541" s="948" t="s">
        <v>1440</v>
      </c>
      <c r="D3541" s="947" t="s">
        <v>17</v>
      </c>
      <c r="E3541" s="949">
        <v>14400</v>
      </c>
      <c r="F3541" s="950">
        <v>1</v>
      </c>
      <c r="G3541" s="951">
        <v>111</v>
      </c>
      <c r="H3541" s="951">
        <v>111</v>
      </c>
      <c r="I3541" s="18"/>
    </row>
    <row r="3542" spans="1:9">
      <c r="A3542" s="943">
        <v>6</v>
      </c>
      <c r="B3542" s="944">
        <v>804.2</v>
      </c>
      <c r="C3542" s="944" t="s">
        <v>487</v>
      </c>
      <c r="D3542" s="943" t="s">
        <v>17</v>
      </c>
      <c r="E3542" s="952">
        <v>63023</v>
      </c>
      <c r="F3542" s="945">
        <v>6</v>
      </c>
      <c r="G3542" s="946">
        <v>62</v>
      </c>
      <c r="H3542" s="946">
        <v>67.040000000000006</v>
      </c>
    </row>
    <row r="3543" spans="1:9" s="26" customFormat="1">
      <c r="A3543" s="947">
        <v>6</v>
      </c>
      <c r="B3543" s="948">
        <v>804.3</v>
      </c>
      <c r="C3543" s="948" t="s">
        <v>488</v>
      </c>
      <c r="D3543" s="947" t="s">
        <v>17</v>
      </c>
      <c r="E3543" s="949">
        <v>50465</v>
      </c>
      <c r="F3543" s="950">
        <v>5</v>
      </c>
      <c r="G3543" s="951">
        <v>90</v>
      </c>
      <c r="H3543" s="951">
        <v>80.56</v>
      </c>
      <c r="I3543" s="18"/>
    </row>
    <row r="3544" spans="1:9">
      <c r="A3544" s="943">
        <v>6</v>
      </c>
      <c r="B3544" s="944">
        <v>804.4</v>
      </c>
      <c r="C3544" s="944" t="s">
        <v>489</v>
      </c>
      <c r="D3544" s="943" t="s">
        <v>17</v>
      </c>
      <c r="E3544" s="952">
        <v>40130</v>
      </c>
      <c r="F3544" s="945">
        <v>3</v>
      </c>
      <c r="G3544" s="946">
        <v>86</v>
      </c>
      <c r="H3544" s="946">
        <v>93.42</v>
      </c>
    </row>
    <row r="3545" spans="1:9" s="26" customFormat="1">
      <c r="A3545" s="947">
        <v>6</v>
      </c>
      <c r="B3545" s="948">
        <v>806.1</v>
      </c>
      <c r="C3545" s="948" t="s">
        <v>1441</v>
      </c>
      <c r="D3545" s="947" t="s">
        <v>17</v>
      </c>
      <c r="E3545" s="950">
        <v>330</v>
      </c>
      <c r="F3545" s="950">
        <v>1</v>
      </c>
      <c r="G3545" s="951">
        <v>47.74</v>
      </c>
      <c r="H3545" s="951">
        <v>47.74</v>
      </c>
      <c r="I3545" s="18"/>
    </row>
    <row r="3546" spans="1:9">
      <c r="A3546" s="943">
        <v>6</v>
      </c>
      <c r="B3546" s="944">
        <v>806.2</v>
      </c>
      <c r="C3546" s="944" t="s">
        <v>490</v>
      </c>
      <c r="D3546" s="943" t="s">
        <v>17</v>
      </c>
      <c r="E3546" s="952">
        <v>1756</v>
      </c>
      <c r="F3546" s="945">
        <v>1</v>
      </c>
      <c r="G3546" s="946">
        <v>62.5</v>
      </c>
      <c r="H3546" s="946">
        <v>62.5</v>
      </c>
    </row>
    <row r="3547" spans="1:9" s="26" customFormat="1">
      <c r="A3547" s="947">
        <v>6</v>
      </c>
      <c r="B3547" s="948">
        <v>806.3</v>
      </c>
      <c r="C3547" s="948" t="s">
        <v>491</v>
      </c>
      <c r="D3547" s="947" t="s">
        <v>17</v>
      </c>
      <c r="E3547" s="949">
        <v>4132</v>
      </c>
      <c r="F3547" s="950">
        <v>1</v>
      </c>
      <c r="G3547" s="951">
        <v>130</v>
      </c>
      <c r="H3547" s="951">
        <v>130</v>
      </c>
      <c r="I3547" s="18"/>
    </row>
    <row r="3548" spans="1:9">
      <c r="A3548" s="943">
        <v>6</v>
      </c>
      <c r="B3548" s="944">
        <v>806.4</v>
      </c>
      <c r="C3548" s="944" t="s">
        <v>492</v>
      </c>
      <c r="D3548" s="943" t="s">
        <v>17</v>
      </c>
      <c r="E3548" s="945">
        <v>880</v>
      </c>
      <c r="F3548" s="945">
        <v>1</v>
      </c>
      <c r="G3548" s="946">
        <v>155</v>
      </c>
      <c r="H3548" s="946">
        <v>155</v>
      </c>
    </row>
    <row r="3549" spans="1:9" s="26" customFormat="1">
      <c r="A3549" s="947">
        <v>6</v>
      </c>
      <c r="B3549" s="948">
        <v>809.07500000000005</v>
      </c>
      <c r="C3549" s="948" t="s">
        <v>3067</v>
      </c>
      <c r="D3549" s="947" t="s">
        <v>17</v>
      </c>
      <c r="E3549" s="949">
        <v>65814</v>
      </c>
      <c r="F3549" s="950">
        <v>1</v>
      </c>
      <c r="G3549" s="951">
        <v>29</v>
      </c>
      <c r="H3549" s="951">
        <v>29</v>
      </c>
      <c r="I3549" s="18"/>
    </row>
    <row r="3550" spans="1:9">
      <c r="A3550" s="943">
        <v>6</v>
      </c>
      <c r="B3550" s="944">
        <v>809.90700000000004</v>
      </c>
      <c r="C3550" s="944" t="s">
        <v>3074</v>
      </c>
      <c r="D3550" s="943" t="s">
        <v>17</v>
      </c>
      <c r="E3550" s="945">
        <v>450</v>
      </c>
      <c r="F3550" s="945">
        <v>1</v>
      </c>
      <c r="G3550" s="946">
        <v>28</v>
      </c>
      <c r="H3550" s="946">
        <v>29.33</v>
      </c>
    </row>
    <row r="3551" spans="1:9" s="26" customFormat="1">
      <c r="A3551" s="947">
        <v>6</v>
      </c>
      <c r="B3551" s="948">
        <v>811.22</v>
      </c>
      <c r="C3551" s="948" t="s">
        <v>496</v>
      </c>
      <c r="D3551" s="947" t="s">
        <v>2</v>
      </c>
      <c r="E3551" s="950">
        <v>316</v>
      </c>
      <c r="F3551" s="950">
        <v>3</v>
      </c>
      <c r="G3551" s="951">
        <v>1650</v>
      </c>
      <c r="H3551" s="951">
        <v>1381.67</v>
      </c>
      <c r="I3551" s="18"/>
    </row>
    <row r="3552" spans="1:9">
      <c r="A3552" s="943">
        <v>6</v>
      </c>
      <c r="B3552" s="944">
        <v>811.23</v>
      </c>
      <c r="C3552" s="944" t="s">
        <v>497</v>
      </c>
      <c r="D3552" s="943" t="s">
        <v>2</v>
      </c>
      <c r="E3552" s="945">
        <v>30</v>
      </c>
      <c r="F3552" s="945">
        <v>1</v>
      </c>
      <c r="G3552" s="946">
        <v>2574</v>
      </c>
      <c r="H3552" s="946">
        <v>2671.33</v>
      </c>
    </row>
    <row r="3553" spans="1:9" s="26" customFormat="1">
      <c r="A3553" s="947">
        <v>6</v>
      </c>
      <c r="B3553" s="948">
        <v>811.3</v>
      </c>
      <c r="C3553" s="948" t="s">
        <v>500</v>
      </c>
      <c r="D3553" s="947" t="s">
        <v>2</v>
      </c>
      <c r="E3553" s="950">
        <v>9</v>
      </c>
      <c r="F3553" s="950">
        <v>1</v>
      </c>
      <c r="G3553" s="951">
        <v>1150</v>
      </c>
      <c r="H3553" s="951">
        <v>1150</v>
      </c>
      <c r="I3553" s="18"/>
    </row>
    <row r="3554" spans="1:9">
      <c r="A3554" s="943">
        <v>6</v>
      </c>
      <c r="B3554" s="944">
        <v>811.31</v>
      </c>
      <c r="C3554" s="944" t="s">
        <v>501</v>
      </c>
      <c r="D3554" s="943" t="s">
        <v>2</v>
      </c>
      <c r="E3554" s="945">
        <v>329</v>
      </c>
      <c r="F3554" s="945">
        <v>4</v>
      </c>
      <c r="G3554" s="946">
        <v>1300</v>
      </c>
      <c r="H3554" s="946">
        <v>1283.6400000000001</v>
      </c>
    </row>
    <row r="3555" spans="1:9" s="26" customFormat="1">
      <c r="A3555" s="947">
        <v>6</v>
      </c>
      <c r="B3555" s="948">
        <v>811.35</v>
      </c>
      <c r="C3555" s="948" t="s">
        <v>502</v>
      </c>
      <c r="D3555" s="947" t="s">
        <v>2</v>
      </c>
      <c r="E3555" s="950">
        <v>26</v>
      </c>
      <c r="F3555" s="950">
        <v>3</v>
      </c>
      <c r="G3555" s="951">
        <v>385</v>
      </c>
      <c r="H3555" s="951">
        <v>392.5</v>
      </c>
      <c r="I3555" s="18"/>
    </row>
    <row r="3556" spans="1:9">
      <c r="A3556" s="943">
        <v>6</v>
      </c>
      <c r="B3556" s="944">
        <v>811.36</v>
      </c>
      <c r="C3556" s="944" t="s">
        <v>503</v>
      </c>
      <c r="D3556" s="943" t="s">
        <v>2</v>
      </c>
      <c r="E3556" s="945">
        <v>9</v>
      </c>
      <c r="F3556" s="945">
        <v>2</v>
      </c>
      <c r="G3556" s="946">
        <v>719</v>
      </c>
      <c r="H3556" s="946">
        <v>584.5</v>
      </c>
    </row>
    <row r="3557" spans="1:9" s="26" customFormat="1">
      <c r="A3557" s="947">
        <v>6</v>
      </c>
      <c r="B3557" s="948">
        <v>811.37</v>
      </c>
      <c r="C3557" s="948" t="s">
        <v>504</v>
      </c>
      <c r="D3557" s="947" t="s">
        <v>2</v>
      </c>
      <c r="E3557" s="950">
        <v>650</v>
      </c>
      <c r="F3557" s="950">
        <v>5</v>
      </c>
      <c r="G3557" s="951">
        <v>500</v>
      </c>
      <c r="H3557" s="951">
        <v>492.69</v>
      </c>
      <c r="I3557" s="18"/>
    </row>
    <row r="3558" spans="1:9">
      <c r="A3558" s="943">
        <v>6</v>
      </c>
      <c r="B3558" s="944">
        <v>811.62</v>
      </c>
      <c r="C3558" s="944" t="s">
        <v>4028</v>
      </c>
      <c r="D3558" s="943" t="s">
        <v>2</v>
      </c>
      <c r="E3558" s="945">
        <v>74</v>
      </c>
      <c r="F3558" s="945">
        <v>1</v>
      </c>
      <c r="G3558" s="946">
        <v>1120</v>
      </c>
      <c r="H3558" s="946">
        <v>1120</v>
      </c>
    </row>
    <row r="3559" spans="1:9" s="26" customFormat="1">
      <c r="A3559" s="947">
        <v>6</v>
      </c>
      <c r="B3559" s="948">
        <v>812.1</v>
      </c>
      <c r="C3559" s="948" t="s">
        <v>507</v>
      </c>
      <c r="D3559" s="947" t="s">
        <v>2</v>
      </c>
      <c r="E3559" s="950">
        <v>15</v>
      </c>
      <c r="F3559" s="950">
        <v>1</v>
      </c>
      <c r="G3559" s="951">
        <v>2778</v>
      </c>
      <c r="H3559" s="951">
        <v>2998.6</v>
      </c>
      <c r="I3559" s="18"/>
    </row>
    <row r="3560" spans="1:9">
      <c r="A3560" s="943">
        <v>6</v>
      </c>
      <c r="B3560" s="944">
        <v>812.14</v>
      </c>
      <c r="C3560" s="944" t="s">
        <v>1443</v>
      </c>
      <c r="D3560" s="943" t="s">
        <v>2</v>
      </c>
      <c r="E3560" s="945">
        <v>97</v>
      </c>
      <c r="F3560" s="945">
        <v>2</v>
      </c>
      <c r="G3560" s="946">
        <v>4490</v>
      </c>
      <c r="H3560" s="946">
        <v>4521.1400000000003</v>
      </c>
    </row>
    <row r="3561" spans="1:9" s="26" customFormat="1">
      <c r="A3561" s="947">
        <v>6</v>
      </c>
      <c r="B3561" s="948">
        <v>812.2</v>
      </c>
      <c r="C3561" s="948" t="s">
        <v>509</v>
      </c>
      <c r="D3561" s="947" t="s">
        <v>2</v>
      </c>
      <c r="E3561" s="950">
        <v>16</v>
      </c>
      <c r="F3561" s="950">
        <v>1</v>
      </c>
      <c r="G3561" s="951">
        <v>5925</v>
      </c>
      <c r="H3561" s="951">
        <v>4837.5</v>
      </c>
      <c r="I3561" s="18"/>
    </row>
    <row r="3562" spans="1:9">
      <c r="A3562" s="943">
        <v>6</v>
      </c>
      <c r="B3562" s="944">
        <v>812.3</v>
      </c>
      <c r="C3562" s="944" t="s">
        <v>3113</v>
      </c>
      <c r="D3562" s="943" t="s">
        <v>2</v>
      </c>
      <c r="E3562" s="945">
        <v>60</v>
      </c>
      <c r="F3562" s="945">
        <v>1</v>
      </c>
      <c r="G3562" s="946">
        <v>640</v>
      </c>
      <c r="H3562" s="946">
        <v>632.5</v>
      </c>
    </row>
    <row r="3563" spans="1:9" s="26" customFormat="1">
      <c r="A3563" s="947">
        <v>6</v>
      </c>
      <c r="B3563" s="948">
        <v>813.3</v>
      </c>
      <c r="C3563" s="948" t="s">
        <v>511</v>
      </c>
      <c r="D3563" s="947" t="s">
        <v>17</v>
      </c>
      <c r="E3563" s="950">
        <v>54</v>
      </c>
      <c r="F3563" s="950">
        <v>1</v>
      </c>
      <c r="G3563" s="951">
        <v>38</v>
      </c>
      <c r="H3563" s="951">
        <v>35.33</v>
      </c>
      <c r="I3563" s="18"/>
    </row>
    <row r="3564" spans="1:9">
      <c r="A3564" s="943">
        <v>6</v>
      </c>
      <c r="B3564" s="944">
        <v>813.4</v>
      </c>
      <c r="C3564" s="944" t="s">
        <v>64</v>
      </c>
      <c r="D3564" s="943" t="s">
        <v>17</v>
      </c>
      <c r="E3564" s="952">
        <v>330386</v>
      </c>
      <c r="F3564" s="945">
        <v>3</v>
      </c>
      <c r="G3564" s="946">
        <v>2.5</v>
      </c>
      <c r="H3564" s="946">
        <v>2.31</v>
      </c>
    </row>
    <row r="3565" spans="1:9" s="26" customFormat="1">
      <c r="A3565" s="947">
        <v>6</v>
      </c>
      <c r="B3565" s="948">
        <v>813.42</v>
      </c>
      <c r="C3565" s="948" t="s">
        <v>519</v>
      </c>
      <c r="D3565" s="947" t="s">
        <v>17</v>
      </c>
      <c r="E3565" s="949">
        <v>175700</v>
      </c>
      <c r="F3565" s="950">
        <v>3</v>
      </c>
      <c r="G3565" s="951">
        <v>4.8</v>
      </c>
      <c r="H3565" s="951">
        <v>4.24</v>
      </c>
      <c r="I3565" s="18"/>
    </row>
    <row r="3566" spans="1:9">
      <c r="A3566" s="943">
        <v>6</v>
      </c>
      <c r="B3566" s="944">
        <v>813.43</v>
      </c>
      <c r="C3566" s="944" t="s">
        <v>65</v>
      </c>
      <c r="D3566" s="943" t="s">
        <v>17</v>
      </c>
      <c r="E3566" s="952">
        <v>1445100</v>
      </c>
      <c r="F3566" s="945">
        <v>2</v>
      </c>
      <c r="G3566" s="946">
        <v>4.78</v>
      </c>
      <c r="H3566" s="946">
        <v>4.1100000000000003</v>
      </c>
    </row>
    <row r="3567" spans="1:9" s="26" customFormat="1">
      <c r="A3567" s="947">
        <v>6</v>
      </c>
      <c r="B3567" s="948">
        <v>813.44</v>
      </c>
      <c r="C3567" s="948" t="s">
        <v>520</v>
      </c>
      <c r="D3567" s="947" t="s">
        <v>17</v>
      </c>
      <c r="E3567" s="949">
        <v>946850</v>
      </c>
      <c r="F3567" s="950">
        <v>1</v>
      </c>
      <c r="G3567" s="951">
        <v>4.2</v>
      </c>
      <c r="H3567" s="951">
        <v>4.2</v>
      </c>
      <c r="I3567" s="18"/>
    </row>
    <row r="3568" spans="1:9">
      <c r="A3568" s="943">
        <v>6</v>
      </c>
      <c r="B3568" s="944">
        <v>813.46</v>
      </c>
      <c r="C3568" s="944" t="s">
        <v>1444</v>
      </c>
      <c r="D3568" s="943" t="s">
        <v>17</v>
      </c>
      <c r="E3568" s="952">
        <v>1000</v>
      </c>
      <c r="F3568" s="945">
        <v>1</v>
      </c>
      <c r="G3568" s="946">
        <v>14.5</v>
      </c>
      <c r="H3568" s="946">
        <v>14.5</v>
      </c>
    </row>
    <row r="3569" spans="1:9" s="26" customFormat="1">
      <c r="A3569" s="947">
        <v>6</v>
      </c>
      <c r="B3569" s="948">
        <v>813.52</v>
      </c>
      <c r="C3569" s="948" t="s">
        <v>521</v>
      </c>
      <c r="D3569" s="947" t="s">
        <v>17</v>
      </c>
      <c r="E3569" s="949">
        <v>8040</v>
      </c>
      <c r="F3569" s="950">
        <v>1</v>
      </c>
      <c r="G3569" s="951">
        <v>4.75</v>
      </c>
      <c r="H3569" s="951">
        <v>4.63</v>
      </c>
      <c r="I3569" s="18"/>
    </row>
    <row r="3570" spans="1:9">
      <c r="A3570" s="943">
        <v>6</v>
      </c>
      <c r="B3570" s="944">
        <v>813.53</v>
      </c>
      <c r="C3570" s="944" t="s">
        <v>3132</v>
      </c>
      <c r="D3570" s="943" t="s">
        <v>17</v>
      </c>
      <c r="E3570" s="952">
        <v>5440</v>
      </c>
      <c r="F3570" s="945">
        <v>1</v>
      </c>
      <c r="G3570" s="946">
        <v>4</v>
      </c>
      <c r="H3570" s="946">
        <v>3.63</v>
      </c>
    </row>
    <row r="3571" spans="1:9" s="26" customFormat="1">
      <c r="A3571" s="947">
        <v>6</v>
      </c>
      <c r="B3571" s="948">
        <v>813.71</v>
      </c>
      <c r="C3571" s="948" t="s">
        <v>3136</v>
      </c>
      <c r="D3571" s="947" t="s">
        <v>2</v>
      </c>
      <c r="E3571" s="950">
        <v>600</v>
      </c>
      <c r="F3571" s="950">
        <v>1</v>
      </c>
      <c r="G3571" s="951">
        <v>206</v>
      </c>
      <c r="H3571" s="951">
        <v>220.33</v>
      </c>
      <c r="I3571" s="18"/>
    </row>
    <row r="3572" spans="1:9">
      <c r="A3572" s="943">
        <v>6</v>
      </c>
      <c r="B3572" s="944">
        <v>813.81</v>
      </c>
      <c r="C3572" s="944" t="s">
        <v>525</v>
      </c>
      <c r="D3572" s="943" t="s">
        <v>22</v>
      </c>
      <c r="E3572" s="945">
        <v>2</v>
      </c>
      <c r="F3572" s="945">
        <v>1</v>
      </c>
      <c r="G3572" s="946">
        <v>14417.5</v>
      </c>
      <c r="H3572" s="946">
        <v>14417.5</v>
      </c>
    </row>
    <row r="3573" spans="1:9" s="26" customFormat="1">
      <c r="A3573" s="947">
        <v>6</v>
      </c>
      <c r="B3573" s="948">
        <v>815.1</v>
      </c>
      <c r="C3573" s="948" t="s">
        <v>526</v>
      </c>
      <c r="D3573" s="947" t="s">
        <v>22</v>
      </c>
      <c r="E3573" s="950">
        <v>6</v>
      </c>
      <c r="F3573" s="950">
        <v>1</v>
      </c>
      <c r="G3573" s="951">
        <v>378500</v>
      </c>
      <c r="H3573" s="951">
        <v>397680</v>
      </c>
      <c r="I3573" s="18"/>
    </row>
    <row r="3574" spans="1:9">
      <c r="A3574" s="943">
        <v>6</v>
      </c>
      <c r="B3574" s="944">
        <v>816.01</v>
      </c>
      <c r="C3574" s="944" t="s">
        <v>531</v>
      </c>
      <c r="D3574" s="943" t="s">
        <v>22</v>
      </c>
      <c r="E3574" s="945">
        <v>9</v>
      </c>
      <c r="F3574" s="945">
        <v>2</v>
      </c>
      <c r="G3574" s="946">
        <v>387500</v>
      </c>
      <c r="H3574" s="946">
        <v>380025.33</v>
      </c>
    </row>
    <row r="3575" spans="1:9" s="26" customFormat="1">
      <c r="A3575" s="947">
        <v>6</v>
      </c>
      <c r="B3575" s="948">
        <v>816.02</v>
      </c>
      <c r="C3575" s="948" t="s">
        <v>532</v>
      </c>
      <c r="D3575" s="947" t="s">
        <v>22</v>
      </c>
      <c r="E3575" s="950">
        <v>15</v>
      </c>
      <c r="F3575" s="950">
        <v>3</v>
      </c>
      <c r="G3575" s="951">
        <v>344700</v>
      </c>
      <c r="H3575" s="951">
        <v>326336.27</v>
      </c>
      <c r="I3575" s="18"/>
    </row>
    <row r="3576" spans="1:9">
      <c r="A3576" s="943">
        <v>6</v>
      </c>
      <c r="B3576" s="944">
        <v>816.03</v>
      </c>
      <c r="C3576" s="944" t="s">
        <v>533</v>
      </c>
      <c r="D3576" s="943" t="s">
        <v>22</v>
      </c>
      <c r="E3576" s="945">
        <v>10</v>
      </c>
      <c r="F3576" s="945">
        <v>2</v>
      </c>
      <c r="G3576" s="946">
        <v>366140</v>
      </c>
      <c r="H3576" s="946">
        <v>380204</v>
      </c>
    </row>
    <row r="3577" spans="1:9" s="26" customFormat="1">
      <c r="A3577" s="947">
        <v>6</v>
      </c>
      <c r="B3577" s="948">
        <v>816.8</v>
      </c>
      <c r="C3577" s="948" t="s">
        <v>534</v>
      </c>
      <c r="D3577" s="947" t="s">
        <v>22</v>
      </c>
      <c r="E3577" s="950">
        <v>2</v>
      </c>
      <c r="F3577" s="950">
        <v>1</v>
      </c>
      <c r="G3577" s="951">
        <v>15000</v>
      </c>
      <c r="H3577" s="951">
        <v>15000</v>
      </c>
      <c r="I3577" s="18"/>
    </row>
    <row r="3578" spans="1:9">
      <c r="A3578" s="943">
        <v>6</v>
      </c>
      <c r="B3578" s="944">
        <v>817.1</v>
      </c>
      <c r="C3578" s="944" t="s">
        <v>537</v>
      </c>
      <c r="D3578" s="943" t="s">
        <v>2</v>
      </c>
      <c r="E3578" s="945">
        <v>80</v>
      </c>
      <c r="F3578" s="945">
        <v>1</v>
      </c>
      <c r="G3578" s="946">
        <v>550</v>
      </c>
      <c r="H3578" s="946">
        <v>600</v>
      </c>
    </row>
    <row r="3579" spans="1:9" s="26" customFormat="1">
      <c r="A3579" s="947">
        <v>6</v>
      </c>
      <c r="B3579" s="948">
        <v>817.11</v>
      </c>
      <c r="C3579" s="948" t="s">
        <v>538</v>
      </c>
      <c r="D3579" s="947" t="s">
        <v>2</v>
      </c>
      <c r="E3579" s="950">
        <v>140</v>
      </c>
      <c r="F3579" s="950">
        <v>1</v>
      </c>
      <c r="G3579" s="951">
        <v>600</v>
      </c>
      <c r="H3579" s="951">
        <v>650</v>
      </c>
      <c r="I3579" s="18"/>
    </row>
    <row r="3580" spans="1:9">
      <c r="A3580" s="943">
        <v>6</v>
      </c>
      <c r="B3580" s="944">
        <v>817.2</v>
      </c>
      <c r="C3580" s="944" t="s">
        <v>3139</v>
      </c>
      <c r="D3580" s="943" t="s">
        <v>2</v>
      </c>
      <c r="E3580" s="945">
        <v>34</v>
      </c>
      <c r="F3580" s="945">
        <v>2</v>
      </c>
      <c r="G3580" s="946">
        <v>1775</v>
      </c>
      <c r="H3580" s="946">
        <v>3487.6</v>
      </c>
    </row>
    <row r="3581" spans="1:9" s="26" customFormat="1">
      <c r="A3581" s="947">
        <v>6</v>
      </c>
      <c r="B3581" s="948">
        <v>817.21</v>
      </c>
      <c r="C3581" s="948" t="s">
        <v>3140</v>
      </c>
      <c r="D3581" s="947" t="s">
        <v>2</v>
      </c>
      <c r="E3581" s="950">
        <v>24</v>
      </c>
      <c r="F3581" s="950">
        <v>1</v>
      </c>
      <c r="G3581" s="951">
        <v>490</v>
      </c>
      <c r="H3581" s="951">
        <v>560</v>
      </c>
      <c r="I3581" s="18"/>
    </row>
    <row r="3582" spans="1:9">
      <c r="A3582" s="943">
        <v>6</v>
      </c>
      <c r="B3582" s="944">
        <v>817.4</v>
      </c>
      <c r="C3582" s="944" t="s">
        <v>3141</v>
      </c>
      <c r="D3582" s="943" t="s">
        <v>2</v>
      </c>
      <c r="E3582" s="945">
        <v>48</v>
      </c>
      <c r="F3582" s="945">
        <v>1</v>
      </c>
      <c r="G3582" s="946">
        <v>350</v>
      </c>
      <c r="H3582" s="946">
        <v>350</v>
      </c>
    </row>
    <row r="3583" spans="1:9" s="26" customFormat="1">
      <c r="A3583" s="947">
        <v>6</v>
      </c>
      <c r="B3583" s="948">
        <v>817.41</v>
      </c>
      <c r="C3583" s="948" t="s">
        <v>3142</v>
      </c>
      <c r="D3583" s="947" t="s">
        <v>2</v>
      </c>
      <c r="E3583" s="950">
        <v>40</v>
      </c>
      <c r="F3583" s="950">
        <v>1</v>
      </c>
      <c r="G3583" s="951">
        <v>350</v>
      </c>
      <c r="H3583" s="951">
        <v>337.5</v>
      </c>
      <c r="I3583" s="18"/>
    </row>
    <row r="3584" spans="1:9">
      <c r="A3584" s="943">
        <v>6</v>
      </c>
      <c r="B3584" s="944">
        <v>818.42</v>
      </c>
      <c r="C3584" s="944" t="s">
        <v>3172</v>
      </c>
      <c r="D3584" s="943" t="s">
        <v>2</v>
      </c>
      <c r="E3584" s="945">
        <v>214</v>
      </c>
      <c r="F3584" s="945">
        <v>2</v>
      </c>
      <c r="G3584" s="946">
        <v>1015</v>
      </c>
      <c r="H3584" s="946">
        <v>1158.57</v>
      </c>
    </row>
    <row r="3585" spans="1:9" s="26" customFormat="1">
      <c r="A3585" s="947">
        <v>6</v>
      </c>
      <c r="B3585" s="948">
        <v>819.83</v>
      </c>
      <c r="C3585" s="948" t="s">
        <v>3213</v>
      </c>
      <c r="D3585" s="947" t="s">
        <v>2</v>
      </c>
      <c r="E3585" s="950">
        <v>60</v>
      </c>
      <c r="F3585" s="950">
        <v>1</v>
      </c>
      <c r="G3585" s="951">
        <v>37.5</v>
      </c>
      <c r="H3585" s="951">
        <v>37.5</v>
      </c>
      <c r="I3585" s="18"/>
    </row>
    <row r="3586" spans="1:9">
      <c r="A3586" s="943">
        <v>6</v>
      </c>
      <c r="B3586" s="944">
        <v>819.83100000000002</v>
      </c>
      <c r="C3586" s="944" t="s">
        <v>540</v>
      </c>
      <c r="D3586" s="943" t="s">
        <v>17</v>
      </c>
      <c r="E3586" s="952">
        <v>8260</v>
      </c>
      <c r="F3586" s="945">
        <v>3</v>
      </c>
      <c r="G3586" s="946">
        <v>12.5</v>
      </c>
      <c r="H3586" s="946">
        <v>11.67</v>
      </c>
    </row>
    <row r="3587" spans="1:9" s="26" customFormat="1">
      <c r="A3587" s="947">
        <v>6</v>
      </c>
      <c r="B3587" s="948">
        <v>819.85</v>
      </c>
      <c r="C3587" s="948" t="s">
        <v>3215</v>
      </c>
      <c r="D3587" s="947" t="s">
        <v>2</v>
      </c>
      <c r="E3587" s="950">
        <v>166</v>
      </c>
      <c r="F3587" s="950">
        <v>2</v>
      </c>
      <c r="G3587" s="951">
        <v>900</v>
      </c>
      <c r="H3587" s="951">
        <v>924.29</v>
      </c>
      <c r="I3587" s="18"/>
    </row>
    <row r="3588" spans="1:9">
      <c r="A3588" s="943">
        <v>6</v>
      </c>
      <c r="B3588" s="944">
        <v>821.11</v>
      </c>
      <c r="C3588" s="944" t="s">
        <v>3221</v>
      </c>
      <c r="D3588" s="943" t="s">
        <v>2</v>
      </c>
      <c r="E3588" s="945">
        <v>20</v>
      </c>
      <c r="F3588" s="945">
        <v>1</v>
      </c>
      <c r="G3588" s="946">
        <v>11300</v>
      </c>
      <c r="H3588" s="946">
        <v>11300</v>
      </c>
    </row>
    <row r="3589" spans="1:9" s="26" customFormat="1">
      <c r="A3589" s="947">
        <v>6</v>
      </c>
      <c r="B3589" s="948">
        <v>821.13</v>
      </c>
      <c r="C3589" s="948" t="s">
        <v>3223</v>
      </c>
      <c r="D3589" s="947" t="s">
        <v>2</v>
      </c>
      <c r="E3589" s="950">
        <v>10</v>
      </c>
      <c r="F3589" s="950">
        <v>1</v>
      </c>
      <c r="G3589" s="951">
        <v>12900</v>
      </c>
      <c r="H3589" s="951">
        <v>12900</v>
      </c>
      <c r="I3589" s="18"/>
    </row>
    <row r="3590" spans="1:9">
      <c r="A3590" s="943">
        <v>6</v>
      </c>
      <c r="B3590" s="944">
        <v>822.85</v>
      </c>
      <c r="C3590" s="944" t="s">
        <v>3245</v>
      </c>
      <c r="D3590" s="943" t="s">
        <v>2</v>
      </c>
      <c r="E3590" s="945">
        <v>9</v>
      </c>
      <c r="F3590" s="945">
        <v>1</v>
      </c>
      <c r="G3590" s="946">
        <v>17211</v>
      </c>
      <c r="H3590" s="946">
        <v>14474</v>
      </c>
    </row>
    <row r="3591" spans="1:9" s="26" customFormat="1">
      <c r="A3591" s="947">
        <v>6</v>
      </c>
      <c r="B3591" s="948">
        <v>822.87</v>
      </c>
      <c r="C3591" s="948" t="s">
        <v>3247</v>
      </c>
      <c r="D3591" s="947" t="s">
        <v>2</v>
      </c>
      <c r="E3591" s="950">
        <v>4</v>
      </c>
      <c r="F3591" s="950">
        <v>1</v>
      </c>
      <c r="G3591" s="951">
        <v>73555.5</v>
      </c>
      <c r="H3591" s="951">
        <v>69832</v>
      </c>
      <c r="I3591" s="18"/>
    </row>
    <row r="3592" spans="1:9">
      <c r="A3592" s="943">
        <v>6</v>
      </c>
      <c r="B3592" s="944">
        <v>822.88</v>
      </c>
      <c r="C3592" s="944" t="s">
        <v>543</v>
      </c>
      <c r="D3592" s="943" t="s">
        <v>2</v>
      </c>
      <c r="E3592" s="945">
        <v>12</v>
      </c>
      <c r="F3592" s="945">
        <v>1</v>
      </c>
      <c r="G3592" s="946">
        <v>57487.5</v>
      </c>
      <c r="H3592" s="946">
        <v>57487.5</v>
      </c>
    </row>
    <row r="3593" spans="1:9" s="26" customFormat="1">
      <c r="A3593" s="947">
        <v>6</v>
      </c>
      <c r="B3593" s="948">
        <v>822.9</v>
      </c>
      <c r="C3593" s="948" t="s">
        <v>3249</v>
      </c>
      <c r="D3593" s="947" t="s">
        <v>2</v>
      </c>
      <c r="E3593" s="950">
        <v>12</v>
      </c>
      <c r="F3593" s="950">
        <v>1</v>
      </c>
      <c r="G3593" s="951">
        <v>102777.5</v>
      </c>
      <c r="H3593" s="951">
        <v>105423.75</v>
      </c>
      <c r="I3593" s="18"/>
    </row>
    <row r="3594" spans="1:9">
      <c r="A3594" s="943">
        <v>6</v>
      </c>
      <c r="B3594" s="944">
        <v>823.6</v>
      </c>
      <c r="C3594" s="944" t="s">
        <v>544</v>
      </c>
      <c r="D3594" s="943" t="s">
        <v>22</v>
      </c>
      <c r="E3594" s="945">
        <v>1</v>
      </c>
      <c r="F3594" s="945">
        <v>1</v>
      </c>
      <c r="G3594" s="946">
        <v>35000</v>
      </c>
      <c r="H3594" s="946">
        <v>35000</v>
      </c>
    </row>
    <row r="3595" spans="1:9" s="26" customFormat="1">
      <c r="A3595" s="947">
        <v>6</v>
      </c>
      <c r="B3595" s="948">
        <v>823.61</v>
      </c>
      <c r="C3595" s="948" t="s">
        <v>545</v>
      </c>
      <c r="D3595" s="947" t="s">
        <v>22</v>
      </c>
      <c r="E3595" s="950">
        <v>4</v>
      </c>
      <c r="F3595" s="950">
        <v>1</v>
      </c>
      <c r="G3595" s="951">
        <v>56055.5</v>
      </c>
      <c r="H3595" s="951">
        <v>56106</v>
      </c>
      <c r="I3595" s="18"/>
    </row>
    <row r="3596" spans="1:9">
      <c r="A3596" s="943">
        <v>6</v>
      </c>
      <c r="B3596" s="944">
        <v>823.62</v>
      </c>
      <c r="C3596" s="944" t="s">
        <v>546</v>
      </c>
      <c r="D3596" s="943" t="s">
        <v>22</v>
      </c>
      <c r="E3596" s="945">
        <v>3</v>
      </c>
      <c r="F3596" s="945">
        <v>1</v>
      </c>
      <c r="G3596" s="946">
        <v>51555.5</v>
      </c>
      <c r="H3596" s="946">
        <v>43808</v>
      </c>
    </row>
    <row r="3597" spans="1:9" s="26" customFormat="1">
      <c r="A3597" s="947">
        <v>6</v>
      </c>
      <c r="B3597" s="948">
        <v>823.7</v>
      </c>
      <c r="C3597" s="948" t="s">
        <v>547</v>
      </c>
      <c r="D3597" s="947" t="s">
        <v>2</v>
      </c>
      <c r="E3597" s="950">
        <v>112</v>
      </c>
      <c r="F3597" s="950">
        <v>2</v>
      </c>
      <c r="G3597" s="951">
        <v>2700</v>
      </c>
      <c r="H3597" s="951">
        <v>4737.8599999999997</v>
      </c>
      <c r="I3597" s="18"/>
    </row>
    <row r="3598" spans="1:9">
      <c r="A3598" s="943">
        <v>6</v>
      </c>
      <c r="B3598" s="944">
        <v>823.71</v>
      </c>
      <c r="C3598" s="944" t="s">
        <v>548</v>
      </c>
      <c r="D3598" s="943" t="s">
        <v>2</v>
      </c>
      <c r="E3598" s="945">
        <v>159</v>
      </c>
      <c r="F3598" s="945">
        <v>3</v>
      </c>
      <c r="G3598" s="946">
        <v>610</v>
      </c>
      <c r="H3598" s="946">
        <v>816.22</v>
      </c>
    </row>
    <row r="3599" spans="1:9" s="26" customFormat="1">
      <c r="A3599" s="947">
        <v>6</v>
      </c>
      <c r="B3599" s="948">
        <v>824.5</v>
      </c>
      <c r="C3599" s="948" t="s">
        <v>3291</v>
      </c>
      <c r="D3599" s="947" t="s">
        <v>22</v>
      </c>
      <c r="E3599" s="950">
        <v>4</v>
      </c>
      <c r="F3599" s="950">
        <v>1</v>
      </c>
      <c r="G3599" s="951">
        <v>20250</v>
      </c>
      <c r="H3599" s="951">
        <v>21050</v>
      </c>
      <c r="I3599" s="18"/>
    </row>
    <row r="3600" spans="1:9">
      <c r="A3600" s="943">
        <v>6</v>
      </c>
      <c r="B3600" s="944">
        <v>824.51</v>
      </c>
      <c r="C3600" s="944" t="s">
        <v>550</v>
      </c>
      <c r="D3600" s="943" t="s">
        <v>22</v>
      </c>
      <c r="E3600" s="945">
        <v>4</v>
      </c>
      <c r="F3600" s="945">
        <v>1</v>
      </c>
      <c r="G3600" s="946">
        <v>4500</v>
      </c>
      <c r="H3600" s="946">
        <v>4000</v>
      </c>
    </row>
    <row r="3601" spans="1:9" s="26" customFormat="1">
      <c r="A3601" s="947">
        <v>6</v>
      </c>
      <c r="B3601" s="948">
        <v>826.51</v>
      </c>
      <c r="C3601" s="948" t="s">
        <v>3301</v>
      </c>
      <c r="D3601" s="947" t="s">
        <v>2</v>
      </c>
      <c r="E3601" s="950">
        <v>21</v>
      </c>
      <c r="F3601" s="950">
        <v>1</v>
      </c>
      <c r="G3601" s="951">
        <v>5000</v>
      </c>
      <c r="H3601" s="951">
        <v>4266.67</v>
      </c>
      <c r="I3601" s="18"/>
    </row>
    <row r="3602" spans="1:9">
      <c r="A3602" s="943">
        <v>6</v>
      </c>
      <c r="B3602" s="944">
        <v>828.1</v>
      </c>
      <c r="C3602" s="944" t="s">
        <v>553</v>
      </c>
      <c r="D3602" s="943" t="s">
        <v>3</v>
      </c>
      <c r="E3602" s="945">
        <v>60</v>
      </c>
      <c r="F3602" s="945">
        <v>1</v>
      </c>
      <c r="G3602" s="946">
        <v>87.5</v>
      </c>
      <c r="H3602" s="946">
        <v>87.5</v>
      </c>
    </row>
    <row r="3603" spans="1:9" s="26" customFormat="1">
      <c r="A3603" s="947">
        <v>6</v>
      </c>
      <c r="B3603" s="948">
        <v>831</v>
      </c>
      <c r="C3603" s="948" t="s">
        <v>555</v>
      </c>
      <c r="D3603" s="947" t="s">
        <v>3</v>
      </c>
      <c r="E3603" s="950">
        <v>120</v>
      </c>
      <c r="F3603" s="950">
        <v>1</v>
      </c>
      <c r="G3603" s="951">
        <v>43</v>
      </c>
      <c r="H3603" s="951">
        <v>43</v>
      </c>
      <c r="I3603" s="18"/>
    </row>
    <row r="3604" spans="1:9">
      <c r="A3604" s="943">
        <v>6</v>
      </c>
      <c r="B3604" s="944">
        <v>832</v>
      </c>
      <c r="C3604" s="944" t="s">
        <v>556</v>
      </c>
      <c r="D3604" s="943" t="s">
        <v>3</v>
      </c>
      <c r="E3604" s="952">
        <v>15185</v>
      </c>
      <c r="F3604" s="945">
        <v>10</v>
      </c>
      <c r="G3604" s="946">
        <v>15</v>
      </c>
      <c r="H3604" s="946">
        <v>15.76</v>
      </c>
    </row>
    <row r="3605" spans="1:9" s="26" customFormat="1">
      <c r="A3605" s="947">
        <v>6</v>
      </c>
      <c r="B3605" s="948">
        <v>833.5</v>
      </c>
      <c r="C3605" s="948" t="s">
        <v>557</v>
      </c>
      <c r="D3605" s="947" t="s">
        <v>2</v>
      </c>
      <c r="E3605" s="949">
        <v>3774</v>
      </c>
      <c r="F3605" s="950">
        <v>4</v>
      </c>
      <c r="G3605" s="951">
        <v>12.5</v>
      </c>
      <c r="H3605" s="951">
        <v>15.13</v>
      </c>
      <c r="I3605" s="18"/>
    </row>
    <row r="3606" spans="1:9">
      <c r="A3606" s="943">
        <v>6</v>
      </c>
      <c r="B3606" s="944">
        <v>833.7</v>
      </c>
      <c r="C3606" s="944" t="s">
        <v>558</v>
      </c>
      <c r="D3606" s="943" t="s">
        <v>2</v>
      </c>
      <c r="E3606" s="945">
        <v>410</v>
      </c>
      <c r="F3606" s="945">
        <v>2</v>
      </c>
      <c r="G3606" s="946">
        <v>100</v>
      </c>
      <c r="H3606" s="946">
        <v>99.8</v>
      </c>
    </row>
    <row r="3607" spans="1:9" s="26" customFormat="1">
      <c r="A3607" s="947">
        <v>6</v>
      </c>
      <c r="B3607" s="948">
        <v>847.1</v>
      </c>
      <c r="C3607" s="948" t="s">
        <v>578</v>
      </c>
      <c r="D3607" s="947" t="s">
        <v>2</v>
      </c>
      <c r="E3607" s="949">
        <v>3511</v>
      </c>
      <c r="F3607" s="950">
        <v>9</v>
      </c>
      <c r="G3607" s="951">
        <v>250</v>
      </c>
      <c r="H3607" s="951">
        <v>269.23</v>
      </c>
      <c r="I3607" s="18"/>
    </row>
    <row r="3608" spans="1:9">
      <c r="A3608" s="943">
        <v>6</v>
      </c>
      <c r="B3608" s="944">
        <v>848.1</v>
      </c>
      <c r="C3608" s="944" t="s">
        <v>579</v>
      </c>
      <c r="D3608" s="943" t="s">
        <v>2</v>
      </c>
      <c r="E3608" s="945">
        <v>148</v>
      </c>
      <c r="F3608" s="945">
        <v>5</v>
      </c>
      <c r="G3608" s="946">
        <v>500</v>
      </c>
      <c r="H3608" s="946">
        <v>545.29</v>
      </c>
    </row>
    <row r="3609" spans="1:9" s="26" customFormat="1">
      <c r="A3609" s="947">
        <v>6</v>
      </c>
      <c r="B3609" s="948">
        <v>850.41</v>
      </c>
      <c r="C3609" s="948" t="s">
        <v>580</v>
      </c>
      <c r="D3609" s="947" t="s">
        <v>24</v>
      </c>
      <c r="E3609" s="949">
        <v>3455</v>
      </c>
      <c r="F3609" s="950">
        <v>11</v>
      </c>
      <c r="G3609" s="951">
        <v>70</v>
      </c>
      <c r="H3609" s="951">
        <v>70.64</v>
      </c>
      <c r="I3609" s="18"/>
    </row>
    <row r="3610" spans="1:9">
      <c r="A3610" s="943">
        <v>6</v>
      </c>
      <c r="B3610" s="944">
        <v>851.1</v>
      </c>
      <c r="C3610" s="944" t="s">
        <v>581</v>
      </c>
      <c r="D3610" s="943" t="s">
        <v>42</v>
      </c>
      <c r="E3610" s="952">
        <v>6590</v>
      </c>
      <c r="F3610" s="945">
        <v>9</v>
      </c>
      <c r="G3610" s="946">
        <v>10</v>
      </c>
      <c r="H3610" s="946">
        <v>51.19</v>
      </c>
    </row>
    <row r="3611" spans="1:9" s="26" customFormat="1">
      <c r="A3611" s="947">
        <v>6</v>
      </c>
      <c r="B3611" s="948">
        <v>852</v>
      </c>
      <c r="C3611" s="948" t="s">
        <v>49</v>
      </c>
      <c r="D3611" s="947" t="s">
        <v>3</v>
      </c>
      <c r="E3611" s="949">
        <v>41745</v>
      </c>
      <c r="F3611" s="950">
        <v>20</v>
      </c>
      <c r="G3611" s="951">
        <v>18</v>
      </c>
      <c r="H3611" s="951">
        <v>21.16</v>
      </c>
      <c r="I3611" s="18"/>
    </row>
    <row r="3612" spans="1:9">
      <c r="A3612" s="943">
        <v>6</v>
      </c>
      <c r="B3612" s="944">
        <v>853.1</v>
      </c>
      <c r="C3612" s="944" t="s">
        <v>582</v>
      </c>
      <c r="D3612" s="943" t="s">
        <v>2</v>
      </c>
      <c r="E3612" s="945">
        <v>161</v>
      </c>
      <c r="F3612" s="945">
        <v>8</v>
      </c>
      <c r="G3612" s="946">
        <v>130</v>
      </c>
      <c r="H3612" s="946">
        <v>122.15</v>
      </c>
    </row>
    <row r="3613" spans="1:9" s="26" customFormat="1">
      <c r="A3613" s="947">
        <v>6</v>
      </c>
      <c r="B3613" s="948">
        <v>853.2</v>
      </c>
      <c r="C3613" s="948" t="s">
        <v>1453</v>
      </c>
      <c r="D3613" s="947" t="s">
        <v>17</v>
      </c>
      <c r="E3613" s="949">
        <v>2000</v>
      </c>
      <c r="F3613" s="950">
        <v>1</v>
      </c>
      <c r="G3613" s="951">
        <v>78.900000000000006</v>
      </c>
      <c r="H3613" s="951">
        <v>78.95</v>
      </c>
      <c r="I3613" s="18"/>
    </row>
    <row r="3614" spans="1:9">
      <c r="A3614" s="943">
        <v>6</v>
      </c>
      <c r="B3614" s="944">
        <v>853.21</v>
      </c>
      <c r="C3614" s="944" t="s">
        <v>583</v>
      </c>
      <c r="D3614" s="943" t="s">
        <v>17</v>
      </c>
      <c r="E3614" s="952">
        <v>117700</v>
      </c>
      <c r="F3614" s="945">
        <v>3</v>
      </c>
      <c r="G3614" s="946">
        <v>18</v>
      </c>
      <c r="H3614" s="946">
        <v>16.7</v>
      </c>
    </row>
    <row r="3615" spans="1:9" s="26" customFormat="1">
      <c r="A3615" s="947">
        <v>6</v>
      </c>
      <c r="B3615" s="948">
        <v>853.23</v>
      </c>
      <c r="C3615" s="948" t="s">
        <v>584</v>
      </c>
      <c r="D3615" s="947" t="s">
        <v>17</v>
      </c>
      <c r="E3615" s="949">
        <v>14800</v>
      </c>
      <c r="F3615" s="950">
        <v>1</v>
      </c>
      <c r="G3615" s="951">
        <v>135</v>
      </c>
      <c r="H3615" s="951">
        <v>135</v>
      </c>
      <c r="I3615" s="18"/>
    </row>
    <row r="3616" spans="1:9">
      <c r="A3616" s="943">
        <v>6</v>
      </c>
      <c r="B3616" s="944">
        <v>853.33</v>
      </c>
      <c r="C3616" s="944" t="s">
        <v>587</v>
      </c>
      <c r="D3616" s="943" t="s">
        <v>17</v>
      </c>
      <c r="E3616" s="952">
        <v>47900</v>
      </c>
      <c r="F3616" s="945">
        <v>3</v>
      </c>
      <c r="G3616" s="946">
        <v>125</v>
      </c>
      <c r="H3616" s="946">
        <v>124</v>
      </c>
    </row>
    <row r="3617" spans="1:9" s="26" customFormat="1">
      <c r="A3617" s="947">
        <v>6</v>
      </c>
      <c r="B3617" s="948">
        <v>853.40300000000002</v>
      </c>
      <c r="C3617" s="948" t="s">
        <v>588</v>
      </c>
      <c r="D3617" s="947" t="s">
        <v>42</v>
      </c>
      <c r="E3617" s="949">
        <v>19697</v>
      </c>
      <c r="F3617" s="950">
        <v>21</v>
      </c>
      <c r="G3617" s="951">
        <v>195</v>
      </c>
      <c r="H3617" s="951">
        <v>177.45</v>
      </c>
      <c r="I3617" s="18"/>
    </row>
    <row r="3618" spans="1:9">
      <c r="A3618" s="943">
        <v>6</v>
      </c>
      <c r="B3618" s="944">
        <v>853.8</v>
      </c>
      <c r="C3618" s="944" t="s">
        <v>589</v>
      </c>
      <c r="D3618" s="943" t="s">
        <v>42</v>
      </c>
      <c r="E3618" s="952">
        <v>6827</v>
      </c>
      <c r="F3618" s="945">
        <v>12</v>
      </c>
      <c r="G3618" s="946">
        <v>21</v>
      </c>
      <c r="H3618" s="946">
        <v>36.25</v>
      </c>
    </row>
    <row r="3619" spans="1:9" s="26" customFormat="1">
      <c r="A3619" s="947">
        <v>6</v>
      </c>
      <c r="B3619" s="948">
        <v>854.01599999999996</v>
      </c>
      <c r="C3619" s="948" t="s">
        <v>591</v>
      </c>
      <c r="D3619" s="947" t="s">
        <v>17</v>
      </c>
      <c r="E3619" s="949">
        <v>1338775</v>
      </c>
      <c r="F3619" s="950">
        <v>12</v>
      </c>
      <c r="G3619" s="951">
        <v>1</v>
      </c>
      <c r="H3619" s="951">
        <v>0.82</v>
      </c>
      <c r="I3619" s="18"/>
    </row>
    <row r="3620" spans="1:9">
      <c r="A3620" s="943">
        <v>6</v>
      </c>
      <c r="B3620" s="944">
        <v>854.03599999999994</v>
      </c>
      <c r="C3620" s="944" t="s">
        <v>592</v>
      </c>
      <c r="D3620" s="943" t="s">
        <v>17</v>
      </c>
      <c r="E3620" s="952">
        <v>217490</v>
      </c>
      <c r="F3620" s="945">
        <v>13</v>
      </c>
      <c r="G3620" s="946">
        <v>2</v>
      </c>
      <c r="H3620" s="946">
        <v>1.85</v>
      </c>
    </row>
    <row r="3621" spans="1:9" s="26" customFormat="1">
      <c r="A3621" s="947">
        <v>6</v>
      </c>
      <c r="B3621" s="948">
        <v>854.1</v>
      </c>
      <c r="C3621" s="948" t="s">
        <v>593</v>
      </c>
      <c r="D3621" s="947" t="s">
        <v>3</v>
      </c>
      <c r="E3621" s="949">
        <v>212420</v>
      </c>
      <c r="F3621" s="950">
        <v>9</v>
      </c>
      <c r="G3621" s="951">
        <v>3</v>
      </c>
      <c r="H3621" s="951">
        <v>2.97</v>
      </c>
      <c r="I3621" s="18"/>
    </row>
    <row r="3622" spans="1:9">
      <c r="A3622" s="943">
        <v>6</v>
      </c>
      <c r="B3622" s="944">
        <v>854.6</v>
      </c>
      <c r="C3622" s="944" t="s">
        <v>1454</v>
      </c>
      <c r="D3622" s="943" t="s">
        <v>42</v>
      </c>
      <c r="E3622" s="952">
        <v>4635</v>
      </c>
      <c r="F3622" s="945">
        <v>9</v>
      </c>
      <c r="G3622" s="946">
        <v>50</v>
      </c>
      <c r="H3622" s="946">
        <v>50</v>
      </c>
    </row>
    <row r="3623" spans="1:9" s="26" customFormat="1">
      <c r="A3623" s="947">
        <v>6</v>
      </c>
      <c r="B3623" s="948">
        <v>856</v>
      </c>
      <c r="C3623" s="948" t="s">
        <v>595</v>
      </c>
      <c r="D3623" s="947" t="s">
        <v>42</v>
      </c>
      <c r="E3623" s="949">
        <v>47285</v>
      </c>
      <c r="F3623" s="950">
        <v>23</v>
      </c>
      <c r="G3623" s="951">
        <v>10</v>
      </c>
      <c r="H3623" s="951">
        <v>10.57</v>
      </c>
      <c r="I3623" s="18"/>
    </row>
    <row r="3624" spans="1:9">
      <c r="A3624" s="943">
        <v>6</v>
      </c>
      <c r="B3624" s="944">
        <v>856.12</v>
      </c>
      <c r="C3624" s="944" t="s">
        <v>596</v>
      </c>
      <c r="D3624" s="943" t="s">
        <v>42</v>
      </c>
      <c r="E3624" s="952">
        <v>47289</v>
      </c>
      <c r="F3624" s="945">
        <v>21</v>
      </c>
      <c r="G3624" s="946">
        <v>25</v>
      </c>
      <c r="H3624" s="946">
        <v>24.9</v>
      </c>
    </row>
    <row r="3625" spans="1:9" s="26" customFormat="1">
      <c r="A3625" s="947">
        <v>6</v>
      </c>
      <c r="B3625" s="948">
        <v>859</v>
      </c>
      <c r="C3625" s="948" t="s">
        <v>28</v>
      </c>
      <c r="D3625" s="947" t="s">
        <v>42</v>
      </c>
      <c r="E3625" s="949">
        <v>1920100</v>
      </c>
      <c r="F3625" s="950">
        <v>24</v>
      </c>
      <c r="G3625" s="951">
        <v>0.3</v>
      </c>
      <c r="H3625" s="951">
        <v>0.31</v>
      </c>
      <c r="I3625" s="18"/>
    </row>
    <row r="3626" spans="1:9">
      <c r="A3626" s="943">
        <v>6</v>
      </c>
      <c r="B3626" s="944">
        <v>859.1</v>
      </c>
      <c r="C3626" s="944" t="s">
        <v>1455</v>
      </c>
      <c r="D3626" s="943" t="s">
        <v>42</v>
      </c>
      <c r="E3626" s="952">
        <v>169245</v>
      </c>
      <c r="F3626" s="945">
        <v>18</v>
      </c>
      <c r="G3626" s="946">
        <v>5</v>
      </c>
      <c r="H3626" s="946">
        <v>4.83</v>
      </c>
    </row>
    <row r="3627" spans="1:9" s="26" customFormat="1">
      <c r="A3627" s="947">
        <v>6</v>
      </c>
      <c r="B3627" s="948">
        <v>864.02</v>
      </c>
      <c r="C3627" s="948" t="s">
        <v>603</v>
      </c>
      <c r="D3627" s="947" t="s">
        <v>3</v>
      </c>
      <c r="E3627" s="949">
        <v>1080</v>
      </c>
      <c r="F3627" s="950">
        <v>1</v>
      </c>
      <c r="G3627" s="951">
        <v>30</v>
      </c>
      <c r="H3627" s="951">
        <v>31.93</v>
      </c>
      <c r="I3627" s="18"/>
    </row>
    <row r="3628" spans="1:9">
      <c r="A3628" s="943">
        <v>6</v>
      </c>
      <c r="B3628" s="944">
        <v>864.04</v>
      </c>
      <c r="C3628" s="944" t="s">
        <v>1456</v>
      </c>
      <c r="D3628" s="943" t="s">
        <v>3</v>
      </c>
      <c r="E3628" s="952">
        <v>18660</v>
      </c>
      <c r="F3628" s="945">
        <v>8</v>
      </c>
      <c r="G3628" s="946">
        <v>18</v>
      </c>
      <c r="H3628" s="946">
        <v>16.43</v>
      </c>
    </row>
    <row r="3629" spans="1:9" s="26" customFormat="1">
      <c r="A3629" s="947">
        <v>6</v>
      </c>
      <c r="B3629" s="948">
        <v>864.07</v>
      </c>
      <c r="C3629" s="948" t="s">
        <v>604</v>
      </c>
      <c r="D3629" s="947" t="s">
        <v>3</v>
      </c>
      <c r="E3629" s="949">
        <v>9600</v>
      </c>
      <c r="F3629" s="950">
        <v>2</v>
      </c>
      <c r="G3629" s="951">
        <v>8</v>
      </c>
      <c r="H3629" s="951">
        <v>7.89</v>
      </c>
      <c r="I3629" s="18"/>
    </row>
    <row r="3630" spans="1:9">
      <c r="A3630" s="943">
        <v>6</v>
      </c>
      <c r="B3630" s="944">
        <v>864.31</v>
      </c>
      <c r="C3630" s="944" t="s">
        <v>605</v>
      </c>
      <c r="D3630" s="943" t="s">
        <v>2</v>
      </c>
      <c r="E3630" s="952">
        <v>3160</v>
      </c>
      <c r="F3630" s="945">
        <v>2</v>
      </c>
      <c r="G3630" s="946">
        <v>36</v>
      </c>
      <c r="H3630" s="946">
        <v>34.75</v>
      </c>
    </row>
    <row r="3631" spans="1:9" s="26" customFormat="1">
      <c r="A3631" s="947">
        <v>6</v>
      </c>
      <c r="B3631" s="948">
        <v>864.33</v>
      </c>
      <c r="C3631" s="948" t="s">
        <v>607</v>
      </c>
      <c r="D3631" s="947" t="s">
        <v>2</v>
      </c>
      <c r="E3631" s="949">
        <v>5900</v>
      </c>
      <c r="F3631" s="950">
        <v>1</v>
      </c>
      <c r="G3631" s="951">
        <v>36</v>
      </c>
      <c r="H3631" s="951">
        <v>33</v>
      </c>
      <c r="I3631" s="18"/>
    </row>
    <row r="3632" spans="1:9">
      <c r="A3632" s="943">
        <v>6</v>
      </c>
      <c r="B3632" s="944">
        <v>864.34</v>
      </c>
      <c r="C3632" s="944" t="s">
        <v>608</v>
      </c>
      <c r="D3632" s="943" t="s">
        <v>2</v>
      </c>
      <c r="E3632" s="945">
        <v>300</v>
      </c>
      <c r="F3632" s="945">
        <v>1</v>
      </c>
      <c r="G3632" s="946">
        <v>30</v>
      </c>
      <c r="H3632" s="946">
        <v>30.33</v>
      </c>
    </row>
    <row r="3633" spans="1:9" s="26" customFormat="1">
      <c r="A3633" s="947">
        <v>6</v>
      </c>
      <c r="B3633" s="948">
        <v>866.10599999999999</v>
      </c>
      <c r="C3633" s="948" t="s">
        <v>25</v>
      </c>
      <c r="D3633" s="947" t="s">
        <v>17</v>
      </c>
      <c r="E3633" s="949">
        <v>127440</v>
      </c>
      <c r="F3633" s="950">
        <v>5</v>
      </c>
      <c r="G3633" s="951">
        <v>2.4500000000000002</v>
      </c>
      <c r="H3633" s="951">
        <v>1.88</v>
      </c>
      <c r="I3633" s="18"/>
    </row>
    <row r="3634" spans="1:9">
      <c r="A3634" s="943">
        <v>6</v>
      </c>
      <c r="B3634" s="944">
        <v>866.11199999999997</v>
      </c>
      <c r="C3634" s="944" t="s">
        <v>610</v>
      </c>
      <c r="D3634" s="943" t="s">
        <v>17</v>
      </c>
      <c r="E3634" s="952">
        <v>69770</v>
      </c>
      <c r="F3634" s="945">
        <v>9</v>
      </c>
      <c r="G3634" s="946">
        <v>7</v>
      </c>
      <c r="H3634" s="946">
        <v>6.52</v>
      </c>
    </row>
    <row r="3635" spans="1:9" s="26" customFormat="1">
      <c r="A3635" s="947">
        <v>6</v>
      </c>
      <c r="B3635" s="948">
        <v>867.10599999999999</v>
      </c>
      <c r="C3635" s="948" t="s">
        <v>613</v>
      </c>
      <c r="D3635" s="947" t="s">
        <v>17</v>
      </c>
      <c r="E3635" s="949">
        <v>121725</v>
      </c>
      <c r="F3635" s="950">
        <v>6</v>
      </c>
      <c r="G3635" s="951">
        <v>2.16</v>
      </c>
      <c r="H3635" s="951">
        <v>1.75</v>
      </c>
      <c r="I3635" s="18"/>
    </row>
    <row r="3636" spans="1:9">
      <c r="A3636" s="943">
        <v>6</v>
      </c>
      <c r="B3636" s="944">
        <v>867.11199999999997</v>
      </c>
      <c r="C3636" s="944" t="s">
        <v>50</v>
      </c>
      <c r="D3636" s="943" t="s">
        <v>17</v>
      </c>
      <c r="E3636" s="952">
        <v>2410</v>
      </c>
      <c r="F3636" s="945">
        <v>4</v>
      </c>
      <c r="G3636" s="946">
        <v>6.93</v>
      </c>
      <c r="H3636" s="946">
        <v>6.1</v>
      </c>
    </row>
    <row r="3637" spans="1:9" s="26" customFormat="1">
      <c r="A3637" s="947">
        <v>6</v>
      </c>
      <c r="B3637" s="948">
        <v>868.06</v>
      </c>
      <c r="C3637" s="948" t="s">
        <v>3317</v>
      </c>
      <c r="D3637" s="947" t="s">
        <v>17</v>
      </c>
      <c r="E3637" s="949">
        <v>47400</v>
      </c>
      <c r="F3637" s="950">
        <v>2</v>
      </c>
      <c r="G3637" s="951">
        <v>3.58</v>
      </c>
      <c r="H3637" s="951">
        <v>4.07</v>
      </c>
      <c r="I3637" s="18"/>
    </row>
    <row r="3638" spans="1:9">
      <c r="A3638" s="943">
        <v>6</v>
      </c>
      <c r="B3638" s="944">
        <v>868.12</v>
      </c>
      <c r="C3638" s="944" t="s">
        <v>615</v>
      </c>
      <c r="D3638" s="943" t="s">
        <v>17</v>
      </c>
      <c r="E3638" s="952">
        <v>45900</v>
      </c>
      <c r="F3638" s="945">
        <v>2</v>
      </c>
      <c r="G3638" s="946">
        <v>5.25</v>
      </c>
      <c r="H3638" s="946">
        <v>5.31</v>
      </c>
    </row>
    <row r="3639" spans="1:9" s="26" customFormat="1">
      <c r="A3639" s="947">
        <v>6</v>
      </c>
      <c r="B3639" s="948">
        <v>869.06</v>
      </c>
      <c r="C3639" s="948" t="s">
        <v>3318</v>
      </c>
      <c r="D3639" s="947" t="s">
        <v>17</v>
      </c>
      <c r="E3639" s="949">
        <v>38100</v>
      </c>
      <c r="F3639" s="950">
        <v>2</v>
      </c>
      <c r="G3639" s="951">
        <v>3.58</v>
      </c>
      <c r="H3639" s="951">
        <v>4.07</v>
      </c>
      <c r="I3639" s="18"/>
    </row>
    <row r="3640" spans="1:9">
      <c r="A3640" s="943">
        <v>6</v>
      </c>
      <c r="B3640" s="944">
        <v>869.12</v>
      </c>
      <c r="C3640" s="944" t="s">
        <v>616</v>
      </c>
      <c r="D3640" s="943" t="s">
        <v>17</v>
      </c>
      <c r="E3640" s="952">
        <v>4000</v>
      </c>
      <c r="F3640" s="945">
        <v>2</v>
      </c>
      <c r="G3640" s="946">
        <v>6.5</v>
      </c>
      <c r="H3640" s="946">
        <v>5.7</v>
      </c>
    </row>
    <row r="3641" spans="1:9" s="26" customFormat="1">
      <c r="A3641" s="947">
        <v>6</v>
      </c>
      <c r="B3641" s="948">
        <v>874</v>
      </c>
      <c r="C3641" s="948" t="s">
        <v>23</v>
      </c>
      <c r="D3641" s="947" t="s">
        <v>2</v>
      </c>
      <c r="E3641" s="949">
        <v>1241</v>
      </c>
      <c r="F3641" s="950">
        <v>3</v>
      </c>
      <c r="G3641" s="951">
        <v>115</v>
      </c>
      <c r="H3641" s="951">
        <v>131.09</v>
      </c>
      <c r="I3641" s="18"/>
    </row>
    <row r="3642" spans="1:9">
      <c r="A3642" s="943">
        <v>6</v>
      </c>
      <c r="B3642" s="944">
        <v>874.1</v>
      </c>
      <c r="C3642" s="944" t="s">
        <v>617</v>
      </c>
      <c r="D3642" s="943" t="s">
        <v>2</v>
      </c>
      <c r="E3642" s="945">
        <v>78</v>
      </c>
      <c r="F3642" s="945">
        <v>3</v>
      </c>
      <c r="G3642" s="946">
        <v>150</v>
      </c>
      <c r="H3642" s="946">
        <v>160.29</v>
      </c>
    </row>
    <row r="3643" spans="1:9" s="26" customFormat="1">
      <c r="A3643" s="947">
        <v>6</v>
      </c>
      <c r="B3643" s="948">
        <v>874.2</v>
      </c>
      <c r="C3643" s="948" t="s">
        <v>618</v>
      </c>
      <c r="D3643" s="947" t="s">
        <v>2</v>
      </c>
      <c r="E3643" s="950">
        <v>440</v>
      </c>
      <c r="F3643" s="950">
        <v>9</v>
      </c>
      <c r="G3643" s="951">
        <v>152.43</v>
      </c>
      <c r="H3643" s="951">
        <v>172.42</v>
      </c>
    </row>
    <row r="3644" spans="1:9">
      <c r="A3644" s="943">
        <v>6</v>
      </c>
      <c r="B3644" s="944">
        <v>874.4</v>
      </c>
      <c r="C3644" s="944" t="s">
        <v>620</v>
      </c>
      <c r="D3644" s="943" t="s">
        <v>2</v>
      </c>
      <c r="E3644" s="945">
        <v>30</v>
      </c>
      <c r="F3644" s="945">
        <v>1</v>
      </c>
      <c r="G3644" s="946">
        <v>50</v>
      </c>
      <c r="H3644" s="946">
        <v>41.67</v>
      </c>
    </row>
    <row r="3645" spans="1:9">
      <c r="A3645" s="947">
        <v>6</v>
      </c>
      <c r="B3645" s="948">
        <v>874.6</v>
      </c>
      <c r="C3645" s="948" t="s">
        <v>3324</v>
      </c>
      <c r="D3645" s="947" t="s">
        <v>3</v>
      </c>
      <c r="E3645" s="949">
        <v>2840</v>
      </c>
      <c r="F3645" s="950">
        <v>1</v>
      </c>
      <c r="G3645" s="951">
        <v>17</v>
      </c>
      <c r="H3645" s="951">
        <v>17.5</v>
      </c>
    </row>
    <row r="3646" spans="1:9">
      <c r="A3646" s="943">
        <v>6</v>
      </c>
      <c r="B3646" s="944">
        <v>874.7</v>
      </c>
      <c r="C3646" s="944" t="s">
        <v>46</v>
      </c>
      <c r="D3646" s="943" t="s">
        <v>2</v>
      </c>
      <c r="E3646" s="945">
        <v>4</v>
      </c>
      <c r="F3646" s="945">
        <v>1</v>
      </c>
      <c r="G3646" s="946">
        <v>50</v>
      </c>
      <c r="H3646" s="946">
        <v>50</v>
      </c>
    </row>
    <row r="3647" spans="1:9">
      <c r="A3647" s="947">
        <v>6</v>
      </c>
      <c r="B3647" s="948">
        <v>875.1</v>
      </c>
      <c r="C3647" s="948" t="s">
        <v>3325</v>
      </c>
      <c r="D3647" s="947" t="s">
        <v>2</v>
      </c>
      <c r="E3647" s="950">
        <v>68</v>
      </c>
      <c r="F3647" s="950">
        <v>1</v>
      </c>
      <c r="G3647" s="951">
        <v>650</v>
      </c>
      <c r="H3647" s="951">
        <v>581.25</v>
      </c>
    </row>
    <row r="3648" spans="1:9">
      <c r="A3648" s="943">
        <v>6</v>
      </c>
      <c r="B3648" s="944">
        <v>875.2</v>
      </c>
      <c r="C3648" s="944" t="s">
        <v>3326</v>
      </c>
      <c r="D3648" s="943" t="s">
        <v>2</v>
      </c>
      <c r="E3648" s="945">
        <v>6</v>
      </c>
      <c r="F3648" s="945">
        <v>1</v>
      </c>
      <c r="G3648" s="946">
        <v>325</v>
      </c>
      <c r="H3648" s="946">
        <v>325</v>
      </c>
    </row>
    <row r="3649" spans="1:8">
      <c r="A3649" s="947">
        <v>6</v>
      </c>
      <c r="B3649" s="948">
        <v>877.1</v>
      </c>
      <c r="C3649" s="948" t="s">
        <v>622</v>
      </c>
      <c r="D3649" s="947" t="s">
        <v>2</v>
      </c>
      <c r="E3649" s="950">
        <v>144</v>
      </c>
      <c r="F3649" s="950">
        <v>3</v>
      </c>
      <c r="G3649" s="951">
        <v>50</v>
      </c>
      <c r="H3649" s="951">
        <v>60</v>
      </c>
    </row>
    <row r="3650" spans="1:8">
      <c r="A3650" s="943">
        <v>6</v>
      </c>
      <c r="B3650" s="944">
        <v>901</v>
      </c>
      <c r="C3650" s="944" t="s">
        <v>624</v>
      </c>
      <c r="D3650" s="943" t="s">
        <v>4</v>
      </c>
      <c r="E3650" s="945">
        <v>192</v>
      </c>
      <c r="F3650" s="945">
        <v>4</v>
      </c>
      <c r="G3650" s="946">
        <v>700</v>
      </c>
      <c r="H3650" s="946">
        <v>560.66999999999996</v>
      </c>
    </row>
    <row r="3651" spans="1:8">
      <c r="A3651" s="947">
        <v>6</v>
      </c>
      <c r="B3651" s="948">
        <v>901.3</v>
      </c>
      <c r="C3651" s="948" t="s">
        <v>625</v>
      </c>
      <c r="D3651" s="947" t="s">
        <v>4</v>
      </c>
      <c r="E3651" s="950">
        <v>4</v>
      </c>
      <c r="F3651" s="950">
        <v>1</v>
      </c>
      <c r="G3651" s="951">
        <v>242.5</v>
      </c>
      <c r="H3651" s="951">
        <v>242.5</v>
      </c>
    </row>
    <row r="3652" spans="1:8">
      <c r="A3652" s="943">
        <v>6</v>
      </c>
      <c r="B3652" s="944">
        <v>903</v>
      </c>
      <c r="C3652" s="944" t="s">
        <v>626</v>
      </c>
      <c r="D3652" s="943" t="s">
        <v>4</v>
      </c>
      <c r="E3652" s="945">
        <v>152</v>
      </c>
      <c r="F3652" s="945">
        <v>4</v>
      </c>
      <c r="G3652" s="946">
        <v>775</v>
      </c>
      <c r="H3652" s="946">
        <v>799.55</v>
      </c>
    </row>
    <row r="3653" spans="1:8">
      <c r="A3653" s="947">
        <v>6</v>
      </c>
      <c r="B3653" s="948">
        <v>904</v>
      </c>
      <c r="C3653" s="948" t="s">
        <v>627</v>
      </c>
      <c r="D3653" s="947" t="s">
        <v>4</v>
      </c>
      <c r="E3653" s="950">
        <v>100</v>
      </c>
      <c r="F3653" s="950">
        <v>1</v>
      </c>
      <c r="G3653" s="951">
        <v>600</v>
      </c>
      <c r="H3653" s="951">
        <v>550</v>
      </c>
    </row>
    <row r="3654" spans="1:8">
      <c r="A3654" s="943">
        <v>6</v>
      </c>
      <c r="B3654" s="944">
        <v>904.3</v>
      </c>
      <c r="C3654" s="944" t="s">
        <v>628</v>
      </c>
      <c r="D3654" s="943" t="s">
        <v>4</v>
      </c>
      <c r="E3654" s="945">
        <v>680</v>
      </c>
      <c r="F3654" s="945">
        <v>1</v>
      </c>
      <c r="G3654" s="946">
        <v>2890</v>
      </c>
      <c r="H3654" s="946">
        <v>2395</v>
      </c>
    </row>
    <row r="3655" spans="1:8">
      <c r="A3655" s="947">
        <v>6</v>
      </c>
      <c r="B3655" s="948">
        <v>904.4</v>
      </c>
      <c r="C3655" s="948" t="s">
        <v>629</v>
      </c>
      <c r="D3655" s="947" t="s">
        <v>4</v>
      </c>
      <c r="E3655" s="950">
        <v>427</v>
      </c>
      <c r="F3655" s="950">
        <v>3</v>
      </c>
      <c r="G3655" s="951">
        <v>5015</v>
      </c>
      <c r="H3655" s="951">
        <v>5268</v>
      </c>
    </row>
    <row r="3656" spans="1:8">
      <c r="A3656" s="943">
        <v>6</v>
      </c>
      <c r="B3656" s="944">
        <v>905</v>
      </c>
      <c r="C3656" s="944" t="s">
        <v>630</v>
      </c>
      <c r="D3656" s="943" t="s">
        <v>4</v>
      </c>
      <c r="E3656" s="945">
        <v>257</v>
      </c>
      <c r="F3656" s="945">
        <v>4</v>
      </c>
      <c r="G3656" s="946">
        <v>5877.5</v>
      </c>
      <c r="H3656" s="946">
        <v>6948.57</v>
      </c>
    </row>
    <row r="3657" spans="1:8">
      <c r="A3657" s="947">
        <v>6</v>
      </c>
      <c r="B3657" s="948">
        <v>909.2</v>
      </c>
      <c r="C3657" s="948" t="s">
        <v>635</v>
      </c>
      <c r="D3657" s="947" t="s">
        <v>3</v>
      </c>
      <c r="E3657" s="949">
        <v>2000</v>
      </c>
      <c r="F3657" s="950">
        <v>1</v>
      </c>
      <c r="G3657" s="951">
        <v>65</v>
      </c>
      <c r="H3657" s="951">
        <v>10</v>
      </c>
    </row>
    <row r="3658" spans="1:8">
      <c r="A3658" s="943">
        <v>6</v>
      </c>
      <c r="B3658" s="944">
        <v>910</v>
      </c>
      <c r="C3658" s="944" t="s">
        <v>636</v>
      </c>
      <c r="D3658" s="943" t="s">
        <v>100</v>
      </c>
      <c r="E3658" s="952">
        <v>2000</v>
      </c>
      <c r="F3658" s="945">
        <v>1</v>
      </c>
      <c r="G3658" s="946">
        <v>6.8</v>
      </c>
      <c r="H3658" s="946">
        <v>8.4</v>
      </c>
    </row>
    <row r="3659" spans="1:8">
      <c r="A3659" s="947">
        <v>6</v>
      </c>
      <c r="B3659" s="948">
        <v>910.1</v>
      </c>
      <c r="C3659" s="948" t="s">
        <v>637</v>
      </c>
      <c r="D3659" s="947" t="s">
        <v>100</v>
      </c>
      <c r="E3659" s="949">
        <v>497025</v>
      </c>
      <c r="F3659" s="950">
        <v>7</v>
      </c>
      <c r="G3659" s="951">
        <v>4.3</v>
      </c>
      <c r="H3659" s="951">
        <v>4.16</v>
      </c>
    </row>
    <row r="3660" spans="1:8">
      <c r="A3660" s="943">
        <v>6</v>
      </c>
      <c r="B3660" s="944">
        <v>912</v>
      </c>
      <c r="C3660" s="944" t="s">
        <v>641</v>
      </c>
      <c r="D3660" s="943" t="s">
        <v>2</v>
      </c>
      <c r="E3660" s="945">
        <v>456</v>
      </c>
      <c r="F3660" s="945">
        <v>2</v>
      </c>
      <c r="G3660" s="946">
        <v>100</v>
      </c>
      <c r="H3660" s="946">
        <v>88.33</v>
      </c>
    </row>
    <row r="3661" spans="1:8">
      <c r="A3661" s="947">
        <v>6</v>
      </c>
      <c r="B3661" s="948">
        <v>913.3</v>
      </c>
      <c r="C3661" s="948" t="s">
        <v>645</v>
      </c>
      <c r="D3661" s="947" t="s">
        <v>2</v>
      </c>
      <c r="E3661" s="950">
        <v>300</v>
      </c>
      <c r="F3661" s="950">
        <v>1</v>
      </c>
      <c r="G3661" s="951">
        <v>138</v>
      </c>
      <c r="H3661" s="951">
        <v>139.33000000000001</v>
      </c>
    </row>
    <row r="3662" spans="1:8">
      <c r="A3662" s="943">
        <v>6</v>
      </c>
      <c r="B3662" s="944">
        <v>913.31</v>
      </c>
      <c r="C3662" s="944" t="s">
        <v>645</v>
      </c>
      <c r="D3662" s="943" t="s">
        <v>17</v>
      </c>
      <c r="E3662" s="952">
        <v>7380</v>
      </c>
      <c r="F3662" s="945">
        <v>1</v>
      </c>
      <c r="G3662" s="946">
        <v>55</v>
      </c>
      <c r="H3662" s="946">
        <v>52.5</v>
      </c>
    </row>
    <row r="3663" spans="1:8">
      <c r="A3663" s="947">
        <v>6</v>
      </c>
      <c r="B3663" s="948">
        <v>945.10299999999995</v>
      </c>
      <c r="C3663" s="948" t="s">
        <v>3492</v>
      </c>
      <c r="D3663" s="947" t="s">
        <v>17</v>
      </c>
      <c r="E3663" s="950">
        <v>520</v>
      </c>
      <c r="F3663" s="950">
        <v>1</v>
      </c>
      <c r="G3663" s="951">
        <v>1214</v>
      </c>
      <c r="H3663" s="951">
        <v>1214</v>
      </c>
    </row>
    <row r="3664" spans="1:8">
      <c r="A3664" s="943">
        <v>6</v>
      </c>
      <c r="B3664" s="944">
        <v>945.50300000000004</v>
      </c>
      <c r="C3664" s="944" t="s">
        <v>3538</v>
      </c>
      <c r="D3664" s="943" t="s">
        <v>17</v>
      </c>
      <c r="E3664" s="945">
        <v>780</v>
      </c>
      <c r="F3664" s="945">
        <v>1</v>
      </c>
      <c r="G3664" s="946">
        <v>941.5</v>
      </c>
      <c r="H3664" s="946">
        <v>1072</v>
      </c>
    </row>
    <row r="3665" spans="1:8">
      <c r="A3665" s="947">
        <v>6</v>
      </c>
      <c r="B3665" s="948">
        <v>945.71</v>
      </c>
      <c r="C3665" s="948" t="s">
        <v>651</v>
      </c>
      <c r="D3665" s="947" t="s">
        <v>17</v>
      </c>
      <c r="E3665" s="949">
        <v>2080</v>
      </c>
      <c r="F3665" s="950">
        <v>1</v>
      </c>
      <c r="G3665" s="951">
        <v>5.5</v>
      </c>
      <c r="H3665" s="951">
        <v>5.5</v>
      </c>
    </row>
    <row r="3666" spans="1:8">
      <c r="A3666" s="943">
        <v>6</v>
      </c>
      <c r="B3666" s="944">
        <v>945.72</v>
      </c>
      <c r="C3666" s="944" t="s">
        <v>652</v>
      </c>
      <c r="D3666" s="943" t="s">
        <v>2</v>
      </c>
      <c r="E3666" s="945">
        <v>27</v>
      </c>
      <c r="F3666" s="945">
        <v>1</v>
      </c>
      <c r="G3666" s="946">
        <v>2664.5</v>
      </c>
      <c r="H3666" s="946">
        <v>2220.67</v>
      </c>
    </row>
    <row r="3667" spans="1:8">
      <c r="A3667" s="947">
        <v>6</v>
      </c>
      <c r="B3667" s="948">
        <v>950.1</v>
      </c>
      <c r="C3667" s="948" t="s">
        <v>656</v>
      </c>
      <c r="D3667" s="947" t="s">
        <v>22</v>
      </c>
      <c r="E3667" s="950">
        <v>1</v>
      </c>
      <c r="F3667" s="950">
        <v>1</v>
      </c>
      <c r="G3667" s="951">
        <v>70000</v>
      </c>
      <c r="H3667" s="951">
        <v>70000</v>
      </c>
    </row>
    <row r="3668" spans="1:8">
      <c r="A3668" s="943">
        <v>6</v>
      </c>
      <c r="B3668" s="944">
        <v>961.20100000000002</v>
      </c>
      <c r="C3668" s="944" t="s">
        <v>660</v>
      </c>
      <c r="D3668" s="943" t="s">
        <v>22</v>
      </c>
      <c r="E3668" s="945">
        <v>3</v>
      </c>
      <c r="F3668" s="945">
        <v>1</v>
      </c>
      <c r="G3668" s="946">
        <v>988000</v>
      </c>
      <c r="H3668" s="946">
        <v>890000</v>
      </c>
    </row>
    <row r="3669" spans="1:8">
      <c r="A3669" s="947">
        <v>6</v>
      </c>
      <c r="B3669" s="948">
        <v>961.202</v>
      </c>
      <c r="C3669" s="948" t="s">
        <v>660</v>
      </c>
      <c r="D3669" s="947" t="s">
        <v>22</v>
      </c>
      <c r="E3669" s="950">
        <v>3</v>
      </c>
      <c r="F3669" s="950">
        <v>1</v>
      </c>
      <c r="G3669" s="951">
        <v>736000</v>
      </c>
      <c r="H3669" s="951">
        <v>803666.67</v>
      </c>
    </row>
    <row r="3670" spans="1:8">
      <c r="A3670" s="943">
        <v>6</v>
      </c>
      <c r="B3670" s="944">
        <v>964.1</v>
      </c>
      <c r="C3670" s="944" t="s">
        <v>663</v>
      </c>
      <c r="D3670" s="943" t="s">
        <v>3</v>
      </c>
      <c r="E3670" s="952">
        <v>37600</v>
      </c>
      <c r="F3670" s="945">
        <v>1</v>
      </c>
      <c r="G3670" s="946">
        <v>18.5</v>
      </c>
      <c r="H3670" s="946">
        <v>19.13</v>
      </c>
    </row>
    <row r="3671" spans="1:8">
      <c r="A3671" s="947">
        <v>6</v>
      </c>
      <c r="B3671" s="948">
        <v>966</v>
      </c>
      <c r="C3671" s="948" t="s">
        <v>1466</v>
      </c>
      <c r="D3671" s="947" t="s">
        <v>3</v>
      </c>
      <c r="E3671" s="949">
        <v>20200</v>
      </c>
      <c r="F3671" s="950">
        <v>1</v>
      </c>
      <c r="G3671" s="951">
        <v>15</v>
      </c>
      <c r="H3671" s="951">
        <v>15</v>
      </c>
    </row>
    <row r="3672" spans="1:8">
      <c r="A3672" s="943">
        <v>6</v>
      </c>
      <c r="B3672" s="944">
        <v>968.4</v>
      </c>
      <c r="C3672" s="944" t="s">
        <v>1468</v>
      </c>
      <c r="D3672" s="943" t="s">
        <v>2</v>
      </c>
      <c r="E3672" s="945">
        <v>54</v>
      </c>
      <c r="F3672" s="945">
        <v>1</v>
      </c>
      <c r="G3672" s="946">
        <v>4330</v>
      </c>
      <c r="H3672" s="946">
        <v>4330</v>
      </c>
    </row>
    <row r="3673" spans="1:8">
      <c r="A3673" s="947">
        <v>6</v>
      </c>
      <c r="B3673" s="948">
        <v>974.3</v>
      </c>
      <c r="C3673" s="948" t="s">
        <v>1469</v>
      </c>
      <c r="D3673" s="947" t="s">
        <v>17</v>
      </c>
      <c r="E3673" s="950">
        <v>280</v>
      </c>
      <c r="F3673" s="950">
        <v>1</v>
      </c>
      <c r="G3673" s="951">
        <v>49.5</v>
      </c>
      <c r="H3673" s="951">
        <v>49.5</v>
      </c>
    </row>
    <row r="3674" spans="1:8">
      <c r="A3674" s="943">
        <v>6</v>
      </c>
      <c r="B3674" s="944">
        <v>975.5</v>
      </c>
      <c r="C3674" s="944" t="s">
        <v>670</v>
      </c>
      <c r="D3674" s="943" t="s">
        <v>17</v>
      </c>
      <c r="E3674" s="945">
        <v>160</v>
      </c>
      <c r="F3674" s="945">
        <v>1</v>
      </c>
      <c r="G3674" s="946">
        <v>740</v>
      </c>
      <c r="H3674" s="946">
        <v>740</v>
      </c>
    </row>
    <row r="3675" spans="1:8">
      <c r="A3675" s="947">
        <v>6</v>
      </c>
      <c r="B3675" s="948">
        <v>983</v>
      </c>
      <c r="C3675" s="948" t="s">
        <v>671</v>
      </c>
      <c r="D3675" s="947" t="s">
        <v>7</v>
      </c>
      <c r="E3675" s="950">
        <v>618</v>
      </c>
      <c r="F3675" s="950">
        <v>1</v>
      </c>
      <c r="G3675" s="951">
        <v>139.5</v>
      </c>
      <c r="H3675" s="951">
        <v>139.5</v>
      </c>
    </row>
    <row r="3676" spans="1:8">
      <c r="A3676" s="943">
        <v>6</v>
      </c>
      <c r="B3676" s="944">
        <v>983.1</v>
      </c>
      <c r="C3676" s="944" t="s">
        <v>672</v>
      </c>
      <c r="D3676" s="943" t="s">
        <v>7</v>
      </c>
      <c r="E3676" s="945">
        <v>70</v>
      </c>
      <c r="F3676" s="945">
        <v>1</v>
      </c>
      <c r="G3676" s="946">
        <v>180</v>
      </c>
      <c r="H3676" s="946">
        <v>180</v>
      </c>
    </row>
    <row r="3677" spans="1:8">
      <c r="A3677" s="947">
        <v>6</v>
      </c>
      <c r="B3677" s="948">
        <v>986</v>
      </c>
      <c r="C3677" s="948" t="s">
        <v>675</v>
      </c>
      <c r="D3677" s="947" t="s">
        <v>7</v>
      </c>
      <c r="E3677" s="950">
        <v>100</v>
      </c>
      <c r="F3677" s="950">
        <v>1</v>
      </c>
      <c r="G3677" s="951">
        <v>419</v>
      </c>
      <c r="H3677" s="951">
        <v>419</v>
      </c>
    </row>
    <row r="3678" spans="1:8">
      <c r="A3678" s="943">
        <v>6</v>
      </c>
      <c r="B3678" s="944">
        <v>986.2</v>
      </c>
      <c r="C3678" s="944" t="s">
        <v>675</v>
      </c>
      <c r="D3678" s="943" t="s">
        <v>4</v>
      </c>
      <c r="E3678" s="945">
        <v>100</v>
      </c>
      <c r="F3678" s="945">
        <v>1</v>
      </c>
      <c r="G3678" s="946">
        <v>245</v>
      </c>
      <c r="H3678" s="946">
        <v>477.5</v>
      </c>
    </row>
    <row r="3679" spans="1:8">
      <c r="A3679" s="947">
        <v>6</v>
      </c>
      <c r="B3679" s="948">
        <v>994.01</v>
      </c>
      <c r="C3679" s="948" t="s">
        <v>682</v>
      </c>
      <c r="D3679" s="947" t="s">
        <v>22</v>
      </c>
      <c r="E3679" s="950">
        <v>4</v>
      </c>
      <c r="F3679" s="950">
        <v>1</v>
      </c>
      <c r="G3679" s="951">
        <v>16750000</v>
      </c>
      <c r="H3679" s="951">
        <v>18225827.5</v>
      </c>
    </row>
    <row r="3680" spans="1:8">
      <c r="A3680" s="943">
        <v>6</v>
      </c>
      <c r="B3680" s="944">
        <v>994.1</v>
      </c>
      <c r="C3680" s="944" t="s">
        <v>683</v>
      </c>
      <c r="D3680" s="943" t="s">
        <v>3</v>
      </c>
      <c r="E3680" s="952">
        <v>23840</v>
      </c>
      <c r="F3680" s="945">
        <v>2</v>
      </c>
      <c r="G3680" s="946">
        <v>12</v>
      </c>
      <c r="H3680" s="946">
        <v>9.33</v>
      </c>
    </row>
    <row r="3681" spans="1:8">
      <c r="A3681" s="947">
        <v>6</v>
      </c>
      <c r="B3681" s="948">
        <v>995.01</v>
      </c>
      <c r="C3681" s="948" t="s">
        <v>685</v>
      </c>
      <c r="D3681" s="947" t="s">
        <v>22</v>
      </c>
      <c r="E3681" s="950">
        <v>3</v>
      </c>
      <c r="F3681" s="950">
        <v>1</v>
      </c>
      <c r="G3681" s="951">
        <v>5502102</v>
      </c>
      <c r="H3681" s="951">
        <v>5748068</v>
      </c>
    </row>
    <row r="3682" spans="1:8">
      <c r="A3682" s="943">
        <v>6</v>
      </c>
      <c r="B3682" s="944">
        <v>995.02</v>
      </c>
      <c r="C3682" s="944" t="s">
        <v>687</v>
      </c>
      <c r="D3682" s="943" t="s">
        <v>22</v>
      </c>
      <c r="E3682" s="945">
        <v>3</v>
      </c>
      <c r="F3682" s="945">
        <v>1</v>
      </c>
      <c r="G3682" s="946">
        <v>5772000</v>
      </c>
      <c r="H3682" s="946">
        <v>5626641.3300000001</v>
      </c>
    </row>
    <row r="3683" spans="1:8">
      <c r="A3683" s="947">
        <v>6</v>
      </c>
      <c r="B3683" s="948">
        <v>995.03</v>
      </c>
      <c r="C3683" s="948" t="s">
        <v>687</v>
      </c>
      <c r="D3683" s="947" t="s">
        <v>22</v>
      </c>
      <c r="E3683" s="950">
        <v>3</v>
      </c>
      <c r="F3683" s="950">
        <v>1</v>
      </c>
      <c r="G3683" s="951">
        <v>6000000</v>
      </c>
      <c r="H3683" s="951">
        <v>5753641</v>
      </c>
    </row>
    <row r="3684" spans="1:8">
      <c r="A3684" s="21"/>
      <c r="B3684" s="22"/>
      <c r="C3684" s="22"/>
      <c r="D3684" s="21"/>
      <c r="E3684" s="23"/>
      <c r="F3684" s="24"/>
      <c r="G3684" s="25"/>
      <c r="H3684" s="25"/>
    </row>
  </sheetData>
  <autoFilter ref="I1:K3641" xr:uid="{16C731C0-7059-4BC4-BABE-888419055533}"/>
  <pageMargins left="0.75" right="0.75" top="1" bottom="1" header="0.5" footer="0.5"/>
  <pageSetup orientation="portrait" horizontalDpi="1200" verticalDpi="120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420D2-E60B-4743-BDAE-7C9992069403}">
  <sheetPr codeName="Sheet31">
    <tabColor theme="6"/>
    <pageSetUpPr fitToPage="1"/>
  </sheetPr>
  <dimension ref="B1:Z125"/>
  <sheetViews>
    <sheetView view="pageBreakPreview" zoomScale="85" zoomScaleNormal="100" zoomScaleSheetLayoutView="85" workbookViewId="0">
      <selection activeCell="J35" sqref="J35"/>
    </sheetView>
  </sheetViews>
  <sheetFormatPr defaultColWidth="9.140625" defaultRowHeight="15"/>
  <cols>
    <col min="1" max="1" width="9" style="40" customWidth="1"/>
    <col min="2" max="2" width="3" style="54" customWidth="1"/>
    <col min="3" max="4" width="10.7109375" style="40" customWidth="1"/>
    <col min="5" max="10" width="12.7109375" style="40" customWidth="1"/>
    <col min="11" max="11" width="5.42578125" style="40" customWidth="1"/>
    <col min="12" max="12" width="12" style="40" customWidth="1"/>
    <col min="13" max="13" width="3" style="40" customWidth="1"/>
    <col min="14" max="14" width="3.85546875" style="40" customWidth="1"/>
    <col min="15" max="15" width="2.42578125" style="40" customWidth="1"/>
    <col min="16" max="16384" width="9.140625" style="40"/>
  </cols>
  <sheetData>
    <row r="1" spans="2:26" ht="15.75" thickBot="1">
      <c r="G1" s="40" t="s">
        <v>55</v>
      </c>
      <c r="H1" s="40" t="s">
        <v>794</v>
      </c>
      <c r="I1" s="40" t="s">
        <v>795</v>
      </c>
      <c r="J1" s="40" t="s">
        <v>796</v>
      </c>
    </row>
    <row r="2" spans="2:26" ht="15" customHeight="1">
      <c r="B2" s="1048" t="s">
        <v>3940</v>
      </c>
      <c r="C2" s="1049"/>
      <c r="D2" s="1049"/>
      <c r="E2" s="1049"/>
      <c r="F2" s="1049"/>
      <c r="G2" s="1049"/>
      <c r="H2" s="1049"/>
      <c r="I2" s="1049"/>
      <c r="J2" s="1049"/>
      <c r="K2" s="1050"/>
    </row>
    <row r="3" spans="2:26" ht="15" customHeight="1" thickBot="1">
      <c r="B3" s="1051"/>
      <c r="C3" s="1052"/>
      <c r="D3" s="1052"/>
      <c r="E3" s="1052"/>
      <c r="F3" s="1052"/>
      <c r="G3" s="1052"/>
      <c r="H3" s="1052"/>
      <c r="I3" s="1052"/>
      <c r="J3" s="1052"/>
      <c r="K3" s="1053"/>
    </row>
    <row r="4" spans="2:26" ht="14.1" customHeight="1">
      <c r="B4" s="45"/>
      <c r="C4" s="544" t="str">
        <f ca="1">INSTRUCTIONS!C8</f>
        <v xml:space="preserve"> </v>
      </c>
      <c r="D4" s="544"/>
      <c r="E4" s="544"/>
      <c r="F4" s="544"/>
      <c r="G4" s="544"/>
      <c r="H4" s="544"/>
      <c r="I4" s="544"/>
      <c r="J4" s="544"/>
      <c r="K4" s="47"/>
    </row>
    <row r="5" spans="2:26" ht="15" customHeight="1">
      <c r="B5" s="43"/>
      <c r="C5" s="1047" t="s">
        <v>844</v>
      </c>
      <c r="D5" s="1047"/>
      <c r="E5" s="1047"/>
      <c r="F5" s="1047"/>
      <c r="G5" s="1047"/>
      <c r="H5" s="1047"/>
      <c r="I5" s="1047"/>
      <c r="J5" s="1047"/>
      <c r="K5" s="48"/>
    </row>
    <row r="6" spans="2:26">
      <c r="B6" s="43"/>
      <c r="G6" s="313" t="str">
        <f>BasicProjectData!G21</f>
        <v>Major Roadway</v>
      </c>
      <c r="H6" s="313" t="str">
        <f>BasicProjectData!H21</f>
        <v>Roadway 2 Name</v>
      </c>
      <c r="I6" s="313" t="str">
        <f>BasicProjectData!I21</f>
        <v>Roadway 3 Name</v>
      </c>
      <c r="J6" s="313" t="str">
        <f>BasicProjectData!J21</f>
        <v>Roadway 4 Name</v>
      </c>
      <c r="K6" s="44"/>
    </row>
    <row r="7" spans="2:26" ht="14.1" customHeight="1">
      <c r="B7" s="49">
        <v>1</v>
      </c>
      <c r="C7" s="38" t="s">
        <v>3744</v>
      </c>
      <c r="D7" s="38"/>
      <c r="E7" s="85"/>
      <c r="F7" s="38"/>
      <c r="G7" s="713">
        <f>BasicProjectData!G22</f>
        <v>0</v>
      </c>
      <c r="H7" s="713">
        <f>BasicProjectData!H22</f>
        <v>0</v>
      </c>
      <c r="I7" s="713">
        <f>BasicProjectData!I22</f>
        <v>0</v>
      </c>
      <c r="J7" s="713">
        <f>BasicProjectData!J22</f>
        <v>0</v>
      </c>
      <c r="K7" s="44"/>
    </row>
    <row r="8" spans="2:26">
      <c r="B8" s="49">
        <v>2</v>
      </c>
      <c r="C8" s="38" t="s">
        <v>3645</v>
      </c>
      <c r="D8" s="57"/>
      <c r="E8" s="57"/>
      <c r="F8" s="57"/>
      <c r="G8" s="56"/>
      <c r="H8" s="53"/>
      <c r="I8" s="53"/>
      <c r="J8" s="53"/>
      <c r="K8" s="44"/>
    </row>
    <row r="9" spans="2:26">
      <c r="B9" s="49">
        <v>3</v>
      </c>
      <c r="C9" s="38" t="s">
        <v>3646</v>
      </c>
      <c r="G9" s="56"/>
      <c r="H9" s="53"/>
      <c r="I9" s="53"/>
      <c r="J9" s="53"/>
      <c r="K9" s="44"/>
    </row>
    <row r="10" spans="2:26">
      <c r="B10" s="49">
        <v>4</v>
      </c>
      <c r="C10" s="38" t="s">
        <v>731</v>
      </c>
      <c r="D10" s="57"/>
      <c r="E10" s="57"/>
      <c r="F10" s="57"/>
      <c r="G10" s="56"/>
      <c r="H10" s="53"/>
      <c r="I10" s="53"/>
      <c r="J10" s="53"/>
      <c r="K10" s="44"/>
      <c r="L10" s="58"/>
    </row>
    <row r="11" spans="2:26">
      <c r="B11" s="50"/>
      <c r="C11" s="38"/>
      <c r="D11" s="57"/>
      <c r="E11" s="57"/>
      <c r="F11" s="68" t="str">
        <f>IF(COUNTIF(G10:J10,HIDDEN!B17)&gt;0,"For mixed treatment, approximately what % of the area is full depth?","")</f>
        <v/>
      </c>
      <c r="G11" s="1104"/>
      <c r="H11" s="1104"/>
      <c r="I11" s="1104"/>
      <c r="J11" s="1104"/>
      <c r="K11" s="44"/>
      <c r="L11" s="58"/>
    </row>
    <row r="12" spans="2:26">
      <c r="B12" s="43"/>
      <c r="E12" s="1083" t="str">
        <f>IF(COUNTIF(Roadway!G10:J10,HIDDEN!B16)&gt;0,"Go to PAVEMENT tab to provide more detail about mixed treatments, resurfacing, or repairs.",IF(COUNTIF(Roadway!G10:J10,HIDDEN!B17)&gt;0,"Go to PAVEMENT tab to provide more detail about mixed treatments, resurfacing, or repairs.",IF(COUNTIF(Roadway!G10:J10,HIDDEN!B14)&gt;0,"Go to PAVEMENT tab to provide more detail about mixed treatments, resurfacing, or repairs.","")))</f>
        <v/>
      </c>
      <c r="G12" s="733"/>
      <c r="H12" s="733"/>
      <c r="I12" s="733"/>
      <c r="J12" s="733"/>
      <c r="K12" s="44"/>
    </row>
    <row r="13" spans="2:26" ht="15" customHeight="1">
      <c r="B13" s="49">
        <v>5</v>
      </c>
      <c r="C13" s="714" t="s">
        <v>3655</v>
      </c>
      <c r="G13" s="60"/>
      <c r="H13" s="60"/>
      <c r="I13" s="61"/>
      <c r="J13" s="60"/>
      <c r="K13" s="44"/>
    </row>
    <row r="14" spans="2:26" ht="15" customHeight="1">
      <c r="B14" s="49">
        <v>6</v>
      </c>
      <c r="C14" s="714" t="s">
        <v>3656</v>
      </c>
      <c r="G14" s="60"/>
      <c r="H14" s="60"/>
      <c r="I14" s="61"/>
      <c r="J14" s="60"/>
      <c r="K14" s="44"/>
    </row>
    <row r="15" spans="2:26">
      <c r="B15" s="50"/>
      <c r="C15" s="715"/>
      <c r="D15" s="715"/>
      <c r="E15" s="1083" t="str" cm="1">
        <f t="array" ref="E15">IFERROR(_xlfn.IFS(OR(AND(G9&gt;G8,G26&lt;1),AND(H9&gt;H8,H26&lt;1),AND(I9&gt;I8,I26&lt;1),AND(J9&gt;J8,J26&lt;1)),"Confirm that no culverts need to be extended in Question 13 due to proposed roadway widening.",(OR(AND(G9&lt;G8,G26&gt;0),AND(H9&lt;H8,H26&gt;0),AND(I9&lt;I8,I26&gt;0),AND(J9&lt;J8,J26&gt;0))),"WARNING: Roadway width is being reduced and culvert extensions are being proposed, check quantities in Question 13."),"")</f>
        <v/>
      </c>
      <c r="G15" s="734"/>
      <c r="H15" s="734"/>
      <c r="I15" s="734"/>
      <c r="J15" s="734"/>
      <c r="K15" s="44"/>
    </row>
    <row r="16" spans="2:26">
      <c r="B16" s="49">
        <v>7</v>
      </c>
      <c r="C16" s="197" t="s">
        <v>1852</v>
      </c>
      <c r="D16" s="51"/>
      <c r="E16" s="51"/>
      <c r="F16" s="51"/>
      <c r="G16" s="63"/>
      <c r="H16" s="63"/>
      <c r="I16" s="63"/>
      <c r="J16" s="63"/>
      <c r="K16" s="716"/>
      <c r="L16" s="77"/>
      <c r="M16" s="39"/>
      <c r="Q16" s="717"/>
      <c r="R16" s="64"/>
      <c r="S16" s="64"/>
      <c r="T16" s="64"/>
      <c r="U16" s="64"/>
      <c r="V16" s="64"/>
      <c r="W16" s="64"/>
      <c r="X16" s="64"/>
      <c r="Y16" s="64"/>
      <c r="Z16" s="64"/>
    </row>
    <row r="17" spans="2:12" ht="14.1" customHeight="1">
      <c r="B17" s="49">
        <v>8</v>
      </c>
      <c r="C17" s="38" t="s">
        <v>1814</v>
      </c>
      <c r="G17" s="63"/>
      <c r="H17" s="63"/>
      <c r="I17" s="63"/>
      <c r="J17" s="63"/>
      <c r="K17" s="44"/>
    </row>
    <row r="18" spans="2:12" ht="14.1" customHeight="1">
      <c r="B18" s="49">
        <v>9</v>
      </c>
      <c r="C18" s="38" t="s">
        <v>736</v>
      </c>
      <c r="G18" s="63"/>
      <c r="H18" s="63"/>
      <c r="I18" s="63"/>
      <c r="J18" s="63"/>
      <c r="K18" s="44"/>
    </row>
    <row r="19" spans="2:12">
      <c r="B19" s="43"/>
      <c r="G19" s="733"/>
      <c r="H19" s="733"/>
      <c r="I19" s="733"/>
      <c r="J19" s="733"/>
      <c r="K19" s="44"/>
    </row>
    <row r="20" spans="2:12">
      <c r="B20" s="49">
        <v>10</v>
      </c>
      <c r="C20" s="38" t="s">
        <v>1563</v>
      </c>
      <c r="D20" s="38"/>
      <c r="E20" s="38"/>
      <c r="F20" s="38"/>
      <c r="G20" s="65"/>
      <c r="H20" s="53"/>
      <c r="I20" s="53"/>
      <c r="J20" s="66"/>
      <c r="K20" s="44"/>
    </row>
    <row r="21" spans="2:12">
      <c r="B21" s="43"/>
      <c r="C21" s="38"/>
      <c r="D21" s="38"/>
      <c r="E21" s="38"/>
      <c r="F21" s="718" t="s">
        <v>1564</v>
      </c>
      <c r="G21" s="65"/>
      <c r="H21" s="66"/>
      <c r="I21" s="66"/>
      <c r="J21" s="66"/>
      <c r="K21" s="44"/>
    </row>
    <row r="22" spans="2:12">
      <c r="B22" s="43"/>
      <c r="C22" s="38"/>
      <c r="D22" s="38"/>
      <c r="E22" s="38"/>
      <c r="F22" s="718" t="s">
        <v>1565</v>
      </c>
      <c r="G22" s="60"/>
      <c r="H22" s="60"/>
      <c r="I22" s="60"/>
      <c r="J22" s="60"/>
      <c r="K22" s="44"/>
    </row>
    <row r="23" spans="2:12">
      <c r="B23" s="43"/>
      <c r="F23" s="59"/>
      <c r="G23" s="733"/>
      <c r="H23" s="733"/>
      <c r="I23" s="733"/>
      <c r="J23" s="733"/>
      <c r="K23" s="44"/>
      <c r="L23" s="57"/>
    </row>
    <row r="24" spans="2:12" s="57" customFormat="1">
      <c r="B24" s="49">
        <v>11</v>
      </c>
      <c r="C24" s="226" t="s">
        <v>732</v>
      </c>
      <c r="D24" s="40"/>
      <c r="E24" s="40"/>
      <c r="F24" s="40"/>
      <c r="G24" s="60"/>
      <c r="H24" s="60"/>
      <c r="I24" s="60"/>
      <c r="J24" s="60"/>
      <c r="K24" s="44"/>
    </row>
    <row r="25" spans="2:12">
      <c r="B25" s="49">
        <v>12</v>
      </c>
      <c r="C25" s="38" t="s">
        <v>733</v>
      </c>
      <c r="D25" s="38"/>
      <c r="E25" s="38"/>
      <c r="F25" s="38"/>
      <c r="G25" s="60"/>
      <c r="H25" s="60"/>
      <c r="I25" s="60"/>
      <c r="J25" s="60"/>
      <c r="K25" s="44"/>
    </row>
    <row r="26" spans="2:12">
      <c r="B26" s="49">
        <v>13</v>
      </c>
      <c r="C26" s="38" t="s">
        <v>3812</v>
      </c>
      <c r="D26" s="38"/>
      <c r="E26" s="38"/>
      <c r="F26" s="38"/>
      <c r="G26" s="60"/>
      <c r="H26" s="60"/>
      <c r="I26" s="60"/>
      <c r="J26" s="60"/>
      <c r="K26" s="44"/>
    </row>
    <row r="27" spans="2:12">
      <c r="B27" s="50"/>
      <c r="C27" s="38"/>
      <c r="D27" s="38"/>
      <c r="E27" s="38"/>
      <c r="F27" s="718" t="str">
        <f>IF(SUM(G26:J26)&gt;0,"What is the average length that each culvert will be extended?","")</f>
        <v/>
      </c>
      <c r="G27" s="65"/>
      <c r="H27" s="60"/>
      <c r="I27" s="65"/>
      <c r="J27" s="60"/>
      <c r="K27" s="44"/>
    </row>
    <row r="28" spans="2:12">
      <c r="B28" s="50"/>
      <c r="C28" s="38"/>
      <c r="D28" s="38"/>
      <c r="E28" s="38"/>
      <c r="F28" s="718" t="str">
        <f>IF(SUM(G26:J26)&gt;0,"What type of culvert? (Choose the most frequent type)","")</f>
        <v/>
      </c>
      <c r="G28" s="65"/>
      <c r="H28" s="60"/>
      <c r="I28" s="65"/>
      <c r="J28" s="60"/>
      <c r="K28" s="44"/>
    </row>
    <row r="29" spans="2:12">
      <c r="B29" s="50"/>
      <c r="C29" s="38"/>
      <c r="D29" s="38"/>
      <c r="E29" s="38"/>
      <c r="F29" s="718" t="str">
        <f>IF(SUM(G26:J26)&gt;0,"What type of headwall? (Choose the most frequent type)","")</f>
        <v/>
      </c>
      <c r="G29" s="65"/>
      <c r="H29" s="60"/>
      <c r="I29" s="65"/>
      <c r="J29" s="60"/>
      <c r="K29" s="44"/>
    </row>
    <row r="30" spans="2:12">
      <c r="B30" s="50"/>
      <c r="C30" s="38"/>
      <c r="D30" s="38"/>
      <c r="E30" s="38"/>
      <c r="F30" s="38"/>
      <c r="G30" s="735"/>
      <c r="H30" s="735"/>
      <c r="I30" s="735"/>
      <c r="J30" s="735"/>
      <c r="K30" s="44"/>
    </row>
    <row r="31" spans="2:12">
      <c r="B31" s="49">
        <v>14</v>
      </c>
      <c r="C31" s="714" t="s">
        <v>3647</v>
      </c>
      <c r="D31" s="67"/>
      <c r="E31" s="67"/>
      <c r="F31" s="67"/>
      <c r="G31" s="60"/>
      <c r="H31" s="60"/>
      <c r="I31" s="61"/>
      <c r="J31" s="60"/>
      <c r="K31" s="44"/>
    </row>
    <row r="32" spans="2:12">
      <c r="B32" s="719"/>
      <c r="C32" s="197"/>
      <c r="D32" s="67"/>
      <c r="E32" s="67"/>
      <c r="F32" s="718" t="str">
        <f>IF(SUM(G31:J31)&gt;0,"What is the proposed driveway material?","")</f>
        <v/>
      </c>
      <c r="G32" s="60"/>
      <c r="H32" s="60"/>
      <c r="I32" s="60"/>
      <c r="J32" s="60"/>
      <c r="K32" s="44"/>
    </row>
    <row r="33" spans="2:13">
      <c r="B33" s="719"/>
      <c r="C33" s="197"/>
      <c r="D33" s="67"/>
      <c r="E33" s="67"/>
      <c r="F33" s="718"/>
      <c r="G33" s="736"/>
      <c r="H33" s="736"/>
      <c r="I33" s="736"/>
      <c r="J33" s="736"/>
      <c r="K33" s="720"/>
    </row>
    <row r="34" spans="2:13" ht="14.1" customHeight="1">
      <c r="B34" s="49">
        <v>15</v>
      </c>
      <c r="C34" s="38" t="s">
        <v>1867</v>
      </c>
      <c r="D34" s="38"/>
      <c r="G34" s="60"/>
      <c r="H34" s="60"/>
      <c r="I34" s="61"/>
      <c r="J34" s="60"/>
      <c r="K34" s="44"/>
    </row>
    <row r="35" spans="2:13" ht="14.1" customHeight="1">
      <c r="B35" s="50"/>
      <c r="C35" s="38"/>
      <c r="D35" s="38"/>
      <c r="G35" s="721"/>
      <c r="H35" s="721"/>
      <c r="I35" s="722"/>
      <c r="J35" s="721"/>
      <c r="K35" s="44"/>
    </row>
    <row r="36" spans="2:13" ht="14.1" customHeight="1">
      <c r="B36" s="49">
        <v>16</v>
      </c>
      <c r="C36" s="197" t="s">
        <v>1854</v>
      </c>
      <c r="D36" s="38"/>
      <c r="E36" s="723" t="s">
        <v>1696</v>
      </c>
      <c r="F36" s="723" t="s">
        <v>1697</v>
      </c>
      <c r="G36" s="723" t="s">
        <v>434</v>
      </c>
      <c r="H36" s="723" t="s">
        <v>1698</v>
      </c>
      <c r="I36" s="723" t="s">
        <v>1699</v>
      </c>
      <c r="J36" s="721"/>
      <c r="K36" s="44"/>
    </row>
    <row r="37" spans="2:13">
      <c r="B37" s="43"/>
      <c r="C37" s="724"/>
      <c r="D37" s="725" t="s">
        <v>1856</v>
      </c>
      <c r="E37" s="1102"/>
      <c r="F37" s="1102"/>
      <c r="G37" s="1102"/>
      <c r="H37" s="1102"/>
      <c r="I37" s="1102"/>
      <c r="J37" s="64"/>
      <c r="K37" s="44"/>
    </row>
    <row r="38" spans="2:13">
      <c r="B38" s="43"/>
      <c r="C38" s="726"/>
      <c r="D38" s="727" t="s">
        <v>3708</v>
      </c>
      <c r="E38" s="1103"/>
      <c r="F38" s="1103"/>
      <c r="G38" s="1103"/>
      <c r="H38" s="1103"/>
      <c r="I38" s="1103"/>
      <c r="K38" s="44"/>
    </row>
    <row r="39" spans="2:13" ht="15" customHeight="1">
      <c r="B39" s="43"/>
      <c r="C39" s="726"/>
      <c r="D39" s="727" t="s">
        <v>1863</v>
      </c>
      <c r="E39" s="1103"/>
      <c r="F39" s="1103"/>
      <c r="G39" s="1103"/>
      <c r="H39" s="1103"/>
      <c r="I39" s="1103"/>
      <c r="K39" s="44"/>
    </row>
    <row r="40" spans="2:13" ht="15" customHeight="1">
      <c r="B40" s="43"/>
      <c r="C40" s="68"/>
      <c r="D40" s="68" t="str">
        <f>IF(SUM(E39:I39)&gt;0,"What happens to existing?","")</f>
        <v/>
      </c>
      <c r="E40" s="69"/>
      <c r="F40" s="69"/>
      <c r="G40" s="69"/>
      <c r="H40" s="69"/>
      <c r="I40" s="69"/>
      <c r="K40" s="44"/>
    </row>
    <row r="41" spans="2:13">
      <c r="B41" s="43"/>
      <c r="E41" s="737"/>
      <c r="F41" s="737"/>
      <c r="G41" s="737"/>
      <c r="H41" s="737"/>
      <c r="I41" s="737"/>
      <c r="K41" s="44"/>
    </row>
    <row r="42" spans="2:13">
      <c r="B42" s="49">
        <v>17</v>
      </c>
      <c r="C42" s="197" t="s">
        <v>1570</v>
      </c>
      <c r="E42" s="728" t="s">
        <v>737</v>
      </c>
      <c r="F42" s="728" t="s">
        <v>1571</v>
      </c>
      <c r="G42" s="728" t="s">
        <v>1573</v>
      </c>
      <c r="H42" s="728" t="s">
        <v>1572</v>
      </c>
      <c r="K42" s="44"/>
    </row>
    <row r="43" spans="2:13" ht="14.1" customHeight="1">
      <c r="B43" s="43"/>
      <c r="C43" s="724"/>
      <c r="D43" s="725" t="s">
        <v>3708</v>
      </c>
      <c r="E43" s="1103"/>
      <c r="F43" s="1103"/>
      <c r="G43" s="1103"/>
      <c r="H43" s="1103"/>
      <c r="K43" s="44"/>
    </row>
    <row r="44" spans="2:13" ht="14.1" customHeight="1">
      <c r="B44" s="43"/>
      <c r="C44" s="726"/>
      <c r="D44" s="727" t="s">
        <v>1863</v>
      </c>
      <c r="E44" s="1103"/>
      <c r="F44" s="1103"/>
      <c r="G44" s="1103"/>
      <c r="H44" s="1103"/>
      <c r="K44" s="44"/>
    </row>
    <row r="45" spans="2:13">
      <c r="B45" s="43"/>
      <c r="C45" s="68"/>
      <c r="D45" s="68" t="str">
        <f>IF(SUM(E44:H44)&gt;0,"What happens to existing?","")</f>
        <v/>
      </c>
      <c r="E45" s="69"/>
      <c r="F45" s="69"/>
      <c r="G45" s="69"/>
      <c r="H45" s="69"/>
      <c r="K45" s="44"/>
      <c r="M45" s="58"/>
    </row>
    <row r="46" spans="2:13">
      <c r="B46" s="43"/>
      <c r="D46" s="68"/>
      <c r="K46" s="44"/>
    </row>
    <row r="47" spans="2:13" ht="14.1" customHeight="1">
      <c r="B47" s="49">
        <v>18</v>
      </c>
      <c r="C47" s="38" t="s">
        <v>734</v>
      </c>
      <c r="D47" s="38"/>
      <c r="E47" s="38"/>
      <c r="F47" s="38"/>
      <c r="G47" s="38"/>
      <c r="H47" s="1171"/>
      <c r="I47" s="1172"/>
      <c r="K47" s="44"/>
      <c r="L47" s="70"/>
    </row>
    <row r="48" spans="2:13" ht="14.1" customHeight="1">
      <c r="B48" s="50"/>
      <c r="D48" s="38"/>
      <c r="E48" s="38"/>
      <c r="F48" s="38"/>
      <c r="G48" s="729" t="str">
        <f>IF(H47=HIDDEN!H27,"If not along the entire length, what length requires lighting? (in feet)",IF(H47=HIDDEN!H29,"How many poles will be relocated?",IF(H47=HIDDEN!H30,"How many lights will be upgraded?","")))</f>
        <v/>
      </c>
      <c r="H48" s="1174"/>
      <c r="I48" s="1174"/>
      <c r="J48" s="38"/>
      <c r="K48" s="44"/>
      <c r="L48" s="70"/>
    </row>
    <row r="49" spans="2:15" ht="14.1" customHeight="1">
      <c r="B49" s="50"/>
      <c r="C49" s="38"/>
      <c r="D49" s="38"/>
      <c r="E49" s="38"/>
      <c r="F49" s="38"/>
      <c r="G49" s="38"/>
      <c r="H49" s="38"/>
      <c r="I49" s="38"/>
      <c r="J49" s="38"/>
      <c r="K49" s="44"/>
      <c r="L49" s="70"/>
    </row>
    <row r="50" spans="2:15">
      <c r="B50" s="49">
        <v>19</v>
      </c>
      <c r="C50" s="38" t="s">
        <v>3748</v>
      </c>
      <c r="D50" s="38"/>
      <c r="E50" s="38"/>
      <c r="F50" s="38"/>
      <c r="G50" s="38"/>
      <c r="H50" s="1171"/>
      <c r="I50" s="1173"/>
      <c r="J50" s="38"/>
      <c r="K50" s="44"/>
      <c r="L50" s="70"/>
    </row>
    <row r="51" spans="2:15" ht="14.25" customHeight="1">
      <c r="B51" s="730"/>
      <c r="C51" s="38"/>
      <c r="D51" s="38"/>
      <c r="E51" s="38"/>
      <c r="F51" s="38"/>
      <c r="G51" s="38"/>
      <c r="H51" s="38"/>
      <c r="I51" s="38"/>
      <c r="J51" s="38"/>
      <c r="K51" s="704"/>
    </row>
    <row r="52" spans="2:15" ht="14.25" customHeight="1" thickBot="1">
      <c r="B52" s="731">
        <v>20</v>
      </c>
      <c r="C52" s="709" t="s">
        <v>3928</v>
      </c>
      <c r="D52" s="709"/>
      <c r="E52" s="709"/>
      <c r="F52" s="709"/>
      <c r="G52" s="709"/>
      <c r="H52" s="1169"/>
      <c r="I52" s="1170"/>
      <c r="J52" s="732"/>
      <c r="K52" s="710"/>
    </row>
    <row r="53" spans="2:15" ht="15" customHeight="1">
      <c r="B53" s="38"/>
      <c r="C53" s="38"/>
      <c r="D53" s="38"/>
      <c r="E53" s="38"/>
      <c r="F53" s="38"/>
      <c r="G53" s="38"/>
      <c r="H53" s="38"/>
      <c r="I53" s="38"/>
      <c r="J53" s="38"/>
      <c r="K53" s="38"/>
      <c r="L53" s="38"/>
      <c r="M53" s="38"/>
      <c r="N53" s="38"/>
      <c r="O53" s="38"/>
    </row>
    <row r="54" spans="2:15" ht="14.25" customHeight="1">
      <c r="B54" s="38"/>
      <c r="C54" s="38"/>
      <c r="D54" s="38"/>
      <c r="E54" s="38"/>
      <c r="F54" s="38"/>
      <c r="G54" s="38"/>
      <c r="H54" s="38"/>
      <c r="I54" s="38"/>
      <c r="J54" s="38"/>
      <c r="K54" s="38"/>
      <c r="L54" s="38"/>
      <c r="M54" s="38"/>
      <c r="N54" s="38"/>
      <c r="O54" s="38"/>
    </row>
    <row r="55" spans="2:15" ht="15.75" customHeight="1">
      <c r="B55" s="38"/>
      <c r="C55" s="38"/>
      <c r="D55" s="38"/>
      <c r="E55" s="38"/>
      <c r="F55" s="38"/>
      <c r="G55" s="38"/>
      <c r="H55" s="38"/>
      <c r="I55" s="38"/>
      <c r="J55" s="38"/>
      <c r="K55" s="38"/>
      <c r="L55" s="38"/>
      <c r="M55" s="38"/>
      <c r="N55" s="38"/>
      <c r="O55" s="38"/>
    </row>
    <row r="56" spans="2:15">
      <c r="B56" s="38"/>
      <c r="C56" s="38"/>
      <c r="D56" s="38"/>
      <c r="E56" s="38"/>
      <c r="F56" s="38"/>
      <c r="G56" s="38"/>
      <c r="H56" s="38"/>
      <c r="I56" s="38"/>
      <c r="J56" s="38"/>
      <c r="K56" s="38"/>
      <c r="L56" s="38"/>
      <c r="M56" s="38"/>
      <c r="N56" s="38"/>
      <c r="O56" s="38"/>
    </row>
    <row r="57" spans="2:15">
      <c r="B57" s="38"/>
      <c r="C57" s="38"/>
      <c r="D57" s="38"/>
      <c r="E57" s="38"/>
      <c r="F57" s="38"/>
      <c r="G57" s="38"/>
      <c r="H57" s="38"/>
      <c r="I57" s="38"/>
      <c r="J57" s="38"/>
      <c r="K57" s="38"/>
      <c r="L57" s="38"/>
      <c r="M57" s="38"/>
      <c r="N57" s="38"/>
      <c r="O57" s="38"/>
    </row>
    <row r="58" spans="2:15">
      <c r="B58" s="38"/>
      <c r="C58" s="38"/>
      <c r="D58" s="38"/>
      <c r="E58" s="38"/>
      <c r="F58" s="38"/>
      <c r="G58" s="38"/>
      <c r="H58" s="38"/>
      <c r="I58" s="38"/>
      <c r="J58" s="38"/>
      <c r="K58" s="38"/>
      <c r="L58" s="38"/>
      <c r="M58" s="38"/>
      <c r="N58" s="38"/>
      <c r="O58" s="38"/>
    </row>
    <row r="59" spans="2:15">
      <c r="B59" s="38"/>
      <c r="C59" s="38"/>
      <c r="D59" s="38"/>
      <c r="E59" s="38"/>
      <c r="F59" s="38"/>
      <c r="G59" s="38"/>
      <c r="H59" s="38"/>
      <c r="I59" s="38"/>
      <c r="J59" s="38"/>
      <c r="K59" s="38"/>
      <c r="L59" s="38"/>
      <c r="M59" s="38"/>
      <c r="N59" s="38"/>
      <c r="O59" s="38"/>
    </row>
    <row r="60" spans="2:15">
      <c r="B60" s="38"/>
      <c r="C60" s="38"/>
      <c r="D60" s="38"/>
      <c r="E60" s="38"/>
      <c r="F60" s="38"/>
      <c r="G60" s="38"/>
      <c r="H60" s="38"/>
      <c r="I60" s="38"/>
      <c r="J60" s="38"/>
      <c r="K60" s="38"/>
      <c r="L60" s="38"/>
      <c r="M60" s="38"/>
      <c r="N60" s="38"/>
      <c r="O60" s="38"/>
    </row>
    <row r="61" spans="2:15">
      <c r="B61" s="38"/>
      <c r="C61" s="38"/>
      <c r="D61" s="38"/>
      <c r="E61" s="38"/>
      <c r="F61" s="38"/>
      <c r="G61" s="38"/>
      <c r="H61" s="38"/>
      <c r="I61" s="38"/>
      <c r="J61" s="38"/>
      <c r="K61" s="38"/>
      <c r="L61" s="38"/>
      <c r="M61" s="38"/>
      <c r="N61" s="38"/>
      <c r="O61" s="38"/>
    </row>
    <row r="62" spans="2:15">
      <c r="B62" s="38"/>
      <c r="C62" s="38"/>
      <c r="D62" s="38"/>
      <c r="E62" s="38"/>
      <c r="F62" s="38"/>
      <c r="G62" s="38"/>
      <c r="H62" s="38"/>
      <c r="I62" s="38"/>
      <c r="J62" s="38"/>
      <c r="K62" s="38"/>
      <c r="L62" s="38"/>
      <c r="M62" s="38"/>
      <c r="N62" s="38"/>
      <c r="O62" s="38"/>
    </row>
    <row r="63" spans="2:15">
      <c r="B63" s="38"/>
      <c r="C63" s="38"/>
      <c r="D63" s="38"/>
      <c r="E63" s="38"/>
      <c r="F63" s="38"/>
      <c r="G63" s="38"/>
      <c r="H63" s="38"/>
      <c r="I63" s="38"/>
      <c r="J63" s="38"/>
      <c r="K63" s="38"/>
      <c r="L63" s="38"/>
      <c r="M63" s="38"/>
      <c r="N63" s="38"/>
      <c r="O63" s="38"/>
    </row>
    <row r="64" spans="2:15">
      <c r="B64" s="38"/>
      <c r="C64" s="38"/>
      <c r="D64" s="38"/>
      <c r="E64" s="38"/>
      <c r="F64" s="38"/>
      <c r="G64" s="38"/>
      <c r="H64" s="38"/>
      <c r="I64" s="38"/>
      <c r="J64" s="38"/>
      <c r="K64" s="38"/>
      <c r="L64" s="38"/>
      <c r="M64" s="38"/>
      <c r="N64" s="38"/>
      <c r="O64" s="38"/>
    </row>
    <row r="65" spans="2:15">
      <c r="B65" s="38"/>
      <c r="C65" s="38"/>
      <c r="D65" s="38"/>
      <c r="E65" s="38"/>
      <c r="F65" s="38"/>
      <c r="G65" s="38"/>
      <c r="H65" s="38"/>
      <c r="I65" s="38"/>
      <c r="J65" s="38"/>
      <c r="K65" s="38"/>
      <c r="L65" s="38"/>
      <c r="M65" s="38"/>
      <c r="N65" s="38"/>
      <c r="O65" s="38"/>
    </row>
    <row r="66" spans="2:15">
      <c r="B66" s="38"/>
      <c r="C66" s="38"/>
      <c r="D66" s="38"/>
      <c r="E66" s="38"/>
      <c r="F66" s="38"/>
      <c r="G66" s="38"/>
      <c r="H66" s="38"/>
      <c r="I66" s="38"/>
      <c r="J66" s="38"/>
      <c r="K66" s="38"/>
      <c r="L66" s="38"/>
      <c r="M66" s="38"/>
      <c r="N66" s="38"/>
      <c r="O66" s="38"/>
    </row>
    <row r="67" spans="2:15">
      <c r="B67" s="38"/>
      <c r="C67" s="38"/>
      <c r="D67" s="38"/>
      <c r="E67" s="38"/>
      <c r="F67" s="38"/>
      <c r="G67" s="38"/>
      <c r="H67" s="38"/>
      <c r="I67" s="38"/>
      <c r="J67" s="38"/>
      <c r="K67" s="38"/>
      <c r="L67" s="38"/>
      <c r="M67" s="38"/>
      <c r="N67" s="38"/>
      <c r="O67" s="38"/>
    </row>
    <row r="68" spans="2:15">
      <c r="B68" s="38"/>
      <c r="C68" s="38"/>
      <c r="D68" s="38"/>
      <c r="E68" s="38"/>
      <c r="F68" s="38"/>
      <c r="G68" s="38"/>
      <c r="H68" s="38"/>
      <c r="I68" s="38"/>
      <c r="J68" s="38"/>
      <c r="K68" s="38"/>
      <c r="L68" s="38"/>
      <c r="M68" s="38"/>
      <c r="N68" s="38"/>
      <c r="O68" s="38"/>
    </row>
    <row r="69" spans="2:15">
      <c r="B69" s="38"/>
      <c r="C69" s="38"/>
      <c r="D69" s="38"/>
      <c r="E69" s="38"/>
      <c r="F69" s="38"/>
      <c r="G69" s="38"/>
      <c r="H69" s="38"/>
      <c r="I69" s="38"/>
      <c r="J69" s="38"/>
      <c r="K69" s="38"/>
      <c r="L69" s="38"/>
      <c r="M69" s="38"/>
      <c r="N69" s="38"/>
      <c r="O69" s="38"/>
    </row>
    <row r="70" spans="2:15">
      <c r="B70" s="38"/>
      <c r="C70" s="38"/>
      <c r="D70" s="38"/>
      <c r="E70" s="38"/>
      <c r="F70" s="38"/>
      <c r="G70" s="38"/>
      <c r="H70" s="38"/>
      <c r="I70" s="38"/>
      <c r="J70" s="38"/>
      <c r="K70" s="38"/>
      <c r="L70" s="38"/>
      <c r="M70" s="38"/>
      <c r="N70" s="38"/>
      <c r="O70" s="38"/>
    </row>
    <row r="71" spans="2:15">
      <c r="B71" s="38"/>
      <c r="C71" s="38"/>
      <c r="D71" s="38"/>
      <c r="E71" s="38"/>
      <c r="F71" s="38"/>
      <c r="G71" s="38"/>
      <c r="H71" s="38"/>
      <c r="I71" s="38"/>
      <c r="J71" s="38"/>
      <c r="K71" s="38"/>
      <c r="L71" s="38"/>
      <c r="M71" s="38"/>
      <c r="N71" s="38"/>
      <c r="O71" s="38"/>
    </row>
    <row r="72" spans="2:15">
      <c r="B72" s="38"/>
      <c r="C72" s="38"/>
      <c r="D72" s="38"/>
      <c r="E72" s="38"/>
      <c r="F72" s="38"/>
      <c r="G72" s="38"/>
      <c r="H72" s="38"/>
      <c r="I72" s="38"/>
      <c r="J72" s="38"/>
      <c r="K72" s="38"/>
      <c r="L72" s="38"/>
      <c r="M72" s="38"/>
      <c r="N72" s="38"/>
      <c r="O72" s="38"/>
    </row>
    <row r="73" spans="2:15">
      <c r="B73" s="38"/>
      <c r="C73" s="38"/>
      <c r="D73" s="38"/>
      <c r="E73" s="38"/>
      <c r="F73" s="38"/>
      <c r="G73" s="38"/>
      <c r="H73" s="38"/>
      <c r="I73" s="38"/>
      <c r="J73" s="38"/>
      <c r="K73" s="38"/>
      <c r="L73" s="38"/>
      <c r="M73" s="38"/>
      <c r="N73" s="38"/>
      <c r="O73" s="38"/>
    </row>
    <row r="74" spans="2:15">
      <c r="B74" s="38"/>
      <c r="C74" s="38"/>
      <c r="D74" s="38"/>
      <c r="E74" s="38"/>
      <c r="F74" s="38"/>
      <c r="G74" s="38"/>
      <c r="H74" s="38"/>
      <c r="I74" s="38"/>
      <c r="J74" s="38"/>
      <c r="K74" s="38"/>
      <c r="L74" s="38"/>
      <c r="M74" s="38"/>
      <c r="N74" s="38"/>
      <c r="O74" s="38"/>
    </row>
    <row r="75" spans="2:15">
      <c r="B75" s="38"/>
      <c r="C75" s="38"/>
      <c r="D75" s="38"/>
      <c r="E75" s="38"/>
      <c r="F75" s="38"/>
      <c r="G75" s="38"/>
      <c r="H75" s="38"/>
      <c r="I75" s="38"/>
      <c r="J75" s="38"/>
      <c r="K75" s="38"/>
      <c r="L75" s="38"/>
      <c r="M75" s="38"/>
      <c r="N75" s="38"/>
      <c r="O75" s="38"/>
    </row>
    <row r="76" spans="2:15">
      <c r="B76" s="38"/>
      <c r="C76" s="38"/>
      <c r="D76" s="38"/>
      <c r="E76" s="38"/>
      <c r="F76" s="38"/>
      <c r="G76" s="38"/>
      <c r="H76" s="38"/>
      <c r="I76" s="38"/>
      <c r="J76" s="38"/>
      <c r="K76" s="38"/>
      <c r="L76" s="38"/>
      <c r="M76" s="38"/>
      <c r="N76" s="38"/>
      <c r="O76" s="38"/>
    </row>
    <row r="77" spans="2:15">
      <c r="B77" s="38"/>
      <c r="C77" s="38"/>
      <c r="D77" s="38"/>
      <c r="E77" s="38"/>
      <c r="F77" s="38"/>
      <c r="G77" s="38"/>
      <c r="H77" s="38"/>
      <c r="I77" s="38"/>
      <c r="J77" s="38"/>
      <c r="K77" s="38"/>
      <c r="L77" s="38"/>
      <c r="M77" s="38"/>
      <c r="N77" s="38"/>
      <c r="O77" s="38"/>
    </row>
    <row r="78" spans="2:15">
      <c r="B78" s="38"/>
      <c r="C78" s="38"/>
      <c r="D78" s="38"/>
      <c r="E78" s="38"/>
      <c r="F78" s="38"/>
      <c r="G78" s="38"/>
      <c r="H78" s="38"/>
      <c r="I78" s="38"/>
      <c r="J78" s="38"/>
      <c r="K78" s="38"/>
      <c r="L78" s="38"/>
      <c r="M78" s="38"/>
      <c r="N78" s="38"/>
      <c r="O78" s="38"/>
    </row>
    <row r="79" spans="2:15">
      <c r="B79" s="38"/>
      <c r="C79" s="38"/>
      <c r="D79" s="38"/>
      <c r="E79" s="38"/>
      <c r="F79" s="38"/>
      <c r="G79" s="38"/>
      <c r="H79" s="38"/>
      <c r="I79" s="38"/>
      <c r="J79" s="38"/>
      <c r="K79" s="38"/>
      <c r="L79" s="38"/>
      <c r="M79" s="38"/>
      <c r="N79" s="38"/>
      <c r="O79" s="38"/>
    </row>
    <row r="80" spans="2:15" ht="15" customHeight="1">
      <c r="B80" s="38"/>
      <c r="C80" s="38"/>
      <c r="D80" s="38"/>
      <c r="E80" s="38"/>
      <c r="F80" s="38"/>
      <c r="G80" s="38"/>
      <c r="H80" s="38"/>
      <c r="I80" s="38"/>
      <c r="J80" s="38"/>
      <c r="K80" s="38"/>
      <c r="L80" s="38"/>
      <c r="M80" s="38"/>
      <c r="N80" s="38"/>
      <c r="O80" s="38"/>
    </row>
    <row r="81" spans="2:15">
      <c r="B81" s="38"/>
      <c r="C81" s="38"/>
      <c r="D81" s="38"/>
      <c r="E81" s="38"/>
      <c r="F81" s="38"/>
      <c r="G81" s="38"/>
      <c r="H81" s="38"/>
      <c r="I81" s="38"/>
      <c r="J81" s="38"/>
      <c r="K81" s="38"/>
      <c r="L81" s="38"/>
      <c r="M81" s="38"/>
      <c r="N81" s="38"/>
      <c r="O81" s="38"/>
    </row>
    <row r="82" spans="2:15">
      <c r="B82" s="38"/>
      <c r="C82" s="38"/>
      <c r="D82" s="38"/>
      <c r="E82" s="38"/>
      <c r="F82" s="38"/>
      <c r="G82" s="38"/>
      <c r="H82" s="38"/>
      <c r="I82" s="38"/>
      <c r="J82" s="38"/>
      <c r="K82" s="38"/>
      <c r="L82" s="38"/>
      <c r="M82" s="38"/>
      <c r="N82" s="38"/>
      <c r="O82" s="38"/>
    </row>
    <row r="83" spans="2:15">
      <c r="B83" s="38"/>
      <c r="C83" s="38"/>
      <c r="D83" s="38"/>
      <c r="E83" s="38"/>
      <c r="F83" s="38"/>
      <c r="G83" s="38"/>
      <c r="H83" s="38"/>
      <c r="I83" s="38"/>
      <c r="J83" s="38"/>
      <c r="K83" s="38"/>
      <c r="L83" s="38"/>
      <c r="M83" s="38"/>
      <c r="N83" s="38"/>
      <c r="O83" s="38"/>
    </row>
    <row r="84" spans="2:15">
      <c r="B84" s="38"/>
      <c r="C84" s="38"/>
      <c r="D84" s="38"/>
      <c r="E84" s="38"/>
      <c r="F84" s="38"/>
      <c r="G84" s="38"/>
      <c r="H84" s="38"/>
      <c r="I84" s="38"/>
      <c r="J84" s="38"/>
      <c r="K84" s="38"/>
      <c r="L84" s="38"/>
      <c r="M84" s="38"/>
      <c r="N84" s="38"/>
      <c r="O84" s="38"/>
    </row>
    <row r="85" spans="2:15">
      <c r="B85" s="38"/>
      <c r="C85" s="38"/>
      <c r="D85" s="38"/>
      <c r="E85" s="38"/>
      <c r="F85" s="38"/>
      <c r="G85" s="38"/>
      <c r="H85" s="38"/>
      <c r="I85" s="38"/>
      <c r="J85" s="38"/>
      <c r="K85" s="38"/>
      <c r="L85" s="38"/>
      <c r="M85" s="38"/>
      <c r="N85" s="38"/>
      <c r="O85" s="38"/>
    </row>
    <row r="86" spans="2:15">
      <c r="B86" s="38"/>
      <c r="C86" s="38"/>
      <c r="D86" s="38"/>
      <c r="E86" s="38"/>
      <c r="F86" s="38"/>
      <c r="G86" s="38"/>
      <c r="H86" s="38"/>
      <c r="I86" s="38"/>
      <c r="J86" s="38"/>
      <c r="K86" s="38"/>
      <c r="L86" s="38"/>
      <c r="M86" s="38"/>
      <c r="N86" s="38"/>
      <c r="O86" s="38"/>
    </row>
    <row r="87" spans="2:15">
      <c r="B87" s="38"/>
      <c r="C87" s="38"/>
      <c r="D87" s="38"/>
      <c r="E87" s="38"/>
      <c r="F87" s="38"/>
      <c r="G87" s="38"/>
      <c r="H87" s="38"/>
      <c r="I87" s="38"/>
      <c r="J87" s="38"/>
      <c r="K87" s="38"/>
      <c r="L87" s="38"/>
      <c r="M87" s="38"/>
      <c r="N87" s="38"/>
      <c r="O87" s="38"/>
    </row>
    <row r="88" spans="2:15">
      <c r="B88" s="38"/>
      <c r="C88" s="38"/>
      <c r="D88" s="38"/>
      <c r="E88" s="38"/>
      <c r="F88" s="38"/>
      <c r="G88" s="38"/>
      <c r="H88" s="38"/>
      <c r="I88" s="38"/>
      <c r="J88" s="38"/>
      <c r="K88" s="38"/>
      <c r="L88" s="38"/>
      <c r="M88" s="38"/>
      <c r="N88" s="38"/>
      <c r="O88" s="38"/>
    </row>
    <row r="89" spans="2:15">
      <c r="B89" s="38"/>
      <c r="C89" s="38"/>
      <c r="D89" s="38"/>
      <c r="E89" s="38"/>
      <c r="F89" s="38"/>
      <c r="G89" s="38"/>
      <c r="H89" s="38"/>
      <c r="I89" s="38"/>
      <c r="J89" s="38"/>
      <c r="K89" s="38"/>
      <c r="L89" s="38"/>
      <c r="M89" s="38"/>
      <c r="N89" s="38"/>
      <c r="O89" s="38"/>
    </row>
    <row r="90" spans="2:15">
      <c r="B90" s="38"/>
      <c r="C90" s="38"/>
      <c r="D90" s="38"/>
      <c r="E90" s="38"/>
      <c r="F90" s="38"/>
      <c r="G90" s="38"/>
      <c r="H90" s="38"/>
      <c r="I90" s="38"/>
      <c r="J90" s="38"/>
      <c r="K90" s="38"/>
      <c r="L90" s="38"/>
      <c r="M90" s="38"/>
      <c r="N90" s="38"/>
      <c r="O90" s="38"/>
    </row>
    <row r="91" spans="2:15">
      <c r="B91" s="38"/>
      <c r="C91" s="38"/>
      <c r="D91" s="38"/>
      <c r="E91" s="38"/>
      <c r="F91" s="38"/>
      <c r="G91" s="38"/>
      <c r="H91" s="38"/>
      <c r="I91" s="38"/>
      <c r="J91" s="38"/>
      <c r="K91" s="38"/>
      <c r="L91" s="38"/>
      <c r="M91" s="38"/>
      <c r="N91" s="38"/>
      <c r="O91" s="38"/>
    </row>
    <row r="92" spans="2:15">
      <c r="B92" s="38"/>
      <c r="C92" s="38"/>
      <c r="D92" s="38"/>
      <c r="E92" s="38"/>
      <c r="F92" s="38"/>
      <c r="G92" s="38"/>
      <c r="H92" s="38"/>
      <c r="I92" s="38"/>
      <c r="J92" s="38"/>
      <c r="K92" s="38"/>
      <c r="L92" s="38"/>
      <c r="M92" s="38"/>
      <c r="N92" s="38"/>
      <c r="O92" s="38"/>
    </row>
    <row r="93" spans="2:15">
      <c r="B93" s="38"/>
      <c r="C93" s="38"/>
      <c r="D93" s="38"/>
      <c r="E93" s="38"/>
      <c r="F93" s="38"/>
      <c r="G93" s="38"/>
      <c r="H93" s="38"/>
      <c r="I93" s="38"/>
      <c r="J93" s="38"/>
      <c r="K93" s="38"/>
      <c r="L93" s="38"/>
      <c r="M93" s="38"/>
      <c r="N93" s="38"/>
      <c r="O93" s="38"/>
    </row>
    <row r="94" spans="2:15">
      <c r="B94" s="38"/>
      <c r="C94" s="38"/>
      <c r="D94" s="38"/>
      <c r="E94" s="38"/>
      <c r="F94" s="38"/>
      <c r="G94" s="38"/>
      <c r="H94" s="38"/>
      <c r="I94" s="38"/>
      <c r="J94" s="38"/>
      <c r="K94" s="38"/>
      <c r="L94" s="38"/>
      <c r="M94" s="38"/>
      <c r="N94" s="38"/>
      <c r="O94" s="38"/>
    </row>
    <row r="95" spans="2:15">
      <c r="B95" s="38"/>
      <c r="C95" s="38"/>
      <c r="D95" s="38"/>
      <c r="E95" s="38"/>
      <c r="F95" s="38"/>
      <c r="G95" s="38"/>
      <c r="H95" s="38"/>
      <c r="I95" s="38"/>
      <c r="J95" s="38"/>
      <c r="K95" s="38"/>
      <c r="L95" s="38"/>
      <c r="M95" s="38"/>
      <c r="N95" s="38"/>
      <c r="O95" s="38"/>
    </row>
    <row r="96" spans="2:15">
      <c r="B96" s="38"/>
      <c r="C96" s="38"/>
      <c r="D96" s="38"/>
      <c r="E96" s="38"/>
      <c r="F96" s="38"/>
      <c r="G96" s="38"/>
      <c r="H96" s="38"/>
      <c r="I96" s="38"/>
      <c r="J96" s="38"/>
      <c r="K96" s="38"/>
      <c r="L96" s="38"/>
      <c r="M96" s="38"/>
      <c r="N96" s="38"/>
      <c r="O96" s="38"/>
    </row>
    <row r="97" spans="2:11">
      <c r="B97" s="38"/>
      <c r="C97" s="38"/>
      <c r="D97" s="38"/>
      <c r="E97" s="38"/>
      <c r="F97" s="38"/>
      <c r="G97" s="38"/>
      <c r="H97" s="38"/>
      <c r="I97" s="38"/>
      <c r="J97" s="38"/>
      <c r="K97" s="38"/>
    </row>
    <row r="98" spans="2:11">
      <c r="B98" s="38"/>
      <c r="C98" s="38"/>
      <c r="D98" s="38"/>
      <c r="E98" s="38"/>
      <c r="F98" s="38"/>
      <c r="G98" s="38"/>
      <c r="H98" s="38"/>
      <c r="I98" s="38"/>
      <c r="J98" s="38"/>
      <c r="K98" s="38"/>
    </row>
    <row r="99" spans="2:11">
      <c r="B99" s="38"/>
      <c r="C99" s="38"/>
      <c r="D99" s="38"/>
      <c r="E99" s="38"/>
      <c r="F99" s="38"/>
      <c r="G99" s="38"/>
      <c r="H99" s="38"/>
      <c r="I99" s="38"/>
      <c r="J99" s="38"/>
      <c r="K99" s="38"/>
    </row>
    <row r="100" spans="2:11" ht="15" customHeight="1">
      <c r="B100" s="38"/>
      <c r="C100" s="38"/>
      <c r="D100" s="38"/>
      <c r="E100" s="38"/>
      <c r="F100" s="38"/>
      <c r="G100" s="38"/>
      <c r="H100" s="38"/>
      <c r="I100" s="38"/>
      <c r="J100" s="38"/>
      <c r="K100" s="38"/>
    </row>
    <row r="101" spans="2:11" ht="26.25" customHeight="1">
      <c r="B101" s="38"/>
      <c r="C101" s="38"/>
      <c r="D101" s="38"/>
      <c r="E101" s="38"/>
      <c r="F101" s="38"/>
      <c r="G101" s="38"/>
      <c r="H101" s="38"/>
      <c r="I101" s="38"/>
      <c r="J101" s="38"/>
      <c r="K101" s="38"/>
    </row>
    <row r="102" spans="2:11" ht="15" customHeight="1">
      <c r="B102" s="38"/>
      <c r="C102" s="38"/>
      <c r="D102" s="38"/>
      <c r="E102" s="38"/>
      <c r="F102" s="38"/>
      <c r="G102" s="38"/>
      <c r="H102" s="38"/>
      <c r="I102" s="38"/>
      <c r="J102" s="38"/>
      <c r="K102" s="38"/>
    </row>
    <row r="103" spans="2:11" ht="25.5" customHeight="1">
      <c r="B103" s="38"/>
      <c r="C103" s="38"/>
      <c r="D103" s="38"/>
      <c r="E103" s="38"/>
      <c r="F103" s="38"/>
      <c r="G103" s="38"/>
      <c r="H103" s="38"/>
      <c r="I103" s="38"/>
      <c r="J103" s="38"/>
      <c r="K103" s="38"/>
    </row>
    <row r="104" spans="2:11">
      <c r="B104" s="38"/>
      <c r="C104" s="38"/>
      <c r="D104" s="38"/>
      <c r="E104" s="38"/>
      <c r="F104" s="38"/>
      <c r="G104" s="38"/>
      <c r="H104" s="38"/>
      <c r="I104" s="38"/>
      <c r="J104" s="38"/>
      <c r="K104" s="38"/>
    </row>
    <row r="105" spans="2:11">
      <c r="B105" s="38"/>
      <c r="C105" s="38"/>
      <c r="D105" s="38"/>
      <c r="E105" s="38"/>
      <c r="F105" s="38"/>
      <c r="G105" s="38"/>
      <c r="H105" s="38"/>
      <c r="I105" s="38"/>
      <c r="J105" s="38"/>
      <c r="K105" s="38"/>
    </row>
    <row r="106" spans="2:11" ht="15" customHeight="1">
      <c r="B106" s="38"/>
      <c r="C106" s="38"/>
      <c r="D106" s="38"/>
      <c r="E106" s="38"/>
      <c r="F106" s="38"/>
      <c r="G106" s="38"/>
      <c r="H106" s="38"/>
      <c r="I106" s="38"/>
      <c r="J106" s="38"/>
      <c r="K106" s="38"/>
    </row>
    <row r="107" spans="2:11" ht="15" customHeight="1">
      <c r="B107" s="38"/>
      <c r="C107" s="38"/>
      <c r="D107" s="38"/>
      <c r="E107" s="38"/>
      <c r="F107" s="38"/>
      <c r="G107" s="38"/>
      <c r="H107" s="38"/>
      <c r="I107" s="38"/>
      <c r="J107" s="38"/>
      <c r="K107" s="38"/>
    </row>
    <row r="108" spans="2:11" ht="15" customHeight="1">
      <c r="B108" s="38"/>
      <c r="C108" s="38"/>
      <c r="D108" s="38"/>
      <c r="E108" s="38"/>
      <c r="F108" s="38"/>
      <c r="G108" s="38"/>
      <c r="H108" s="38"/>
      <c r="I108" s="38"/>
      <c r="J108" s="38"/>
      <c r="K108" s="38"/>
    </row>
    <row r="109" spans="2:11" ht="15" customHeight="1">
      <c r="B109" s="38"/>
      <c r="C109" s="38"/>
      <c r="D109" s="38"/>
      <c r="E109" s="38"/>
      <c r="F109" s="38"/>
      <c r="G109" s="38"/>
      <c r="H109" s="38"/>
      <c r="I109" s="38"/>
      <c r="J109" s="38"/>
      <c r="K109" s="38"/>
    </row>
    <row r="110" spans="2:11">
      <c r="B110" s="38"/>
      <c r="C110" s="38"/>
      <c r="D110" s="38"/>
      <c r="E110" s="38"/>
      <c r="F110" s="38"/>
      <c r="G110" s="38"/>
      <c r="H110" s="38"/>
      <c r="I110" s="38"/>
      <c r="J110" s="38"/>
      <c r="K110" s="38"/>
    </row>
    <row r="111" spans="2:11">
      <c r="B111" s="38"/>
      <c r="C111" s="38"/>
      <c r="D111" s="38"/>
      <c r="E111" s="38"/>
      <c r="F111" s="38"/>
      <c r="G111" s="38"/>
      <c r="H111" s="38"/>
      <c r="I111" s="38"/>
      <c r="J111" s="38"/>
      <c r="K111" s="38"/>
    </row>
    <row r="112" spans="2:11">
      <c r="B112" s="38"/>
      <c r="C112" s="38"/>
      <c r="D112" s="38"/>
      <c r="E112" s="38"/>
      <c r="F112" s="38"/>
      <c r="G112" s="38"/>
      <c r="H112" s="38"/>
      <c r="I112" s="38"/>
      <c r="J112" s="38"/>
      <c r="K112" s="38"/>
    </row>
    <row r="113" spans="2:11">
      <c r="B113" s="38"/>
      <c r="C113" s="38"/>
      <c r="D113" s="38"/>
      <c r="E113" s="38"/>
      <c r="F113" s="38"/>
      <c r="G113" s="38"/>
      <c r="H113" s="38"/>
      <c r="I113" s="38"/>
      <c r="J113" s="38"/>
      <c r="K113" s="38"/>
    </row>
    <row r="114" spans="2:11">
      <c r="B114" s="38"/>
      <c r="C114" s="38"/>
      <c r="D114" s="38"/>
      <c r="E114" s="38"/>
      <c r="F114" s="38"/>
      <c r="G114" s="38"/>
      <c r="H114" s="38"/>
      <c r="I114" s="38"/>
      <c r="J114" s="38"/>
      <c r="K114" s="38"/>
    </row>
    <row r="115" spans="2:11">
      <c r="B115" s="38"/>
      <c r="C115" s="38"/>
      <c r="D115" s="38"/>
      <c r="E115" s="38"/>
      <c r="F115" s="38"/>
      <c r="G115" s="38"/>
      <c r="H115" s="38"/>
      <c r="I115" s="38"/>
      <c r="J115" s="38"/>
      <c r="K115" s="38"/>
    </row>
    <row r="116" spans="2:11">
      <c r="B116" s="38"/>
      <c r="C116" s="38"/>
      <c r="D116" s="38"/>
      <c r="E116" s="38"/>
      <c r="F116" s="38"/>
      <c r="G116" s="38"/>
      <c r="H116" s="38"/>
      <c r="I116" s="38"/>
      <c r="J116" s="38"/>
      <c r="K116" s="38"/>
    </row>
    <row r="117" spans="2:11">
      <c r="B117" s="38"/>
      <c r="C117" s="38"/>
      <c r="D117" s="38"/>
      <c r="E117" s="38"/>
      <c r="F117" s="38"/>
      <c r="G117" s="38"/>
      <c r="H117" s="38"/>
      <c r="I117" s="38"/>
      <c r="J117" s="38"/>
      <c r="K117" s="38"/>
    </row>
    <row r="118" spans="2:11">
      <c r="B118" s="38"/>
      <c r="C118" s="38"/>
      <c r="D118" s="38"/>
      <c r="E118" s="38"/>
      <c r="F118" s="38"/>
      <c r="G118" s="38"/>
      <c r="H118" s="38"/>
      <c r="I118" s="38"/>
      <c r="J118" s="38"/>
      <c r="K118" s="38"/>
    </row>
    <row r="119" spans="2:11">
      <c r="B119" s="38"/>
      <c r="C119" s="38"/>
      <c r="D119" s="38"/>
      <c r="E119" s="38"/>
      <c r="F119" s="38"/>
      <c r="G119" s="38"/>
      <c r="H119" s="38"/>
      <c r="I119" s="38"/>
      <c r="J119" s="38"/>
      <c r="K119" s="38"/>
    </row>
    <row r="120" spans="2:11">
      <c r="B120" s="38"/>
      <c r="C120" s="38"/>
      <c r="D120" s="38"/>
      <c r="E120" s="38"/>
      <c r="F120" s="38"/>
      <c r="G120" s="38"/>
      <c r="H120" s="38"/>
      <c r="I120" s="38"/>
      <c r="J120" s="38"/>
      <c r="K120" s="38"/>
    </row>
    <row r="121" spans="2:11">
      <c r="B121" s="38"/>
      <c r="C121" s="38"/>
      <c r="D121" s="38"/>
      <c r="E121" s="38"/>
      <c r="F121" s="38"/>
      <c r="G121" s="38"/>
      <c r="H121" s="38"/>
      <c r="I121" s="38"/>
      <c r="J121" s="38"/>
      <c r="K121" s="38"/>
    </row>
    <row r="122" spans="2:11">
      <c r="B122" s="38"/>
      <c r="C122" s="38"/>
      <c r="D122" s="38"/>
      <c r="E122" s="38"/>
      <c r="F122" s="38"/>
      <c r="G122" s="38"/>
      <c r="H122" s="38"/>
      <c r="I122" s="38"/>
      <c r="J122" s="38"/>
      <c r="K122" s="38"/>
    </row>
    <row r="123" spans="2:11">
      <c r="B123" s="38"/>
      <c r="C123" s="38"/>
      <c r="D123" s="38"/>
      <c r="E123" s="38"/>
      <c r="F123" s="38"/>
      <c r="G123" s="38"/>
      <c r="H123" s="38"/>
      <c r="I123" s="38"/>
      <c r="J123" s="38"/>
      <c r="K123" s="38"/>
    </row>
    <row r="124" spans="2:11">
      <c r="B124" s="38"/>
      <c r="C124" s="38"/>
      <c r="D124" s="38"/>
      <c r="E124" s="38"/>
      <c r="F124" s="38"/>
      <c r="G124" s="38"/>
      <c r="H124" s="38"/>
      <c r="I124" s="38"/>
      <c r="J124" s="38"/>
      <c r="K124" s="38"/>
    </row>
    <row r="125" spans="2:11">
      <c r="B125" s="38"/>
      <c r="C125" s="38"/>
      <c r="D125" s="38"/>
      <c r="E125" s="38"/>
      <c r="F125" s="38"/>
      <c r="G125" s="38"/>
      <c r="H125" s="38"/>
      <c r="I125" s="38"/>
      <c r="J125" s="38"/>
      <c r="K125" s="38"/>
    </row>
  </sheetData>
  <protectedRanges>
    <protectedRange algorithmName="SHA-512" hashValue="x98jdmxzK/sK0ahxxyLjyJrnfnCG21BwTWGWbaAEQzNOCMjIypAm5zZd97+ZKmk9McEgW9FFfVXH61BDRZLVaA==" saltValue="pQeYtr5BAbjmf07+U+lUcA==" spinCount="100000" sqref="G7:J7" name="Range1"/>
  </protectedRanges>
  <mergeCells count="4">
    <mergeCell ref="H52:I52"/>
    <mergeCell ref="H47:I47"/>
    <mergeCell ref="H50:I50"/>
    <mergeCell ref="H48:I48"/>
  </mergeCells>
  <conditionalFormatting sqref="E45:H45">
    <cfRule type="expression" dxfId="189" priority="56">
      <formula>E44&gt;0</formula>
    </cfRule>
  </conditionalFormatting>
  <conditionalFormatting sqref="E40:I40">
    <cfRule type="expression" dxfId="188" priority="57">
      <formula>E39&gt;0</formula>
    </cfRule>
  </conditionalFormatting>
  <conditionalFormatting sqref="G27:G29">
    <cfRule type="expression" dxfId="184" priority="5">
      <formula>$G$26&gt;0</formula>
    </cfRule>
  </conditionalFormatting>
  <conditionalFormatting sqref="G32">
    <cfRule type="expression" dxfId="183" priority="62">
      <formula>$G$31&gt;=1</formula>
    </cfRule>
  </conditionalFormatting>
  <conditionalFormatting sqref="G27:J29">
    <cfRule type="expression" dxfId="182" priority="2">
      <formula>G$26&lt;1</formula>
    </cfRule>
  </conditionalFormatting>
  <conditionalFormatting sqref="H27:H29">
    <cfRule type="expression" dxfId="178" priority="4">
      <formula>$H$26&gt;0</formula>
    </cfRule>
  </conditionalFormatting>
  <conditionalFormatting sqref="H32">
    <cfRule type="expression" dxfId="177" priority="60">
      <formula>$H$31&gt;=1</formula>
    </cfRule>
  </conditionalFormatting>
  <conditionalFormatting sqref="I27:I29">
    <cfRule type="expression" dxfId="171" priority="1">
      <formula>$I$26&gt;0</formula>
    </cfRule>
  </conditionalFormatting>
  <conditionalFormatting sqref="I32">
    <cfRule type="expression" dxfId="170" priority="61">
      <formula>$I$31&gt;=1</formula>
    </cfRule>
  </conditionalFormatting>
  <conditionalFormatting sqref="J27:J29">
    <cfRule type="expression" dxfId="165" priority="3">
      <formula>$J$26&gt;0</formula>
    </cfRule>
  </conditionalFormatting>
  <conditionalFormatting sqref="J32">
    <cfRule type="expression" dxfId="164" priority="59">
      <formula>$J$31&gt;=1</formula>
    </cfRule>
  </conditionalFormatting>
  <dataValidations xWindow="1074" yWindow="483" count="33">
    <dataValidation type="whole" operator="greaterThan" allowBlank="1" showInputMessage="1" showErrorMessage="1" promptTitle="Driveways" prompt="Count the number of driveways that will be impacted due to construction. If work is limited to within the existing roadway, this can be kept at zero. Dimensions for driveways are assumed in the calculations in the CIVIL tab and can be edited there." sqref="H31:J31" xr:uid="{AC584AF4-59E4-4DA3-AE69-AE364D93C796}">
      <formula1>0</formula1>
    </dataValidation>
    <dataValidation allowBlank="1" showInputMessage="1" showErrorMessage="1" error="Please enter your response as a positive percentage." sqref="E36:I36 E42:H42" xr:uid="{FC2F934E-D7C0-4870-91F4-C1B7A89D4EE0}"/>
    <dataValidation type="list" allowBlank="1" showInputMessage="1" showErrorMessage="1" sqref="G84:J85 G67:J67 G75:J76 G62:J63" xr:uid="{F39C9007-A204-4891-925C-1C574EB222FE}">
      <formula1>#REF!</formula1>
    </dataValidation>
    <dataValidation type="decimal" allowBlank="1" showInputMessage="1" showErrorMessage="1" errorTitle="Walls &gt;5'" error="Walls over 5-feet tall require the design of a structural engineer and should be estimated outside of this tool." sqref="E37:H37" xr:uid="{7365E46E-7A23-4A0B-ADD3-D27F59D7565C}">
      <formula1>0</formula1>
      <formula2>5</formula2>
    </dataValidation>
    <dataValidation type="decimal" allowBlank="1" showInputMessage="1" showErrorMessage="1" errorTitle="Curb &gt;2'" error="It is not advised to use granite curbing for a reveal greater than 2-feet high." promptTitle="Granite Curb Wall" prompt="Granite Curb can be installed in lieu of a wall where an elevation difference of 2-feet or less exists. This often occurs at the back of sidewalk in order to maintain ADA-compliant slopes." sqref="I37" xr:uid="{832C2C9C-CB09-4726-8B09-38C44C931D00}">
      <formula1>0</formula1>
      <formula2>2</formula2>
    </dataValidation>
    <dataValidation allowBlank="1" showInputMessage="1" showErrorMessage="1" prompt="The proposed width should be the existing width of pavement from curb-to-curb (including parking lanes, bicycle lanes, etc.). This may be equal to the row above if the curbline is remaining and there is no widening." sqref="J9" xr:uid="{51C886C9-FA72-433F-ACEC-66ED4609D2C1}"/>
    <dataValidation type="whole" allowBlank="1" showInputMessage="1" showErrorMessage="1" promptTitle="Ped Refuge Islands" prompt="Pedestrian refuge islands are protected spaces placed in the center of the street to facilitate bicycle and pedestrian crossings. " sqref="G18:J18" xr:uid="{28D15D7C-7DA2-4CE9-8B5C-4E8F7B3B0B17}">
      <formula1>0</formula1>
      <formula2>100</formula2>
    </dataValidation>
    <dataValidation allowBlank="1" showInputMessage="1" showErrorMessage="1" prompt="Check for ADA" sqref="K16" xr:uid="{79E1635C-4118-4631-8223-BF84D1774A7F}"/>
    <dataValidation allowBlank="1" showInputMessage="1" showErrorMessage="1" promptTitle="Roadway Length AutoFill" prompt="Roadway lengths are auto-filled from the Basic Project Data tab and should not need to be edited here." sqref="G7:J7" xr:uid="{A45489BD-9073-4475-B9F2-E085597DF48F}"/>
    <dataValidation allowBlank="1" showInputMessage="1" showErrorMessage="1" promptTitle="Existing Width" prompt="The existing width should be the existing width of pavement from curb-to-curb (including parking lanes, bicycle lanes, etc.)." sqref="G8:J8" xr:uid="{AADFFF5D-46E3-40FE-83BE-9B3D36449FA8}"/>
    <dataValidation allowBlank="1" showInputMessage="1" showErrorMessage="1" promptTitle="Curb Ramps" prompt="Total count of new curb ramps and existing curb ramps that must be reconstructed. Assume 2 ramps per crosswalk and crosswalks along all street crossings. Do not include driveways. Curb ramps that do not meet ADA requirements must be reconstructed." sqref="G16:J16" xr:uid="{F51BF4F9-07A6-4D17-90C9-1D16EF192E19}"/>
    <dataValidation allowBlank="1" showInputMessage="1" showErrorMessage="1" promptTitle="Proposed Width" prompt="The proposed width should be the proposed width of pavement from curb-to-curb (including parking lanes, bicycle lanes, etc.). This may be equal to the row above if the curbline is remaining and there is no widening." sqref="G9:I9" xr:uid="{750E4DD6-5DAE-4A12-814C-347A650AC022}"/>
    <dataValidation type="whole" allowBlank="1" showInputMessage="1" showErrorMessage="1" promptTitle="Curb Extensions" prompt="Curb extensions, also known as bulb-outs, extend the sidewalk or curb line out into the parking lane/shoulder to reduce the effective street width. If there is a curb ramp at the curb extension, that should be included in Question 7." sqref="G17:J17" xr:uid="{40EA9997-1CAA-4B82-8A7B-4E1E2C1F98BD}">
      <formula1>0</formula1>
      <formula2>100</formula2>
    </dataValidation>
    <dataValidation allowBlank="1" showInputMessage="1" showErrorMessage="1" promptTitle="Median Length" prompt="For a median that is longer than a typical pedestrian refuge island, which is assumed to be 20-feet long by 6-feet wide, input the total length along the roadway here." sqref="G20:J20" xr:uid="{9BE8DE07-1060-4ED7-94F7-878CD779B47D}"/>
    <dataValidation allowBlank="1" showInputMessage="1" showErrorMessage="1" promptTitle="Median Width" prompt="For a median that is wider than a typical pedestrian refuge island, which is assumed to be 20-feet long by 6-feet wide, input the proposed width along the roadway here." sqref="G21:J21" xr:uid="{61CB0073-2FB8-4BEE-A345-180812FD2577}"/>
    <dataValidation allowBlank="1" showInputMessage="1" showErrorMessage="1" promptTitle="Culverts" prompt="If there is a culvert underneath the road, which is most likely where the roadway crosses a stream or other water body, any road widening or addition of a sidewalk will require that culvert to be widened underneath, as well." sqref="G26:J26" xr:uid="{6E95FE6E-3049-4804-A544-90227EA93191}"/>
    <dataValidation allowBlank="1" showInputMessage="1" showErrorMessage="1" promptTitle="Raised Crossings" prompt="Enter the total length of raised crossings proposed along the roadway. A width will be assumed based on typical crosswalk widths. Raised crossings ramp the roadway up to sidewalk-level; vehicles slow down similar to a speed bump/table at the crosswalk." sqref="G34:J34" xr:uid="{97DED576-A63D-40D2-8360-5B8ABA43E6A8}"/>
    <dataValidation type="decimal" allowBlank="1" showInputMessage="1" showErrorMessage="1" promptTitle="Full Depth Percent" prompt="If Mixed Treatment is selected, input what percent of the total area per roadway will require full depth (may be due to road/box widening, signficant grade change, deep pavement deterioration, or other reasons)." sqref="G11:J11" xr:uid="{0E78655F-44DD-48E7-9CC1-A15BF8B0A5BB}">
      <formula1>0</formula1>
      <formula2>1</formula2>
    </dataValidation>
    <dataValidation type="whole" operator="greaterThanOrEqual" allowBlank="1" showInputMessage="1" showErrorMessage="1" promptTitle="Utility Poles" prompt="Utility poles are eligible for relocation where they directly conflict with a project, such as adding a sidewalk to a roadway where utility poles would make it non-compliant." sqref="H50:I50" xr:uid="{2A79FF0F-8805-49C1-8553-3978C72C2D56}">
      <formula1>0</formula1>
    </dataValidation>
    <dataValidation allowBlank="1" showInputMessage="1" showErrorMessage="1" error="Please enter your response as a positive percentage." promptTitle="Wall New Length" prompt="Input the total length of new walls to be constructed on this project. This should NOT include any walls that will be rebuilt." sqref="E38:H38" xr:uid="{BB8349AC-429D-46F0-97D4-07C877691834}"/>
    <dataValidation allowBlank="1" showInputMessage="1" showErrorMessage="1" error="Please enter your response as a positive percentage." promptTitle="Walls Existing Length" prompt="Input the total length of existing walls that exist on this project. This SHOULD include any walls that will be rebuilt." sqref="E39:F39 H39" xr:uid="{227854D6-EEFA-4041-887F-64B052B398C6}"/>
    <dataValidation allowBlank="1" showInputMessage="1" showErrorMessage="1" error="Please enter your response as a positive percentage." promptTitle="Walls Existing Length" prompt="Input the total length of existing granite curb currently being used on this project as a wall. This SHOULD include any curb that will be reset." sqref="I39" xr:uid="{1B18829D-837D-49F1-9CE2-A8BE117D9038}"/>
    <dataValidation allowBlank="1" showInputMessage="1" showErrorMessage="1" error="Please enter your response as a positive percentage." promptTitle="Wall New Length" prompt="Input the total length of new granite curb to be constructed on this project as a wall. This should NOT include any curb that will be reset." sqref="I38" xr:uid="{8AC68EA6-4F99-42B8-8D14-6B68E39EDF82}"/>
    <dataValidation allowBlank="1" showInputMessage="1" showErrorMessage="1" error="Please enter your response as a positive percentage." promptTitle="Walls Existing Length" prompt="Input the total length of existing walls that exist on this project." sqref="G39" xr:uid="{4A84553F-9B8F-4007-930C-E32B822C1311}"/>
    <dataValidation allowBlank="1" showInputMessage="1" showErrorMessage="1" error="Please enter your response as a positive percentage." promptTitle="Existing Guardrail Length" prompt="Input the total length of existing guardrail that exists on this project. This SHOULD include any guardrail that will be reset." sqref="E44" xr:uid="{FF716A3F-1845-4361-A362-E827267E52F3}"/>
    <dataValidation allowBlank="1" showInputMessage="1" showErrorMessage="1" error="Please enter your response as a positive percentage." promptTitle="New Guardrail Length" prompt="Input the total length of new guardrail to be installed on this project. This should NOT include any existing guardrail that will be reset." sqref="E43" xr:uid="{FA469BF9-D867-4284-BA20-2E257AECF462}"/>
    <dataValidation allowBlank="1" showInputMessage="1" showErrorMessage="1" error="Please enter your response as a positive percentage." promptTitle="Existing Fence Length" prompt="Input the total length of existing fence that exists on this project. This SHOULD include any fencing that will be reset." sqref="G44:H44" xr:uid="{F489105E-53D7-4AEC-B35A-4E8B96A0E205}"/>
    <dataValidation allowBlank="1" showInputMessage="1" showErrorMessage="1" error="Please enter your response as a positive percentage." promptTitle="New Fence Length" prompt="Input the total length of new fencing to be installed on this project. This should NOT include any existing fencing that will be reset." sqref="G43:H43" xr:uid="{8856BA31-C1FA-4DA1-AA26-F612611DA0A3}"/>
    <dataValidation allowBlank="1" showInputMessage="1" showErrorMessage="1" error="Please enter your response as a positive percentage." promptTitle="New Barrier Length" prompt="Input the total length of new concrete barriers to be installed on this project. " sqref="F43" xr:uid="{35C61FC8-C7F5-4C31-BC70-C222C4EEE735}"/>
    <dataValidation allowBlank="1" showInputMessage="1" showErrorMessage="1" error="Please enter your response as a positive percentage." promptTitle="Existing Barrier Length" prompt="Input the total length of existing concrete barriers that exist on this project. " sqref="F44" xr:uid="{1FEF90A7-1C61-43C2-8E94-CA0DF7F03DC7}"/>
    <dataValidation operator="greaterThanOrEqual" allowBlank="1" errorTitle="Path Width" error="Path width should be a minimum of 8 feet." sqref="H48" xr:uid="{6B3C605D-73B0-42B2-8DB4-9FDE2AA15831}"/>
    <dataValidation type="whole" operator="greaterThanOrEqual" allowBlank="1" showInputMessage="1" showErrorMessage="1" promptTitle="Driveways" prompt="Count the number of driveways that will be impacted due to construction. If work is limited to within the existing roadway, this can be kept at zero. Dimensions for driveways are assumed in the calculations in the CIVIL tab and can be edited there." sqref="G31" xr:uid="{1EF6A744-5207-446D-8763-716325C03C80}">
      <formula1>0</formula1>
    </dataValidation>
    <dataValidation type="list" operator="greaterThanOrEqual" allowBlank="1" showInputMessage="1" showErrorMessage="1" promptTitle="Road Signs" prompt="Road Signs should be relocated when the roadway is widened or curb lines are changed.  Road Signs should be replaced/updated when they are old and lacking retroreflectivity or for other changes in information that needs to be conveyed to road users._x000a__x000a_" sqref="H52:I52" xr:uid="{845FFCAD-E719-46A4-9426-2034073FB25C}">
      <formula1>Signs</formula1>
    </dataValidation>
  </dataValidations>
  <pageMargins left="0.75" right="0.75" top="1" bottom="1" header="0.5" footer="0.5"/>
  <pageSetup scale="85" fitToHeight="0" orientation="portrait" r:id="rId1"/>
  <headerFooter alignWithMargins="0">
    <oddHeader>&amp;C&amp;"Arial,Bold Italic"&amp;20DRAFT - TOOL STILL IN PRODUCTION</oddHeader>
    <oddFooter>&amp;C&amp;"Futura Bk BT,Book"Page &amp;P</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606" id="{00000000-000E-0000-0300-0000F5000000}">
            <xm:f>BasicProjectData!$I$20&lt;1</xm:f>
            <x14:dxf>
              <font>
                <strike/>
                <color rgb="FFFF0000"/>
              </font>
              <numFmt numFmtId="0" formatCode="General"/>
            </x14:dxf>
          </x14:cfRule>
          <x14:cfRule type="expression" priority="607" id="{00000000-000E-0000-0300-0000F6000000}">
            <xm:f>BasicProjectData!$I$20&gt;=1</xm:f>
            <x14:dxf>
              <font>
                <color theme="0"/>
              </font>
              <fill>
                <patternFill>
                  <bgColor theme="6"/>
                </patternFill>
              </fill>
              <border>
                <left style="thin">
                  <color auto="1"/>
                </left>
                <right style="thin">
                  <color auto="1"/>
                </right>
                <top style="thin">
                  <color auto="1"/>
                </top>
                <bottom style="thin">
                  <color auto="1"/>
                </bottom>
              </border>
            </x14:dxf>
          </x14:cfRule>
          <xm:sqref>G8:G10 G13:G14 G16:G18 G20:G22 G24:G26 G31 G34</xm:sqref>
        </x14:conditionalFormatting>
        <x14:conditionalFormatting xmlns:xm="http://schemas.microsoft.com/office/excel/2006/main">
          <x14:cfRule type="expression" priority="66" id="{46CB9AB5-9A3E-4EC5-A84D-2D378A658EAF}">
            <xm:f>$G$10=HIDDEN!$B$17</xm:f>
            <x14:dxf>
              <font>
                <color theme="0"/>
              </font>
              <fill>
                <patternFill>
                  <bgColor theme="6"/>
                </patternFill>
              </fill>
              <border>
                <left style="thin">
                  <color auto="1"/>
                </left>
                <right style="thin">
                  <color auto="1"/>
                </right>
                <top style="thin">
                  <color auto="1"/>
                </top>
                <bottom style="thin">
                  <color auto="1"/>
                </bottom>
              </border>
            </x14:dxf>
          </x14:cfRule>
          <xm:sqref>G11</xm:sqref>
        </x14:conditionalFormatting>
        <x14:conditionalFormatting xmlns:xm="http://schemas.microsoft.com/office/excel/2006/main">
          <x14:cfRule type="expression" priority="596" id="{00000000-000E-0000-0300-0000F8000000}">
            <xm:f>BasicProjectData!$I$20&lt;2</xm:f>
            <x14:dxf>
              <font>
                <strike/>
                <color rgb="FFFF0000"/>
              </font>
            </x14:dxf>
          </x14:cfRule>
          <x14:cfRule type="expression" priority="597" id="{00000000-000E-0000-0300-0000F9000000}">
            <xm:f>BasicProjectData!$I$20&gt;=2</xm:f>
            <x14:dxf>
              <fill>
                <patternFill>
                  <bgColor theme="6" tint="0.59996337778862885"/>
                </patternFill>
              </fill>
              <border>
                <left style="thin">
                  <color auto="1"/>
                </left>
                <right style="thin">
                  <color auto="1"/>
                </right>
                <top style="thin">
                  <color auto="1"/>
                </top>
                <bottom style="thin">
                  <color auto="1"/>
                </bottom>
              </border>
            </x14:dxf>
          </x14:cfRule>
          <xm:sqref>H8:H10 H13:H14 H16:H18 H20:H22 H24:H26 H31 H34</xm:sqref>
        </x14:conditionalFormatting>
        <x14:conditionalFormatting xmlns:xm="http://schemas.microsoft.com/office/excel/2006/main">
          <x14:cfRule type="expression" priority="64" id="{94D6452D-0A8F-42D8-89ED-923498B2787A}">
            <xm:f>$H$10=HIDDEN!$B$17</xm:f>
            <x14:dxf>
              <font>
                <color auto="1"/>
              </font>
              <fill>
                <patternFill>
                  <bgColor theme="6" tint="0.59996337778862885"/>
                </patternFill>
              </fill>
              <border>
                <left style="thin">
                  <color auto="1"/>
                </left>
                <right style="thin">
                  <color auto="1"/>
                </right>
                <top style="thin">
                  <color auto="1"/>
                </top>
                <bottom style="thin">
                  <color auto="1"/>
                </bottom>
              </border>
            </x14:dxf>
          </x14:cfRule>
          <xm:sqref>H11</xm:sqref>
        </x14:conditionalFormatting>
        <x14:conditionalFormatting xmlns:xm="http://schemas.microsoft.com/office/excel/2006/main">
          <x14:cfRule type="expression" priority="9" id="{D8E5EF6E-A6D5-4DBB-8FBF-B692B10D2571}">
            <xm:f>OR($H$47=HIDDEN!$H$27,$H$47=HIDDEN!$H$29,$H$47=HIDDEN!$H$30)</xm:f>
            <x14:dxf>
              <font>
                <strike val="0"/>
                <color auto="1"/>
              </font>
              <fill>
                <patternFill>
                  <bgColor theme="6" tint="0.59996337778862885"/>
                </patternFill>
              </fill>
              <border>
                <left style="thin">
                  <color auto="1"/>
                </left>
                <right style="thin">
                  <color auto="1"/>
                </right>
                <top style="thin">
                  <color auto="1"/>
                </top>
                <bottom style="thin">
                  <color auto="1"/>
                </bottom>
                <vertical/>
                <horizontal/>
              </border>
            </x14:dxf>
          </x14:cfRule>
          <xm:sqref>H48:I48</xm:sqref>
        </x14:conditionalFormatting>
        <x14:conditionalFormatting xmlns:xm="http://schemas.microsoft.com/office/excel/2006/main">
          <x14:cfRule type="expression" priority="20" id="{B2BEAA2A-633D-46ED-82C1-A9BD7DCE5279}">
            <xm:f>BasicProjectData!$I$20&lt;3</xm:f>
            <x14:dxf>
              <font>
                <color theme="0"/>
              </font>
            </x14:dxf>
          </x14:cfRule>
          <xm:sqref>I6</xm:sqref>
        </x14:conditionalFormatting>
        <x14:conditionalFormatting xmlns:xm="http://schemas.microsoft.com/office/excel/2006/main">
          <x14:cfRule type="expression" priority="614" id="{00000000-000E-0000-0300-0000F4000000}">
            <xm:f>BasicProjectData!$I$20&gt;=3</xm:f>
            <x14:dxf>
              <font>
                <color theme="0"/>
              </font>
              <fill>
                <patternFill>
                  <bgColor theme="6"/>
                </patternFill>
              </fill>
              <border>
                <left style="thin">
                  <color auto="1"/>
                </left>
                <right style="thin">
                  <color auto="1"/>
                </right>
                <top style="thin">
                  <color auto="1"/>
                </top>
                <bottom style="thin">
                  <color auto="1"/>
                </bottom>
              </border>
            </x14:dxf>
          </x14:cfRule>
          <x14:cfRule type="expression" priority="615" id="{00000000-000E-0000-0300-0000F7000000}">
            <xm:f>BasicProjectData!$I$20&lt;3</xm:f>
            <x14:dxf>
              <font>
                <strike/>
                <color rgb="FFFF0000"/>
              </font>
              <numFmt numFmtId="0" formatCode="General"/>
            </x14:dxf>
          </x14:cfRule>
          <xm:sqref>I8:I10 I13:I14 I16:I18 I20:I22 I24:I26 I31 I34</xm:sqref>
        </x14:conditionalFormatting>
        <x14:conditionalFormatting xmlns:xm="http://schemas.microsoft.com/office/excel/2006/main">
          <x14:cfRule type="expression" priority="65" id="{E1E22BCD-7307-4818-9578-D5DD9E5BA394}">
            <xm:f>$I$10=HIDDEN!$B$17</xm:f>
            <x14:dxf>
              <font>
                <color theme="0"/>
              </font>
              <fill>
                <patternFill>
                  <bgColor theme="6"/>
                </patternFill>
              </fill>
              <border>
                <left style="thin">
                  <color auto="1"/>
                </left>
                <right style="thin">
                  <color auto="1"/>
                </right>
                <top style="thin">
                  <color auto="1"/>
                </top>
                <bottom style="thin">
                  <color auto="1"/>
                </bottom>
              </border>
            </x14:dxf>
          </x14:cfRule>
          <xm:sqref>I11</xm:sqref>
        </x14:conditionalFormatting>
        <x14:conditionalFormatting xmlns:xm="http://schemas.microsoft.com/office/excel/2006/main">
          <x14:cfRule type="expression" priority="19" id="{E114633D-7DD1-40F5-9D16-93425648FB78}">
            <xm:f>BasicProjectData!$I$20&lt;4</xm:f>
            <x14:dxf>
              <font>
                <color theme="0"/>
              </font>
            </x14:dxf>
          </x14:cfRule>
          <xm:sqref>J6</xm:sqref>
        </x14:conditionalFormatting>
        <x14:conditionalFormatting xmlns:xm="http://schemas.microsoft.com/office/excel/2006/main">
          <x14:cfRule type="expression" priority="624" id="{00000000-000E-0000-0300-0000F2000000}">
            <xm:f>BasicProjectData!$I$20&lt;4</xm:f>
            <x14:dxf>
              <font>
                <strike/>
                <color rgb="FFFF0000"/>
              </font>
            </x14:dxf>
          </x14:cfRule>
          <x14:cfRule type="expression" priority="625" id="{00000000-000E-0000-0300-0000F3000000}">
            <xm:f>BasicProjectData!$I$20&gt;=4</xm:f>
            <x14:dxf>
              <fill>
                <patternFill>
                  <bgColor theme="6" tint="0.59996337778862885"/>
                </patternFill>
              </fill>
              <border>
                <left style="thin">
                  <color auto="1"/>
                </left>
                <right style="thin">
                  <color auto="1"/>
                </right>
                <top style="thin">
                  <color auto="1"/>
                </top>
                <bottom style="thin">
                  <color auto="1"/>
                </bottom>
              </border>
            </x14:dxf>
          </x14:cfRule>
          <xm:sqref>J8:J10 J13:J14 J16:J18 J20:J22 J24:J26 J31 J34</xm:sqref>
        </x14:conditionalFormatting>
        <x14:conditionalFormatting xmlns:xm="http://schemas.microsoft.com/office/excel/2006/main">
          <x14:cfRule type="expression" priority="63" id="{81B1BC56-5A22-461B-B3AF-59C66E6BA88F}">
            <xm:f>$J$10=HIDDEN!$B$17</xm:f>
            <x14:dxf>
              <font>
                <color auto="1"/>
              </font>
              <fill>
                <patternFill>
                  <bgColor theme="6" tint="0.59996337778862885"/>
                </patternFill>
              </fill>
              <border>
                <left style="thin">
                  <color auto="1"/>
                </left>
                <right style="thin">
                  <color auto="1"/>
                </right>
                <top style="thin">
                  <color auto="1"/>
                </top>
                <bottom style="thin">
                  <color auto="1"/>
                </bottom>
              </border>
            </x14:dxf>
          </x14:cfRule>
          <xm:sqref>J11</xm:sqref>
        </x14:conditionalFormatting>
      </x14:conditionalFormattings>
    </ext>
    <ext xmlns:x14="http://schemas.microsoft.com/office/spreadsheetml/2009/9/main" uri="{CCE6A557-97BC-4b89-ADB6-D9C93CAAB3DF}">
      <x14:dataValidations xmlns:xm="http://schemas.microsoft.com/office/excel/2006/main" xWindow="1074" yWindow="483" count="15">
        <x14:dataValidation type="list" errorStyle="information" allowBlank="1" showInputMessage="1" promptTitle="Existing Drainage" prompt="A closed drainage system typically includes catch basins, manholes and pipes to capture drainage along a curbline. An open drainage system uses swales and open channels to infiltrate drainage, and is more typical when there is no curb." xr:uid="{F902E5F1-E97E-4169-847E-A71F6EF7299F}">
          <x14:formula1>
            <xm:f>HIDDEN!$F$14:$F$15</xm:f>
          </x14:formula1>
          <xm:sqref>G24:J24</xm:sqref>
        </x14:dataValidation>
        <x14:dataValidation type="list" allowBlank="1" showInputMessage="1" showErrorMessage="1" promptTitle="Proposed Drainage" prompt="If there is existing closed drainage, paving will likely cause adjustments and relocating the curb line will likely cause relocations of structures. There is also an option for a new closed drainage system if the condition is uncurbed and open today. " xr:uid="{3CD12254-A057-4C48-BF12-11B8BA1B9C1E}">
          <x14:formula1>
            <xm:f>HIDDEN!$F$16:$F$19</xm:f>
          </x14:formula1>
          <xm:sqref>G25:J25</xm:sqref>
        </x14:dataValidation>
        <x14:dataValidation type="list" allowBlank="1" showInputMessage="1" showErrorMessage="1" promptTitle="Median Material" prompt="For medians larger than pedestrian refuge islands, select the proposed material here." xr:uid="{F5B5D1A8-5711-4180-906E-AFDF34423C2F}">
          <x14:formula1>
            <xm:f>HIDDEN!$C$28:$C$32</xm:f>
          </x14:formula1>
          <xm:sqref>G22:J22</xm:sqref>
        </x14:dataValidation>
        <x14:dataValidation type="list" allowBlank="1" showInputMessage="1" showErrorMessage="1" promptTitle="Driveway Material" prompt="Enter the material of the driveway to be reconstructed. This is the material of the driveway itself, not the sidewalk or shared use path that may be proposed across it." xr:uid="{AB33C65C-0304-434B-9C51-EFAC8EF23088}">
          <x14:formula1>
            <xm:f>HIDDEN!$C$34:$C$35</xm:f>
          </x14:formula1>
          <xm:sqref>G32:J32</xm:sqref>
        </x14:dataValidation>
        <x14:dataValidation type="list" allowBlank="1" showInputMessage="1" showErrorMessage="1" promptTitle="Pavement Treatment" prompt="Full depth assumes sub-base, base and pavement layers. Resurfacing assumes removal of the top layer of pavement and re-paving. Mixed treatment includes some resurfacing and some full depth. Pavement repairs includes various preservation techniques." xr:uid="{882E7A28-AA14-4F13-BA7A-D9D140D2E555}">
          <x14:formula1>
            <xm:f>HIDDEN!$B$14:$B$18</xm:f>
          </x14:formula1>
          <xm:sqref>G10:J10</xm:sqref>
        </x14:dataValidation>
        <x14:dataValidation type="list" allowBlank="1" showInputMessage="1" showErrorMessage="1" promptTitle="Culvert Type" prompt="Inspect existing culverts prior to construction. Note the material, shape, and size. For pipes, less than 4' diamater is considered small , 4-8' is medium, and greater than 8' is large. For box culverts, greater than 10' is considered large." xr:uid="{9A4869E8-E689-4162-A4C7-EC6DC3DD66BA}">
          <x14:formula1>
            <xm:f>HIDDEN!$D$29:$D$34</xm:f>
          </x14:formula1>
          <xm:sqref>G28:J28</xm:sqref>
        </x14:dataValidation>
        <x14:dataValidation type="list" allowBlank="1" showInputMessage="1" showErrorMessage="1" promptTitle="Curbing Right" prompt="Identify the type of curb to be installed on the opposite side of the roadway that you have identified as &quot;left&quot;. If curb is going to be left in place, select &quot;None/Retain.&quot; If the existing curb will be removed and re-installed, select &quot;R&amp;R Exist.&quot;" xr:uid="{FD46C627-8A10-4294-97CA-575973041A06}">
          <x14:formula1>
            <xm:f>HIDDEN!$B$23:$B$29</xm:f>
          </x14:formula1>
          <xm:sqref>G14:J14</xm:sqref>
        </x14:dataValidation>
        <x14:dataValidation type="list" allowBlank="1" showInputMessage="1" showErrorMessage="1" error="Please enter your response as a positive percentage." promptTitle="Existing Fence Options" prompt="Choose what will happen to the existing fencing on this project. There is a cost associated with removing fencing. Retaining the fencing would leave it in place and have no associated cost." xr:uid="{D657E043-1D8C-4CC8-8953-26BCA6CC784D}">
          <x14:formula1>
            <xm:f>HIDDEN!$B$32:$B$34</xm:f>
          </x14:formula1>
          <xm:sqref>G45:H45</xm:sqref>
        </x14:dataValidation>
        <x14:dataValidation type="list" allowBlank="1" showInputMessage="1" showErrorMessage="1" error="Please enter your response as a positive percentage." promptTitle="Existing Barrier Options" prompt="Choose what will happen to existing concrete barriers on this project. There is a cost associated with removing barriers; retaining the barriers would leave them in place and have no associated cost. Rebuilding concrete is not economical or constructable." xr:uid="{6309CA43-A9C3-43F4-B919-47DFF08621D8}">
          <x14:formula1>
            <xm:f>HIDDEN!$B$32:$B$33</xm:f>
          </x14:formula1>
          <xm:sqref>F45</xm:sqref>
        </x14:dataValidation>
        <x14:dataValidation type="list" allowBlank="1" showInputMessage="1" showErrorMessage="1" promptTitle="Curbing Left" prompt="Identify the type of curb to be installed on the left side of the roadway. If curb is going to be left in place, select &quot;None/Retain.&quot; If the existing curb will be removed and re-installed, select &quot;R&amp;R Exist.&quot;" xr:uid="{5EC2D3EB-963E-407A-87D7-25223C4A5456}">
          <x14:formula1>
            <xm:f>HIDDEN!$B$23:$B$29</xm:f>
          </x14:formula1>
          <xm:sqref>G13:J13</xm:sqref>
        </x14:dataValidation>
        <x14:dataValidation type="list" allowBlank="1" showInputMessage="1" showErrorMessage="1" error="Please enter your response as a positive percentage." promptTitle="Existing Wall Options" prompt="Choose what will happen to the existing walls on this project. There is a cost associated with removing walls. Retaining the wall would leave it in place and have no associated cost." xr:uid="{703FA0B1-ADD7-4E81-A777-BCF5610EFB17}">
          <x14:formula1>
            <xm:f>HIDDEN!$B$32:$B$34</xm:f>
          </x14:formula1>
          <xm:sqref>E40:F40 H40:I40</xm:sqref>
        </x14:dataValidation>
        <x14:dataValidation type="list" allowBlank="1" showInputMessage="1" showErrorMessage="1" error="Please enter your response as a positive percentage." promptTitle="Existing Wall Options" prompt="Choose what will happen to the existing walls on this project. There is a cost associated with removing walls. Retaining the wall would leave it in place and have no associated cost. Rebuilding concrete walls is not economical or constructable." xr:uid="{5A10FAEF-73DC-4FCB-8ECC-009E6D1BC229}">
          <x14:formula1>
            <xm:f>HIDDEN!$B$32:$B$33</xm:f>
          </x14:formula1>
          <xm:sqref>G40</xm:sqref>
        </x14:dataValidation>
        <x14:dataValidation type="list" allowBlank="1" showInputMessage="1" showErrorMessage="1" error="Please enter your response as a positive percentage." promptTitle="Existing Rail Options" prompt="Choose what will happen to the existing guardrail on this project. There is a cost associated with removing guardrail. Retaining the guardrail would leave it in place and have no associated cost. If resetting, guardrail needs to meet all requirements." xr:uid="{B259FC72-3FD3-452C-A185-94760AEAC672}">
          <x14:formula1>
            <xm:f>HIDDEN!$B$32:$B$34</xm:f>
          </x14:formula1>
          <xm:sqref>E45</xm:sqref>
        </x14:dataValidation>
        <x14:dataValidation type="list" allowBlank="1" showInputMessage="1" showErrorMessage="1" xr:uid="{BA9F3CE4-9926-4F82-9B06-26B17B682A37}">
          <x14:formula1>
            <xm:f>HIDDEN!$H$26:$H$30</xm:f>
          </x14:formula1>
          <xm:sqref>H47:I47</xm:sqref>
        </x14:dataValidation>
        <x14:dataValidation type="list" allowBlank="1" showInputMessage="1" showErrorMessage="1" promptTitle="Headwall Type" prompt="Inspect existing headwall prior to construction. Note the material of the headwall. Consider the size of the existing headwall when deciding whether to choose a precast headwall or a cast-in-place (CIP) headwall." xr:uid="{48C05A1F-B242-478B-AC96-0187F5BE7AD9}">
          <x14:formula1>
            <xm:f>HIDDEN!$D$37:$D$40</xm:f>
          </x14:formula1>
          <xm:sqref>G29:J29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7ADF5-E07B-4F34-85A0-BDE854EAC1E8}">
  <sheetPr codeName="Sheet33">
    <tabColor theme="7"/>
    <pageSetUpPr fitToPage="1"/>
  </sheetPr>
  <dimension ref="B1:Q49"/>
  <sheetViews>
    <sheetView view="pageBreakPreview" topLeftCell="A3" zoomScale="115" zoomScaleNormal="90" zoomScaleSheetLayoutView="115" workbookViewId="0">
      <selection activeCell="O30" sqref="O30"/>
    </sheetView>
  </sheetViews>
  <sheetFormatPr defaultColWidth="9.140625" defaultRowHeight="15"/>
  <cols>
    <col min="1" max="1" width="9" style="40" customWidth="1"/>
    <col min="2" max="2" width="3" style="54" customWidth="1"/>
    <col min="3" max="4" width="10.7109375" style="40" customWidth="1"/>
    <col min="5" max="6" width="11.85546875" style="40" customWidth="1"/>
    <col min="7" max="7" width="10.7109375" style="40" customWidth="1"/>
    <col min="8" max="9" width="11.7109375" style="40" customWidth="1"/>
    <col min="10" max="10" width="10.7109375" style="40" customWidth="1"/>
    <col min="11" max="11" width="3.28515625" style="40" customWidth="1"/>
    <col min="12" max="12" width="6.85546875" style="40" customWidth="1"/>
    <col min="13" max="16384" width="9.140625" style="40"/>
  </cols>
  <sheetData>
    <row r="1" spans="2:17" ht="15.75" thickBot="1">
      <c r="E1" s="1079" t="s">
        <v>1639</v>
      </c>
      <c r="F1" s="1084">
        <f>BasicProjectData!I20</f>
        <v>0</v>
      </c>
      <c r="G1" s="1080" t="s">
        <v>1640</v>
      </c>
    </row>
    <row r="2" spans="2:17" ht="15" customHeight="1">
      <c r="B2" s="1048" t="s">
        <v>3940</v>
      </c>
      <c r="C2" s="1049"/>
      <c r="D2" s="1049"/>
      <c r="E2" s="1049"/>
      <c r="F2" s="1049"/>
      <c r="G2" s="1049"/>
      <c r="H2" s="1049"/>
      <c r="I2" s="1049"/>
      <c r="J2" s="1049"/>
      <c r="K2" s="1050"/>
    </row>
    <row r="3" spans="2:17" ht="15" customHeight="1" thickBot="1">
      <c r="B3" s="1051"/>
      <c r="C3" s="1052"/>
      <c r="D3" s="1052"/>
      <c r="E3" s="1052"/>
      <c r="F3" s="1052"/>
      <c r="G3" s="1052"/>
      <c r="H3" s="1052"/>
      <c r="I3" s="1052"/>
      <c r="J3" s="1052"/>
      <c r="K3" s="1053"/>
    </row>
    <row r="4" spans="2:17" ht="14.1" customHeight="1">
      <c r="B4" s="45"/>
      <c r="C4" s="544" t="str">
        <f ca="1">INSTRUCTIONS!C8</f>
        <v xml:space="preserve"> </v>
      </c>
      <c r="D4" s="544"/>
      <c r="E4" s="544"/>
      <c r="F4" s="544"/>
      <c r="G4" s="544"/>
      <c r="H4" s="544"/>
      <c r="I4" s="544"/>
      <c r="J4" s="544"/>
      <c r="K4" s="47"/>
    </row>
    <row r="5" spans="2:17" ht="15" customHeight="1">
      <c r="B5" s="43"/>
      <c r="C5" s="1047" t="s">
        <v>1561</v>
      </c>
      <c r="D5" s="1047"/>
      <c r="E5" s="1047"/>
      <c r="F5" s="1047"/>
      <c r="G5" s="1047"/>
      <c r="H5" s="1047"/>
      <c r="I5" s="1047"/>
      <c r="J5" s="1047"/>
      <c r="K5" s="48"/>
    </row>
    <row r="6" spans="2:17" ht="15" customHeight="1">
      <c r="B6" s="73" t="s">
        <v>839</v>
      </c>
      <c r="C6" s="74"/>
      <c r="D6" s="75"/>
      <c r="E6" s="75"/>
      <c r="F6" s="76"/>
      <c r="G6" s="75"/>
      <c r="H6" s="75"/>
      <c r="I6" s="77"/>
      <c r="J6" s="77"/>
      <c r="K6" s="78"/>
    </row>
    <row r="7" spans="2:17" ht="191.25" customHeight="1">
      <c r="B7" s="43"/>
      <c r="D7" s="79"/>
      <c r="E7" s="80"/>
      <c r="I7" s="81"/>
      <c r="K7" s="48"/>
      <c r="M7" s="82"/>
    </row>
    <row r="8" spans="2:17" ht="25.5">
      <c r="B8" s="83" t="s">
        <v>1621</v>
      </c>
      <c r="G8" s="638" t="str">
        <f>BasicProjectData!G21</f>
        <v>Major Roadway</v>
      </c>
      <c r="H8" s="638" t="str">
        <f>BasicProjectData!H21</f>
        <v>Roadway 2 Name</v>
      </c>
      <c r="I8" s="638" t="str">
        <f>BasicProjectData!I21</f>
        <v>Roadway 3 Name</v>
      </c>
      <c r="J8" s="638" t="str">
        <f>BasicProjectData!J21</f>
        <v>Roadway 4 Name</v>
      </c>
      <c r="K8" s="44"/>
    </row>
    <row r="9" spans="2:17" ht="14.1" customHeight="1">
      <c r="B9" s="49">
        <v>1</v>
      </c>
      <c r="C9" s="38" t="s">
        <v>3867</v>
      </c>
      <c r="D9" s="38"/>
      <c r="E9" s="85"/>
      <c r="F9" s="38"/>
      <c r="G9" s="53"/>
      <c r="H9" s="53"/>
      <c r="I9" s="53"/>
      <c r="J9" s="53"/>
      <c r="K9" s="44"/>
    </row>
    <row r="10" spans="2:17" ht="14.1" customHeight="1">
      <c r="B10" s="43"/>
      <c r="F10" s="86" t="s">
        <v>750</v>
      </c>
      <c r="G10" s="53"/>
      <c r="H10" s="53"/>
      <c r="I10" s="53"/>
      <c r="J10" s="53"/>
      <c r="K10" s="44"/>
      <c r="Q10" s="87"/>
    </row>
    <row r="11" spans="2:17">
      <c r="B11" s="43"/>
      <c r="F11" s="86" t="s">
        <v>1211</v>
      </c>
      <c r="G11" s="53"/>
      <c r="H11" s="53"/>
      <c r="I11" s="53"/>
      <c r="J11" s="53"/>
      <c r="K11" s="44"/>
      <c r="Q11" s="87"/>
    </row>
    <row r="12" spans="2:17">
      <c r="B12" s="43"/>
      <c r="F12" s="86" t="s">
        <v>3868</v>
      </c>
      <c r="G12" s="53"/>
      <c r="H12" s="53"/>
      <c r="I12" s="53"/>
      <c r="J12" s="53"/>
      <c r="K12" s="44"/>
      <c r="Q12" s="87"/>
    </row>
    <row r="13" spans="2:17">
      <c r="B13" s="43"/>
      <c r="F13" s="86" t="s">
        <v>1622</v>
      </c>
      <c r="G13" s="53"/>
      <c r="H13" s="53"/>
      <c r="I13" s="53"/>
      <c r="J13" s="53"/>
      <c r="K13" s="44"/>
      <c r="M13" s="64"/>
      <c r="Q13" s="87"/>
    </row>
    <row r="14" spans="2:17">
      <c r="B14" s="43"/>
      <c r="K14" s="44"/>
      <c r="M14" s="64"/>
      <c r="Q14" s="87"/>
    </row>
    <row r="15" spans="2:17" s="57" customFormat="1">
      <c r="B15" s="49">
        <v>2</v>
      </c>
      <c r="C15" s="38" t="s">
        <v>3869</v>
      </c>
      <c r="D15" s="40"/>
      <c r="E15" s="40"/>
      <c r="F15" s="40"/>
      <c r="G15" s="53"/>
      <c r="H15" s="53"/>
      <c r="I15" s="53"/>
      <c r="J15" s="53"/>
      <c r="K15" s="44"/>
      <c r="P15" s="40"/>
    </row>
    <row r="16" spans="2:17">
      <c r="B16" s="43"/>
      <c r="F16" s="86" t="s">
        <v>751</v>
      </c>
      <c r="G16" s="53"/>
      <c r="H16" s="53"/>
      <c r="I16" s="53"/>
      <c r="J16" s="53"/>
      <c r="K16" s="44"/>
      <c r="M16" s="64"/>
    </row>
    <row r="17" spans="2:17" ht="15" customHeight="1">
      <c r="B17" s="50"/>
      <c r="F17" s="86" t="s">
        <v>1212</v>
      </c>
      <c r="G17" s="53"/>
      <c r="H17" s="53"/>
      <c r="I17" s="53"/>
      <c r="J17" s="53"/>
      <c r="K17" s="44"/>
    </row>
    <row r="18" spans="2:17" ht="15" customHeight="1">
      <c r="B18" s="43"/>
      <c r="F18" s="86" t="s">
        <v>1641</v>
      </c>
      <c r="G18" s="53"/>
      <c r="H18" s="53"/>
      <c r="I18" s="53"/>
      <c r="J18" s="53"/>
      <c r="K18" s="44"/>
    </row>
    <row r="19" spans="2:17" ht="15" customHeight="1">
      <c r="B19" s="50"/>
      <c r="F19" s="86" t="s">
        <v>3729</v>
      </c>
      <c r="G19" s="53"/>
      <c r="H19" s="53"/>
      <c r="I19" s="53"/>
      <c r="J19" s="53"/>
      <c r="K19" s="44"/>
    </row>
    <row r="20" spans="2:17">
      <c r="B20" s="83" t="s">
        <v>1623</v>
      </c>
      <c r="G20" s="84"/>
      <c r="H20" s="84"/>
      <c r="I20" s="84"/>
      <c r="J20" s="84"/>
      <c r="K20" s="44"/>
    </row>
    <row r="21" spans="2:17" ht="14.1" customHeight="1">
      <c r="B21" s="49">
        <v>3</v>
      </c>
      <c r="C21" s="38" t="s">
        <v>3867</v>
      </c>
      <c r="D21" s="38"/>
      <c r="E21" s="85"/>
      <c r="F21" s="38"/>
      <c r="G21" s="53"/>
      <c r="H21" s="53"/>
      <c r="I21" s="53"/>
      <c r="J21" s="53"/>
      <c r="K21" s="44"/>
    </row>
    <row r="22" spans="2:17" ht="14.1" customHeight="1">
      <c r="B22" s="43"/>
      <c r="F22" s="86" t="s">
        <v>750</v>
      </c>
      <c r="G22" s="53"/>
      <c r="H22" s="53"/>
      <c r="I22" s="53"/>
      <c r="J22" s="53"/>
      <c r="K22" s="44"/>
      <c r="Q22" s="87"/>
    </row>
    <row r="23" spans="2:17">
      <c r="B23" s="43"/>
      <c r="F23" s="86" t="s">
        <v>1211</v>
      </c>
      <c r="G23" s="53"/>
      <c r="H23" s="53"/>
      <c r="I23" s="53"/>
      <c r="J23" s="53"/>
      <c r="K23" s="44"/>
      <c r="Q23" s="87"/>
    </row>
    <row r="24" spans="2:17">
      <c r="B24" s="43"/>
      <c r="F24" s="86" t="s">
        <v>3868</v>
      </c>
      <c r="G24" s="53"/>
      <c r="H24" s="53"/>
      <c r="I24" s="53"/>
      <c r="J24" s="53"/>
      <c r="K24" s="44"/>
      <c r="Q24" s="87"/>
    </row>
    <row r="25" spans="2:17">
      <c r="B25" s="43"/>
      <c r="F25" s="86" t="s">
        <v>1622</v>
      </c>
      <c r="G25" s="53"/>
      <c r="H25" s="53"/>
      <c r="I25" s="53"/>
      <c r="J25" s="53"/>
      <c r="K25" s="44"/>
      <c r="Q25" s="87"/>
    </row>
    <row r="26" spans="2:17">
      <c r="B26" s="43"/>
      <c r="K26" s="44"/>
      <c r="M26" s="64"/>
      <c r="Q26" s="87"/>
    </row>
    <row r="27" spans="2:17" s="57" customFormat="1">
      <c r="B27" s="49">
        <v>4</v>
      </c>
      <c r="C27" s="38" t="s">
        <v>3869</v>
      </c>
      <c r="D27" s="40"/>
      <c r="E27" s="40"/>
      <c r="F27" s="40"/>
      <c r="G27" s="53"/>
      <c r="H27" s="53"/>
      <c r="I27" s="53"/>
      <c r="J27" s="53"/>
      <c r="K27" s="44"/>
      <c r="P27" s="40"/>
    </row>
    <row r="28" spans="2:17">
      <c r="B28" s="43"/>
      <c r="F28" s="86" t="s">
        <v>751</v>
      </c>
      <c r="G28" s="53"/>
      <c r="H28" s="53"/>
      <c r="I28" s="53"/>
      <c r="J28" s="53"/>
      <c r="K28" s="44"/>
    </row>
    <row r="29" spans="2:17" ht="15" customHeight="1">
      <c r="B29" s="50"/>
      <c r="F29" s="86" t="s">
        <v>1212</v>
      </c>
      <c r="G29" s="53"/>
      <c r="H29" s="53"/>
      <c r="I29" s="53"/>
      <c r="J29" s="53"/>
      <c r="K29" s="44"/>
      <c r="M29" s="40" t="s">
        <v>3730</v>
      </c>
    </row>
    <row r="30" spans="2:17" ht="15" customHeight="1">
      <c r="B30" s="43"/>
      <c r="F30" s="86" t="s">
        <v>1641</v>
      </c>
      <c r="G30" s="53"/>
      <c r="H30" s="53"/>
      <c r="I30" s="53"/>
      <c r="J30" s="53"/>
      <c r="K30" s="44"/>
    </row>
    <row r="31" spans="2:17" ht="15" customHeight="1">
      <c r="B31" s="50"/>
      <c r="F31" s="86" t="s">
        <v>3729</v>
      </c>
      <c r="G31" s="53"/>
      <c r="H31" s="53"/>
      <c r="I31" s="53"/>
      <c r="J31" s="53"/>
      <c r="K31" s="44"/>
    </row>
    <row r="32" spans="2:17" ht="15" customHeight="1">
      <c r="B32" s="50"/>
      <c r="F32" s="86"/>
      <c r="G32" s="86"/>
      <c r="H32" s="86"/>
      <c r="I32" s="86"/>
      <c r="J32" s="86"/>
      <c r="K32" s="44"/>
    </row>
    <row r="33" spans="2:13" ht="15" customHeight="1">
      <c r="B33" s="627"/>
      <c r="C33" s="622"/>
      <c r="D33" s="628"/>
      <c r="E33" s="629" t="str">
        <f>IF(OR(G15="None",H9="None",G21="None",G27="None",H15="None",I9="None",J9="None",I15="None",J15="None",H21="None",I21="None",J21="None",H27="None",I27="None",J27="None",G9="None",AND($G$21=HIDDEN!$D$14,$G$27=HIDDEN!$D$14),AND($H$21=HIDDEN!$D$14,$H$27=HIDDEN!$D$14),AND($I$21=HIDDEN!$D$14,$I$27=HIDDEN!$D$14),AND($J$21=HIDDEN!$D$14,$J$27=HIDDEN!$D$14),AND($G$9=HIDDEN!$D$14,$G$15=HIDDEN!$D$14),AND($H$9=HIDDEN!$D$14,$H$15=HIDDEN!$D$14),AND($I$9=HIDDEN!$D$14,$I$15=HIDDEN!$D$14),AND($J$9=HIDDEN!$D$14,$J$15=HIDDEN!$D$14)),"Delete out any text that looks like this:","")</f>
        <v/>
      </c>
      <c r="F33" s="630" t="str">
        <f>IF(OR(G15="None",H9="None",G21="None",G27="None",H15="None",I9="None",J9="None",I15="None",J15="None",H21="None",I21="None",J21="None",H27="None",I27="None",J27="None",G9="None",AND($G$21=HIDDEN!$D$14,$G$27=HIDDEN!$D$14),AND($H$21=HIDDEN!$D$14,$H$27=HIDDEN!$D$14),AND($I$21=HIDDEN!$D$14,$I$27=HIDDEN!$D$14),AND($J$21=HIDDEN!$D$14,$J$27=HIDDEN!$D$14),AND($G$9=HIDDEN!$D$14,$G$15=HIDDEN!$D$14),AND($H$9=HIDDEN!$D$14,$H$15=HIDDEN!$D$14),AND($I$9=HIDDEN!$D$14,$I$15=HIDDEN!$D$14),AND($J$9=HIDDEN!$D$14,$J$15=HIDDEN!$D$14)),"Concrete","")</f>
        <v/>
      </c>
      <c r="G33" s="628" t="str">
        <f>IF(OR(G15="None",H9="None",G21="None",G27="None",H15="None",I9="None",J9="None",I15="None",J15="None",H21="None",I21="None",J21="None",H27="None",I27="None",J27="None",G9="None",AND($G$21=HIDDEN!$D$14,$G$27=HIDDEN!$D$14),AND($H$21=HIDDEN!$D$14,$H$27=HIDDEN!$D$14),AND($I$21=HIDDEN!$D$14,$I$27=HIDDEN!$D$14),AND($J$21=HIDDEN!$D$14,$J$27=HIDDEN!$D$14),AND($G$9=HIDDEN!$D$14,$G$15=HIDDEN!$D$14),AND($H$9=HIDDEN!$D$14,$H$15=HIDDEN!$D$14),AND($I$9=HIDDEN!$D$14,$I$15=HIDDEN!$D$14),AND($J$9=HIDDEN!$D$14,$J$15=HIDDEN!$D$14)),"to avoid unnecessary calculations.","")</f>
        <v/>
      </c>
      <c r="H33" s="628"/>
      <c r="I33" s="628"/>
      <c r="J33" s="631"/>
      <c r="K33" s="632"/>
    </row>
    <row r="34" spans="2:13">
      <c r="B34" s="49">
        <v>5</v>
      </c>
      <c r="C34" s="624" t="s">
        <v>1217</v>
      </c>
      <c r="D34" s="624"/>
      <c r="E34" s="624"/>
      <c r="F34" s="624"/>
      <c r="G34" s="624"/>
      <c r="H34" s="623"/>
      <c r="I34" s="625" t="s">
        <v>699</v>
      </c>
      <c r="J34" s="625"/>
      <c r="K34" s="626"/>
    </row>
    <row r="35" spans="2:13">
      <c r="B35" s="50"/>
      <c r="H35" s="51" t="s">
        <v>840</v>
      </c>
      <c r="I35" s="89"/>
      <c r="J35" s="38"/>
      <c r="K35" s="44"/>
    </row>
    <row r="36" spans="2:13">
      <c r="B36" s="43"/>
      <c r="H36" s="51" t="s">
        <v>841</v>
      </c>
      <c r="I36" s="89"/>
      <c r="K36" s="44"/>
    </row>
    <row r="37" spans="2:13">
      <c r="B37" s="50"/>
      <c r="H37" s="51" t="s">
        <v>842</v>
      </c>
      <c r="I37" s="89"/>
      <c r="K37" s="44"/>
    </row>
    <row r="38" spans="2:13">
      <c r="B38" s="50"/>
      <c r="H38" s="51" t="s">
        <v>843</v>
      </c>
      <c r="I38" s="89"/>
      <c r="K38" s="44"/>
    </row>
    <row r="39" spans="2:13">
      <c r="B39" s="50"/>
      <c r="H39" s="51" t="s">
        <v>3767</v>
      </c>
      <c r="I39" s="89"/>
      <c r="K39" s="44"/>
    </row>
    <row r="40" spans="2:13" ht="14.1" customHeight="1">
      <c r="B40" s="50"/>
      <c r="H40" s="51" t="s">
        <v>845</v>
      </c>
      <c r="I40" s="89"/>
      <c r="K40" s="44"/>
    </row>
    <row r="41" spans="2:13" ht="14.1" customHeight="1">
      <c r="B41" s="43"/>
      <c r="K41" s="44"/>
      <c r="L41" s="70"/>
    </row>
    <row r="42" spans="2:13">
      <c r="B42" s="49">
        <v>6</v>
      </c>
      <c r="C42" s="38" t="s">
        <v>3782</v>
      </c>
      <c r="D42" s="38"/>
      <c r="E42" s="38"/>
      <c r="F42" s="38"/>
      <c r="G42" s="38"/>
      <c r="K42" s="44"/>
      <c r="L42" s="70"/>
    </row>
    <row r="43" spans="2:13">
      <c r="B43" s="50"/>
      <c r="H43" s="68" t="s">
        <v>3648</v>
      </c>
      <c r="I43" s="89"/>
      <c r="K43" s="44"/>
    </row>
    <row r="44" spans="2:13" ht="14.1" customHeight="1">
      <c r="B44" s="50"/>
      <c r="K44" s="44"/>
    </row>
    <row r="45" spans="2:13" ht="14.1" customHeight="1">
      <c r="B45" s="49">
        <v>7</v>
      </c>
      <c r="C45" s="38" t="s">
        <v>3649</v>
      </c>
      <c r="D45" s="38"/>
      <c r="H45" s="38"/>
      <c r="I45" s="89"/>
      <c r="J45" s="38"/>
      <c r="K45" s="44"/>
    </row>
    <row r="46" spans="2:13">
      <c r="B46" s="50"/>
      <c r="K46" s="44"/>
      <c r="M46" s="64"/>
    </row>
    <row r="47" spans="2:13">
      <c r="B47" s="49">
        <v>8</v>
      </c>
      <c r="C47" s="38" t="s">
        <v>3876</v>
      </c>
      <c r="D47" s="38"/>
      <c r="H47" s="38"/>
      <c r="I47" s="89"/>
      <c r="K47" s="44"/>
    </row>
    <row r="48" spans="2:13">
      <c r="B48" s="49">
        <v>9</v>
      </c>
      <c r="C48" s="38" t="s">
        <v>3877</v>
      </c>
      <c r="D48" s="38"/>
      <c r="H48" s="38"/>
      <c r="I48" s="89"/>
      <c r="K48" s="44"/>
    </row>
    <row r="49" spans="2:11" ht="14.1" customHeight="1" thickBot="1">
      <c r="B49" s="90"/>
      <c r="C49" s="71"/>
      <c r="D49" s="88"/>
      <c r="E49" s="88"/>
      <c r="F49" s="88"/>
      <c r="G49" s="88"/>
      <c r="H49" s="88"/>
      <c r="I49" s="88"/>
      <c r="J49" s="88"/>
      <c r="K49" s="72"/>
    </row>
  </sheetData>
  <conditionalFormatting sqref="F33">
    <cfRule type="containsText" dxfId="163" priority="31" operator="containsText" text="&quot;Concrete&quot;">
      <formula>NOT(ISERROR(SEARCH("""Concrete""",F33)))</formula>
    </cfRule>
    <cfRule type="containsBlanks" dxfId="162" priority="32">
      <formula>LEN(TRIM(F33))=0</formula>
    </cfRule>
  </conditionalFormatting>
  <conditionalFormatting sqref="G15">
    <cfRule type="expression" dxfId="160" priority="66">
      <formula>$F$1&gt;=1</formula>
    </cfRule>
  </conditionalFormatting>
  <conditionalFormatting sqref="G16:G19 G9:G13">
    <cfRule type="expression" dxfId="159" priority="479">
      <formula>$F$1&gt;=1</formula>
    </cfRule>
  </conditionalFormatting>
  <conditionalFormatting sqref="G21:G25">
    <cfRule type="expression" dxfId="156" priority="84">
      <formula>$F$1&gt;=1</formula>
    </cfRule>
  </conditionalFormatting>
  <conditionalFormatting sqref="G27">
    <cfRule type="expression" dxfId="154" priority="7">
      <formula>$F$1&gt;=1</formula>
    </cfRule>
  </conditionalFormatting>
  <conditionalFormatting sqref="G28:G31">
    <cfRule type="expression" dxfId="151" priority="18">
      <formula>$F$1&gt;=1</formula>
    </cfRule>
  </conditionalFormatting>
  <conditionalFormatting sqref="H9:H13">
    <cfRule type="expression" dxfId="150" priority="475">
      <formula>$F$1&lt;2</formula>
    </cfRule>
  </conditionalFormatting>
  <conditionalFormatting sqref="H15">
    <cfRule type="expression" dxfId="148" priority="65">
      <formula>$F$1&gt;=2</formula>
    </cfRule>
  </conditionalFormatting>
  <conditionalFormatting sqref="H15:H19">
    <cfRule type="expression" dxfId="147" priority="64">
      <formula>$F$1&lt;2</formula>
    </cfRule>
  </conditionalFormatting>
  <conditionalFormatting sqref="H16:H19 H9:H13">
    <cfRule type="expression" dxfId="146" priority="476">
      <formula>$F$1&gt;=2</formula>
    </cfRule>
  </conditionalFormatting>
  <conditionalFormatting sqref="H21:H25">
    <cfRule type="expression" dxfId="143" priority="82">
      <formula>$F$1&lt;2</formula>
    </cfRule>
    <cfRule type="expression" dxfId="142" priority="83">
      <formula>$F$1&gt;=2</formula>
    </cfRule>
  </conditionalFormatting>
  <conditionalFormatting sqref="H27">
    <cfRule type="expression" dxfId="140" priority="6">
      <formula>$F$1&gt;=2</formula>
    </cfRule>
  </conditionalFormatting>
  <conditionalFormatting sqref="H27:H31">
    <cfRule type="expression" dxfId="139" priority="5">
      <formula>$F$1&lt;2</formula>
    </cfRule>
  </conditionalFormatting>
  <conditionalFormatting sqref="H28:H31">
    <cfRule type="expression" dxfId="136" priority="17">
      <formula>$F$1&gt;=2</formula>
    </cfRule>
  </conditionalFormatting>
  <conditionalFormatting sqref="I9:I13 I16:I19">
    <cfRule type="expression" dxfId="135" priority="482">
      <formula>$F$1&lt;3</formula>
    </cfRule>
  </conditionalFormatting>
  <conditionalFormatting sqref="I15">
    <cfRule type="expression" dxfId="133" priority="68">
      <formula>$F$1&lt;3</formula>
    </cfRule>
    <cfRule type="expression" dxfId="132" priority="67">
      <formula>$F$1&gt;=3</formula>
    </cfRule>
  </conditionalFormatting>
  <conditionalFormatting sqref="I16:I19 I9:I13">
    <cfRule type="expression" dxfId="131" priority="481">
      <formula>$F$1&gt;=3</formula>
    </cfRule>
  </conditionalFormatting>
  <conditionalFormatting sqref="I21:I25">
    <cfRule type="expression" dxfId="128" priority="86">
      <formula>$F$1&lt;3</formula>
    </cfRule>
    <cfRule type="expression" dxfId="127" priority="85">
      <formula>$F$1&gt;=3</formula>
    </cfRule>
  </conditionalFormatting>
  <conditionalFormatting sqref="I27">
    <cfRule type="expression" dxfId="125" priority="9">
      <formula>$F$1&lt;3</formula>
    </cfRule>
    <cfRule type="expression" dxfId="124" priority="8">
      <formula>$F$1&gt;=3</formula>
    </cfRule>
  </conditionalFormatting>
  <conditionalFormatting sqref="I28:I31">
    <cfRule type="expression" dxfId="122" priority="20">
      <formula>$F$1&lt;3</formula>
    </cfRule>
    <cfRule type="expression" dxfId="121" priority="19">
      <formula>$F$1&gt;=3</formula>
    </cfRule>
  </conditionalFormatting>
  <conditionalFormatting sqref="J9:J13">
    <cfRule type="expression" dxfId="119" priority="485">
      <formula>$F$1&lt;4</formula>
    </cfRule>
  </conditionalFormatting>
  <conditionalFormatting sqref="J15">
    <cfRule type="expression" dxfId="117" priority="70">
      <formula>$F$1&gt;=4</formula>
    </cfRule>
  </conditionalFormatting>
  <conditionalFormatting sqref="J15:J19">
    <cfRule type="expression" dxfId="116" priority="69">
      <formula>$F$1&lt;4</formula>
    </cfRule>
  </conditionalFormatting>
  <conditionalFormatting sqref="J16:J19 J9:J13">
    <cfRule type="expression" dxfId="115" priority="486">
      <formula>$F$1&gt;=4</formula>
    </cfRule>
  </conditionalFormatting>
  <conditionalFormatting sqref="J21:J25">
    <cfRule type="expression" dxfId="112" priority="87">
      <formula>$F$1&lt;4</formula>
    </cfRule>
    <cfRule type="expression" dxfId="111" priority="88">
      <formula>$F$1&gt;=4</formula>
    </cfRule>
  </conditionalFormatting>
  <conditionalFormatting sqref="J27">
    <cfRule type="expression" dxfId="109" priority="11">
      <formula>$F$1&gt;=4</formula>
    </cfRule>
  </conditionalFormatting>
  <conditionalFormatting sqref="J27:J31">
    <cfRule type="expression" dxfId="108" priority="10">
      <formula>$F$1&lt;4</formula>
    </cfRule>
  </conditionalFormatting>
  <conditionalFormatting sqref="J28:J31">
    <cfRule type="expression" dxfId="107" priority="22">
      <formula>$F$1&gt;=4</formula>
    </cfRule>
  </conditionalFormatting>
  <dataValidations count="3">
    <dataValidation type="whole" errorStyle="warning" operator="greaterThanOrEqual" allowBlank="1" showInputMessage="1" showErrorMessage="1" errorTitle="Year" error="Please enter a present or future year." sqref="I45 I36:I40" xr:uid="{E389269F-34E5-49D0-942E-FC3042175330}">
      <formula1>0</formula1>
    </dataValidation>
    <dataValidation type="whole" errorStyle="warning" operator="greaterThanOrEqual" allowBlank="1" showInputMessage="1" showErrorMessage="1" errorTitle="Year" error="Please enter a present or future year." promptTitle="Intersections Green Paint" prompt="Count how many bike crossings will be highlighted with green paint across intersections or side streets (i.e. put 4 for one intersection with 4 bike crossings)." sqref="I47" xr:uid="{AB0AD1E5-2E06-47E9-B992-6CC5B5AAFE06}">
      <formula1>0</formula1>
    </dataValidation>
    <dataValidation type="whole" errorStyle="warning" operator="greaterThanOrEqual" allowBlank="1" showInputMessage="1" showErrorMessage="1" errorTitle="Year" error="Please enter a present or future year." promptTitle="Driveway Green Paint" prompt="Count the number of high-conflict driveways that will use green paint to highlight bicycle crossings. This likely will not be needed at all residential driveways but may be useful at commercial driveways." sqref="I48" xr:uid="{51B231CD-1C50-4242-A8B5-BE40CBC8A247}">
      <formula1>0</formula1>
    </dataValidation>
  </dataValidations>
  <pageMargins left="0.75" right="0.75" top="1" bottom="1" header="0.5" footer="0.5"/>
  <pageSetup scale="94" fitToHeight="0" orientation="portrait" r:id="rId1"/>
  <headerFooter alignWithMargins="0">
    <oddHeader>&amp;C&amp;"Arial,Bold Italic"&amp;20DRAFT - TOOL STILL IN PRODUCTION</oddHeader>
    <oddFooter>&amp;C&amp;"Futura Bk BT,Book"Page &amp;P</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26" id="{B50AC1F2-D1AE-4356-A668-CAFE44862BB9}">
            <xm:f>$G$9=HIDDEN!$D$17</xm:f>
            <x14:dxf>
              <font>
                <strike/>
                <color rgb="FFFF0000"/>
              </font>
              <fill>
                <patternFill>
                  <bgColor theme="1"/>
                </patternFill>
              </fill>
            </x14:dxf>
          </x14:cfRule>
          <xm:sqref>G10:G13</xm:sqref>
        </x14:conditionalFormatting>
        <x14:conditionalFormatting xmlns:xm="http://schemas.microsoft.com/office/excel/2006/main">
          <x14:cfRule type="expression" priority="45" id="{67D29742-6367-4557-BAEB-80C7233A5DCD}">
            <xm:f>$G$15=HIDDEN!$D$17</xm:f>
            <x14:dxf>
              <font>
                <strike/>
                <color rgb="FFFF0000"/>
              </font>
              <fill>
                <patternFill>
                  <bgColor theme="1"/>
                </patternFill>
              </fill>
            </x14:dxf>
          </x14:cfRule>
          <x14:cfRule type="expression" priority="92" id="{0037C14F-8560-4C9F-8C82-8E5508AEE1A7}">
            <xm:f>AND($G$9=HIDDEN!$D$14,$G$15=HIDDEN!$D$14)</xm:f>
            <x14:dxf>
              <font>
                <strike/>
                <color rgb="FFFF0000"/>
              </font>
              <fill>
                <patternFill>
                  <bgColor theme="1"/>
                </patternFill>
              </fill>
            </x14:dxf>
          </x14:cfRule>
          <xm:sqref>G16:G19</xm:sqref>
        </x14:conditionalFormatting>
        <x14:conditionalFormatting xmlns:xm="http://schemas.microsoft.com/office/excel/2006/main">
          <x14:cfRule type="expression" priority="30" id="{4DCF5B96-728C-4396-B592-8FBE23937D82}">
            <xm:f>$G$21=HIDDEN!$D$17</xm:f>
            <x14:dxf>
              <font>
                <strike/>
                <color rgb="FFFF0000"/>
              </font>
              <fill>
                <patternFill>
                  <bgColor theme="1"/>
                </patternFill>
              </fill>
            </x14:dxf>
          </x14:cfRule>
          <xm:sqref>G22:G25</xm:sqref>
        </x14:conditionalFormatting>
        <x14:conditionalFormatting xmlns:xm="http://schemas.microsoft.com/office/excel/2006/main">
          <x14:cfRule type="expression" priority="1" id="{FE8E4EA4-421D-4C90-B261-33FD80B78F3F}">
            <xm:f>$G$15=HIDDEN!$D$17</xm:f>
            <x14:dxf>
              <font>
                <strike/>
                <color rgb="FFFF0000"/>
              </font>
              <fill>
                <patternFill>
                  <bgColor theme="1"/>
                </patternFill>
              </fill>
            </x14:dxf>
          </x14:cfRule>
          <x14:cfRule type="expression" priority="15" id="{FEDA8CFB-DF9D-463C-BF00-E691A82295D6}">
            <xm:f>AND($G$9=HIDDEN!$D$14,$G$15=HIDDEN!$D$14)</xm:f>
            <x14:dxf>
              <font>
                <strike/>
                <color rgb="FFFF0000"/>
              </font>
              <fill>
                <patternFill>
                  <bgColor theme="1"/>
                </patternFill>
              </fill>
            </x14:dxf>
          </x14:cfRule>
          <xm:sqref>G28:G31</xm:sqref>
        </x14:conditionalFormatting>
        <x14:conditionalFormatting xmlns:xm="http://schemas.microsoft.com/office/excel/2006/main">
          <x14:cfRule type="expression" priority="25" id="{EE38C66D-591D-49AE-9800-3280E318BA3D}">
            <xm:f>$H$9=HIDDEN!$D$17</xm:f>
            <x14:dxf>
              <font>
                <strike/>
                <color rgb="FFFF0000"/>
              </font>
              <fill>
                <patternFill>
                  <bgColor theme="1"/>
                </patternFill>
              </fill>
            </x14:dxf>
          </x14:cfRule>
          <xm:sqref>H10:H13</xm:sqref>
        </x14:conditionalFormatting>
        <x14:conditionalFormatting xmlns:xm="http://schemas.microsoft.com/office/excel/2006/main">
          <x14:cfRule type="expression" priority="48" id="{EE5DDC2F-1F5E-4A75-8E8A-021A77F99F10}">
            <xm:f>$H$15=HIDDEN!$D$17</xm:f>
            <x14:dxf>
              <font>
                <strike/>
                <color rgb="FFFF0000"/>
              </font>
              <fill>
                <patternFill>
                  <bgColor theme="1"/>
                </patternFill>
              </fill>
            </x14:dxf>
          </x14:cfRule>
          <x14:cfRule type="expression" priority="90" id="{067C7F7D-611A-456C-8C6F-F1EE9B3F1BD5}">
            <xm:f>AND($H$9=HIDDEN!$D$14,$H$15=HIDDEN!$D$14)</xm:f>
            <x14:dxf>
              <font>
                <strike/>
                <color rgb="FFFF0000"/>
              </font>
              <fill>
                <patternFill>
                  <bgColor theme="1"/>
                </patternFill>
              </fill>
            </x14:dxf>
          </x14:cfRule>
          <xm:sqref>H16:H19</xm:sqref>
        </x14:conditionalFormatting>
        <x14:conditionalFormatting xmlns:xm="http://schemas.microsoft.com/office/excel/2006/main">
          <x14:cfRule type="expression" priority="29" id="{A75E6298-493D-400C-871A-05A3A265ACEF}">
            <xm:f>$H$21=HIDDEN!$D$17</xm:f>
            <x14:dxf>
              <font>
                <strike/>
                <color rgb="FFFF0000"/>
              </font>
              <fill>
                <patternFill>
                  <bgColor theme="1"/>
                </patternFill>
              </fill>
            </x14:dxf>
          </x14:cfRule>
          <xm:sqref>H22:H25</xm:sqref>
        </x14:conditionalFormatting>
        <x14:conditionalFormatting xmlns:xm="http://schemas.microsoft.com/office/excel/2006/main">
          <x14:cfRule type="expression" priority="4" id="{EE0F5A24-8919-4983-B1B5-60CCE8CC56FB}">
            <xm:f>$H$15=HIDDEN!$D$17</xm:f>
            <x14:dxf>
              <font>
                <strike/>
                <color rgb="FFFF0000"/>
              </font>
              <fill>
                <patternFill>
                  <bgColor theme="1"/>
                </patternFill>
              </fill>
            </x14:dxf>
          </x14:cfRule>
          <x14:cfRule type="expression" priority="13" id="{FAA3CBC9-9610-4102-BA95-4E6DB44C72F2}">
            <xm:f>AND($H$9=HIDDEN!$D$14,$H$15=HIDDEN!$D$14)</xm:f>
            <x14:dxf>
              <font>
                <strike/>
                <color rgb="FFFF0000"/>
              </font>
              <fill>
                <patternFill>
                  <bgColor theme="1"/>
                </patternFill>
              </fill>
            </x14:dxf>
          </x14:cfRule>
          <xm:sqref>H28:H31</xm:sqref>
        </x14:conditionalFormatting>
        <x14:conditionalFormatting xmlns:xm="http://schemas.microsoft.com/office/excel/2006/main">
          <x14:cfRule type="expression" priority="24" id="{72484419-1E38-4AF3-AE02-F9706A412A9F}">
            <xm:f>$I$9=HIDDEN!$D$17</xm:f>
            <x14:dxf>
              <font>
                <strike/>
                <color rgb="FFFF0000"/>
              </font>
              <fill>
                <patternFill>
                  <bgColor theme="1"/>
                </patternFill>
              </fill>
            </x14:dxf>
          </x14:cfRule>
          <xm:sqref>I10:I13</xm:sqref>
        </x14:conditionalFormatting>
        <x14:conditionalFormatting xmlns:xm="http://schemas.microsoft.com/office/excel/2006/main">
          <x14:cfRule type="expression" priority="47" id="{992D9FF8-851D-460F-80BD-305A7F15AB03}">
            <xm:f>$I$15=HIDDEN!$D$17</xm:f>
            <x14:dxf>
              <font>
                <strike/>
                <color rgb="FFFF0000"/>
              </font>
              <fill>
                <patternFill>
                  <bgColor theme="1"/>
                </patternFill>
              </fill>
            </x14:dxf>
          </x14:cfRule>
          <x14:cfRule type="expression" priority="89" id="{7A486897-7C01-43D9-9FA7-F19F602652DF}">
            <xm:f>AND($I$9=HIDDEN!$D$14,$I$15=HIDDEN!$D$14)</xm:f>
            <x14:dxf>
              <font>
                <strike/>
                <color rgb="FFFF0000"/>
              </font>
              <fill>
                <patternFill>
                  <bgColor theme="1"/>
                </patternFill>
              </fill>
            </x14:dxf>
          </x14:cfRule>
          <xm:sqref>I16:I19</xm:sqref>
        </x14:conditionalFormatting>
        <x14:conditionalFormatting xmlns:xm="http://schemas.microsoft.com/office/excel/2006/main">
          <x14:cfRule type="expression" priority="28" id="{E6C7A3A8-43FE-454E-8A14-10B831814612}">
            <xm:f>$I$21=HIDDEN!$D$17</xm:f>
            <x14:dxf>
              <font>
                <strike/>
                <color rgb="FFFF0000"/>
              </font>
              <fill>
                <patternFill>
                  <bgColor theme="1"/>
                </patternFill>
              </fill>
            </x14:dxf>
          </x14:cfRule>
          <xm:sqref>I22:I25</xm:sqref>
        </x14:conditionalFormatting>
        <x14:conditionalFormatting xmlns:xm="http://schemas.microsoft.com/office/excel/2006/main">
          <x14:cfRule type="expression" priority="3" id="{593F0BFE-51CD-427D-B8FB-4F2141173B05}">
            <xm:f>$I$15=HIDDEN!$D$17</xm:f>
            <x14:dxf>
              <font>
                <strike/>
                <color rgb="FFFF0000"/>
              </font>
              <fill>
                <patternFill>
                  <bgColor theme="1"/>
                </patternFill>
              </fill>
            </x14:dxf>
          </x14:cfRule>
          <x14:cfRule type="expression" priority="12" id="{FB5087D5-B8BF-4ECD-A2D7-E6D2615F7361}">
            <xm:f>AND($I$9=HIDDEN!$D$14,$I$15=HIDDEN!$D$14)</xm:f>
            <x14:dxf>
              <font>
                <strike/>
                <color rgb="FFFF0000"/>
              </font>
              <fill>
                <patternFill>
                  <bgColor theme="1"/>
                </patternFill>
              </fill>
            </x14:dxf>
          </x14:cfRule>
          <xm:sqref>I28:I31</xm:sqref>
        </x14:conditionalFormatting>
        <x14:conditionalFormatting xmlns:xm="http://schemas.microsoft.com/office/excel/2006/main">
          <x14:cfRule type="expression" priority="23" id="{F8F1D608-0869-4B47-972F-CEECD5354567}">
            <xm:f>$J$9=HIDDEN!$D$17</xm:f>
            <x14:dxf>
              <font>
                <strike/>
                <color rgb="FFFF0000"/>
              </font>
              <fill>
                <patternFill>
                  <bgColor theme="1"/>
                </patternFill>
              </fill>
            </x14:dxf>
          </x14:cfRule>
          <xm:sqref>J10:J13</xm:sqref>
        </x14:conditionalFormatting>
        <x14:conditionalFormatting xmlns:xm="http://schemas.microsoft.com/office/excel/2006/main">
          <x14:cfRule type="expression" priority="46" id="{A396A2E8-24B5-4D43-83A7-B3A9056D3C24}">
            <xm:f>$J$15=HIDDEN!$D$17</xm:f>
            <x14:dxf>
              <font>
                <strike/>
                <color rgb="FFFF0000"/>
              </font>
              <fill>
                <patternFill>
                  <bgColor theme="1"/>
                </patternFill>
              </fill>
            </x14:dxf>
          </x14:cfRule>
          <x14:cfRule type="expression" priority="91" id="{C2C2D1AA-C683-4F24-AFB0-9A217CD17DA6}">
            <xm:f>AND($J$9=HIDDEN!$D$14,$J$15=HIDDEN!$D$14)</xm:f>
            <x14:dxf>
              <font>
                <strike/>
                <color rgb="FFFF0000"/>
              </font>
              <fill>
                <patternFill>
                  <bgColor theme="1"/>
                </patternFill>
              </fill>
            </x14:dxf>
          </x14:cfRule>
          <xm:sqref>J16:J19</xm:sqref>
        </x14:conditionalFormatting>
        <x14:conditionalFormatting xmlns:xm="http://schemas.microsoft.com/office/excel/2006/main">
          <x14:cfRule type="expression" priority="27" id="{8A5D6099-FCFE-46AA-85D8-7ADC82F197D2}">
            <xm:f>$J$21=HIDDEN!$D$17</xm:f>
            <x14:dxf>
              <font>
                <strike/>
                <color rgb="FFFF0000"/>
              </font>
              <fill>
                <patternFill>
                  <bgColor theme="1"/>
                </patternFill>
              </fill>
            </x14:dxf>
          </x14:cfRule>
          <xm:sqref>J22:J25</xm:sqref>
        </x14:conditionalFormatting>
        <x14:conditionalFormatting xmlns:xm="http://schemas.microsoft.com/office/excel/2006/main">
          <x14:cfRule type="expression" priority="14" id="{733076A4-1CA7-46EE-8994-EE74E8A6CD18}">
            <xm:f>AND($J$9=HIDDEN!$D$14,$J$15=HIDDEN!$D$14)</xm:f>
            <x14:dxf>
              <font>
                <strike/>
                <color rgb="FFFF0000"/>
              </font>
              <fill>
                <patternFill>
                  <bgColor theme="1"/>
                </patternFill>
              </fill>
            </x14:dxf>
          </x14:cfRule>
          <x14:cfRule type="expression" priority="2" id="{7A5D1B5C-1530-47C6-9A05-0037C1F5CC4F}">
            <xm:f>$J$15=HIDDEN!$D$17</xm:f>
            <x14:dxf>
              <font>
                <strike/>
                <color rgb="FFFF0000"/>
              </font>
              <fill>
                <patternFill>
                  <bgColor theme="1"/>
                </patternFill>
              </fill>
            </x14:dxf>
          </x14:cfRule>
          <xm:sqref>J28:J31</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CA56F54D-8062-4BEF-B43E-ADF7F05A4381}">
          <x14:formula1>
            <xm:f>HIDDEN!$E$14:$E$17</xm:f>
          </x14:formula1>
          <xm:sqref>G10:J10 G22:J22</xm:sqref>
        </x14:dataValidation>
        <x14:dataValidation type="list" allowBlank="1" showInputMessage="1" showErrorMessage="1" xr:uid="{6775CD6C-373F-486A-8A69-49E0FA038AA3}">
          <x14:formula1>
            <xm:f>HIDDEN!$C$20:$C$23</xm:f>
          </x14:formula1>
          <xm:sqref>G25:J25 G13:J13</xm:sqref>
        </x14:dataValidation>
        <x14:dataValidation type="list" allowBlank="1" showInputMessage="1" showErrorMessage="1" xr:uid="{AC5BBE01-DACA-4486-9CC2-5F2464E33312}">
          <x14:formula1>
            <xm:f>HIDDEN!$E$21:$E$24</xm:f>
          </x14:formula1>
          <xm:sqref>G16:J16 G28:J28</xm:sqref>
        </x14:dataValidation>
        <x14:dataValidation type="list" allowBlank="1" showInputMessage="1" showErrorMessage="1" xr:uid="{F35847B0-E56A-4947-9740-95E33F801C0E}">
          <x14:formula1>
            <xm:f>HIDDEN!$C$14:$C$16</xm:f>
          </x14:formula1>
          <xm:sqref>G9:J9 G21:J21</xm:sqref>
        </x14:dataValidation>
        <x14:dataValidation type="list" allowBlank="1" showInputMessage="1" showErrorMessage="1" xr:uid="{F52ED4F8-963B-4150-AB3F-8D14AA795D1C}">
          <x14:formula1>
            <xm:f>HIDDEN!$D$14:$D$17</xm:f>
          </x14:formula1>
          <xm:sqref>G15:J15 G27:J27</xm:sqref>
        </x14:dataValidation>
        <x14:dataValidation type="list" allowBlank="1" showInputMessage="1" showErrorMessage="1" xr:uid="{80F5D43F-E73F-4994-8504-487FD6AF2C57}">
          <x14:formula1>
            <xm:f>HIDDEN!$D$20:$D$26</xm:f>
          </x14:formula1>
          <xm:sqref>G19:J19 G31:J31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9B8E6-0947-44C5-93F5-D578BA02C97F}">
  <sheetPr codeName="Sheet32">
    <tabColor theme="9"/>
    <pageSetUpPr fitToPage="1"/>
  </sheetPr>
  <dimension ref="B1:AI34"/>
  <sheetViews>
    <sheetView view="pageBreakPreview" zoomScaleNormal="100" zoomScaleSheetLayoutView="100" workbookViewId="0">
      <selection activeCell="I10" sqref="I10"/>
    </sheetView>
  </sheetViews>
  <sheetFormatPr defaultColWidth="9.140625" defaultRowHeight="15"/>
  <cols>
    <col min="1" max="1" width="9" style="40" customWidth="1"/>
    <col min="2" max="2" width="3" style="54" customWidth="1"/>
    <col min="3" max="3" width="20" style="40" customWidth="1"/>
    <col min="4" max="4" width="10.7109375" style="40" customWidth="1"/>
    <col min="5" max="5" width="7.140625" style="40" customWidth="1"/>
    <col min="6" max="6" width="16.140625" style="40" customWidth="1"/>
    <col min="7" max="10" width="15.7109375" style="40" customWidth="1"/>
    <col min="11" max="11" width="3.140625" style="40" customWidth="1"/>
    <col min="12" max="12" width="3.28515625" style="40" customWidth="1"/>
    <col min="13" max="13" width="35" style="40" customWidth="1"/>
    <col min="14" max="14" width="3" style="40" customWidth="1"/>
    <col min="15" max="15" width="3.85546875" style="40" customWidth="1"/>
    <col min="16" max="16" width="2.42578125" style="40" customWidth="1"/>
    <col min="17" max="17" width="9.140625" style="40" customWidth="1"/>
    <col min="18" max="18" width="33.28515625" style="40" customWidth="1"/>
    <col min="19" max="36" width="9.140625" style="40" customWidth="1"/>
    <col min="37" max="16384" width="9.140625" style="40"/>
  </cols>
  <sheetData>
    <row r="1" spans="2:35" ht="15.75" thickBot="1">
      <c r="AB1" s="744" t="s">
        <v>730</v>
      </c>
    </row>
    <row r="2" spans="2:35" ht="15" customHeight="1">
      <c r="B2" s="1144" t="s">
        <v>3940</v>
      </c>
      <c r="C2" s="1176"/>
      <c r="D2" s="1176"/>
      <c r="E2" s="1176"/>
      <c r="F2" s="1176"/>
      <c r="G2" s="1176"/>
      <c r="H2" s="1176"/>
      <c r="I2" s="1176"/>
      <c r="J2" s="1176"/>
      <c r="K2" s="1176"/>
      <c r="L2" s="1177"/>
      <c r="AB2" s="745"/>
    </row>
    <row r="3" spans="2:35" ht="15" customHeight="1" thickBot="1">
      <c r="B3" s="1178"/>
      <c r="C3" s="1179"/>
      <c r="D3" s="1179"/>
      <c r="E3" s="1179"/>
      <c r="F3" s="1179"/>
      <c r="G3" s="1179"/>
      <c r="H3" s="1179"/>
      <c r="I3" s="1179"/>
      <c r="J3" s="1179"/>
      <c r="K3" s="1179"/>
      <c r="L3" s="1180"/>
    </row>
    <row r="4" spans="2:35" ht="14.1" customHeight="1">
      <c r="B4" s="45"/>
      <c r="C4" s="544" t="str">
        <f ca="1">INSTRUCTIONS!C8</f>
        <v xml:space="preserve"> </v>
      </c>
      <c r="D4" s="544"/>
      <c r="E4" s="544"/>
      <c r="F4" s="544"/>
      <c r="G4" s="544"/>
      <c r="H4" s="544"/>
      <c r="I4" s="544"/>
      <c r="J4" s="544"/>
      <c r="K4" s="46"/>
      <c r="L4" s="47"/>
    </row>
    <row r="5" spans="2:35" ht="15" customHeight="1">
      <c r="B5" s="43"/>
      <c r="C5" s="1047" t="s">
        <v>3674</v>
      </c>
      <c r="D5" s="1047"/>
      <c r="E5" s="1047"/>
      <c r="F5" s="1047"/>
      <c r="G5" s="1047"/>
      <c r="H5" s="1047"/>
      <c r="I5" s="1047"/>
      <c r="J5" s="1047"/>
      <c r="K5" s="1047"/>
      <c r="L5" s="48"/>
    </row>
    <row r="6" spans="2:35" ht="42.75" customHeight="1">
      <c r="B6" s="43"/>
      <c r="C6" s="1070" t="s">
        <v>1764</v>
      </c>
      <c r="D6" s="1071"/>
      <c r="E6" s="1071"/>
      <c r="F6" s="1071"/>
      <c r="G6" s="1071"/>
      <c r="H6" s="1071"/>
      <c r="I6" s="1071"/>
      <c r="J6" s="1071"/>
      <c r="K6" s="1072"/>
      <c r="L6" s="48"/>
    </row>
    <row r="7" spans="2:35" ht="42.75" customHeight="1">
      <c r="B7" s="43"/>
      <c r="C7" s="746" t="s">
        <v>68</v>
      </c>
      <c r="D7" s="747"/>
      <c r="E7" s="747"/>
      <c r="F7" s="747"/>
      <c r="G7" s="747"/>
      <c r="H7" s="747"/>
      <c r="I7" s="747"/>
      <c r="J7" s="747"/>
      <c r="K7" s="747"/>
      <c r="L7" s="48"/>
    </row>
    <row r="8" spans="2:35" ht="27" customHeight="1">
      <c r="B8" s="43"/>
      <c r="C8" s="748" t="s">
        <v>3919</v>
      </c>
      <c r="D8" s="1185">
        <v>100</v>
      </c>
      <c r="E8" s="1185"/>
      <c r="F8" s="1186"/>
      <c r="G8" s="39"/>
      <c r="H8" s="39"/>
      <c r="I8" s="39"/>
      <c r="J8" s="39"/>
      <c r="K8" s="39"/>
      <c r="L8" s="48"/>
      <c r="R8" s="103"/>
      <c r="V8" s="103"/>
      <c r="Y8" s="103"/>
      <c r="Z8" s="103"/>
    </row>
    <row r="9" spans="2:35" ht="15.75">
      <c r="B9" s="43"/>
      <c r="C9" s="746" t="s">
        <v>3682</v>
      </c>
      <c r="E9" s="746"/>
      <c r="G9" s="746" t="s">
        <v>1766</v>
      </c>
      <c r="I9" s="746" t="s">
        <v>1767</v>
      </c>
      <c r="K9" s="38"/>
      <c r="L9" s="44"/>
      <c r="AB9" s="1175"/>
      <c r="AC9" s="1175"/>
      <c r="AD9" s="1175"/>
      <c r="AE9" s="1175"/>
      <c r="AF9" s="1175"/>
      <c r="AG9" s="1175"/>
      <c r="AH9" s="1175"/>
      <c r="AI9" s="1175"/>
    </row>
    <row r="10" spans="2:35" ht="42" customHeight="1">
      <c r="B10" s="43"/>
      <c r="C10" s="748" t="s">
        <v>1533</v>
      </c>
      <c r="D10" s="1181"/>
      <c r="E10" s="1181"/>
      <c r="F10" s="1182"/>
      <c r="G10" s="748" t="s">
        <v>1765</v>
      </c>
      <c r="H10" s="767"/>
      <c r="I10" s="748" t="s">
        <v>3752</v>
      </c>
      <c r="J10" s="769"/>
      <c r="K10" s="38"/>
      <c r="L10" s="44"/>
      <c r="Y10" s="57"/>
    </row>
    <row r="11" spans="2:35" s="57" customFormat="1" ht="39.75" customHeight="1">
      <c r="B11" s="43"/>
      <c r="C11" s="748" t="s">
        <v>3681</v>
      </c>
      <c r="D11" s="1183"/>
      <c r="E11" s="1183"/>
      <c r="F11" s="1184"/>
      <c r="G11" s="748" t="s">
        <v>3777</v>
      </c>
      <c r="H11" s="768"/>
      <c r="I11" s="748" t="s">
        <v>3679</v>
      </c>
      <c r="J11" s="749">
        <f>IFERROR(ROUND(J10*500/(SUM(G22:J22)),0),0)</f>
        <v>0</v>
      </c>
      <c r="K11" s="38"/>
      <c r="L11" s="750"/>
      <c r="M11" s="64"/>
      <c r="R11" s="40"/>
      <c r="V11" s="40"/>
      <c r="Y11" s="40"/>
    </row>
    <row r="12" spans="2:35" s="57" customFormat="1" ht="15" customHeight="1">
      <c r="B12" s="43"/>
      <c r="C12" s="751"/>
      <c r="D12" s="752"/>
      <c r="E12" s="751"/>
      <c r="G12" s="753"/>
      <c r="H12" s="753"/>
      <c r="I12" s="40"/>
      <c r="J12" s="40"/>
      <c r="K12" s="38"/>
      <c r="L12" s="750"/>
      <c r="M12" s="64"/>
      <c r="R12" s="40"/>
      <c r="V12" s="40"/>
      <c r="Y12" s="40"/>
    </row>
    <row r="13" spans="2:35" ht="38.25" customHeight="1">
      <c r="B13" s="43"/>
      <c r="C13" s="64"/>
      <c r="D13" s="754"/>
      <c r="G13" s="755" t="str">
        <f>BasicProjectData!G21</f>
        <v>Major Roadway</v>
      </c>
      <c r="H13" s="755" t="str">
        <f>BasicProjectData!H21</f>
        <v>Roadway 2 Name</v>
      </c>
      <c r="I13" s="755" t="str">
        <f>BasicProjectData!I21</f>
        <v>Roadway 3 Name</v>
      </c>
      <c r="J13" s="755" t="str">
        <f>BasicProjectData!J21</f>
        <v>Roadway 4 Name</v>
      </c>
      <c r="K13" s="38"/>
      <c r="L13" s="750"/>
      <c r="M13" s="64"/>
      <c r="V13" s="57"/>
    </row>
    <row r="14" spans="2:35" ht="29.25" customHeight="1">
      <c r="B14" s="43"/>
      <c r="C14" s="101"/>
      <c r="D14" s="101"/>
      <c r="E14" s="101"/>
      <c r="F14" s="756" t="s">
        <v>3809</v>
      </c>
      <c r="G14" s="1085" t="e" cm="1">
        <f t="array" ref="G14">_xlfn.SWITCH(Roadway!$G$10,"Resurfacing","Resurfacing","Full Depth Reconstruction"," ","Pavement Repairs","Preservation","Mixed Treatment","Resurfacing","None"," "," "," ")</f>
        <v>#N/A</v>
      </c>
      <c r="H14" s="1085" t="e" cm="1">
        <f t="array" ref="H14">_xlfn.SWITCH(Roadway!$H$10,"Resurfacing","Resurfacing","Full Depth Reconstruction"," ","Pavement Repairs","Preservation","Mixed Treatment","Resurfacing","None"," "," "," ")</f>
        <v>#N/A</v>
      </c>
      <c r="I14" s="1085" t="e" cm="1">
        <f t="array" ref="I14">_xlfn.SWITCH(Roadway!$I$10,"Resurfacing","Resurfacing","Full Depth Reconstruction"," ","Pavement Repairs","Preservation","Mixed Treatment","Resurfacing","None"," "," "," ")</f>
        <v>#N/A</v>
      </c>
      <c r="J14" s="1085" t="e" cm="1">
        <f t="array" ref="J14">_xlfn.SWITCH(Roadway!$J$10,"Resurfacing","Resurfacing","Full Depth Reconstruction"," ","Pavement Repairs","Preservation","Mixed Treatment","Resurfacing","None"," "," "," ")</f>
        <v>#N/A</v>
      </c>
      <c r="K14" s="38"/>
      <c r="L14" s="44"/>
    </row>
    <row r="15" spans="2:35" ht="15.75">
      <c r="B15" s="757" t="s">
        <v>1758</v>
      </c>
      <c r="C15" s="101"/>
      <c r="D15" s="101"/>
      <c r="E15" s="101"/>
      <c r="F15" s="756"/>
      <c r="G15" s="756"/>
      <c r="H15" s="756"/>
      <c r="I15" s="756"/>
      <c r="J15" s="756"/>
      <c r="K15" s="38"/>
      <c r="L15" s="44"/>
    </row>
    <row r="16" spans="2:35" ht="15" customHeight="1">
      <c r="B16" s="43"/>
      <c r="D16" s="101"/>
      <c r="E16" s="101"/>
      <c r="F16" s="87" t="s">
        <v>1556</v>
      </c>
      <c r="G16" s="1105"/>
      <c r="H16" s="1105"/>
      <c r="I16" s="1105"/>
      <c r="J16" s="1105"/>
      <c r="K16" s="38"/>
      <c r="L16" s="44"/>
      <c r="M16" s="64"/>
      <c r="Y16" s="57"/>
    </row>
    <row r="17" spans="2:35" ht="15" customHeight="1">
      <c r="B17" s="43"/>
      <c r="C17" s="101"/>
      <c r="D17" s="758"/>
      <c r="E17" s="758"/>
      <c r="F17" s="759" t="s">
        <v>1761</v>
      </c>
      <c r="G17" s="1105"/>
      <c r="H17" s="1105"/>
      <c r="I17" s="1105"/>
      <c r="J17" s="1105"/>
      <c r="K17" s="38"/>
      <c r="L17" s="44"/>
      <c r="V17" s="760"/>
      <c r="AB17" s="1175"/>
      <c r="AC17" s="1175"/>
      <c r="AD17" s="1175"/>
      <c r="AE17" s="1175"/>
      <c r="AF17" s="1175"/>
      <c r="AG17" s="1175"/>
      <c r="AH17" s="1175"/>
      <c r="AI17" s="1175"/>
    </row>
    <row r="18" spans="2:35" ht="15" customHeight="1">
      <c r="B18" s="43"/>
      <c r="F18" s="87" t="s">
        <v>3671</v>
      </c>
      <c r="G18" s="1106"/>
      <c r="H18" s="1106"/>
      <c r="I18" s="1106"/>
      <c r="J18" s="1106"/>
      <c r="L18" s="44"/>
      <c r="AB18" s="1175"/>
      <c r="AC18" s="1175"/>
      <c r="AD18" s="1175"/>
      <c r="AE18" s="1175"/>
      <c r="AF18" s="1175"/>
      <c r="AG18" s="1175"/>
      <c r="AH18" s="1175"/>
      <c r="AI18" s="1175"/>
    </row>
    <row r="19" spans="2:35" ht="15" customHeight="1">
      <c r="B19" s="43"/>
      <c r="C19" s="761"/>
      <c r="F19" s="87" t="s">
        <v>3672</v>
      </c>
      <c r="G19" s="1106"/>
      <c r="H19" s="1106"/>
      <c r="I19" s="1106"/>
      <c r="J19" s="1106"/>
      <c r="L19" s="44"/>
      <c r="AB19" s="762"/>
      <c r="AC19" s="762"/>
      <c r="AD19" s="762"/>
      <c r="AE19" s="762"/>
      <c r="AF19" s="762"/>
      <c r="AG19" s="762"/>
      <c r="AH19" s="762"/>
      <c r="AI19" s="762"/>
    </row>
    <row r="20" spans="2:35" ht="15.75" customHeight="1">
      <c r="B20" s="757" t="s">
        <v>1759</v>
      </c>
      <c r="C20" s="761"/>
      <c r="F20" s="87"/>
      <c r="G20" s="54"/>
      <c r="H20" s="54"/>
      <c r="I20" s="54"/>
      <c r="J20" s="54"/>
      <c r="L20" s="44"/>
      <c r="AB20" s="762"/>
      <c r="AC20" s="762"/>
      <c r="AD20" s="762"/>
      <c r="AE20" s="762"/>
      <c r="AF20" s="762"/>
      <c r="AG20" s="762"/>
      <c r="AH20" s="762"/>
      <c r="AI20" s="762"/>
    </row>
    <row r="21" spans="2:35" ht="15.75" customHeight="1">
      <c r="B21" s="757"/>
      <c r="C21" s="761"/>
      <c r="F21" s="87" t="s">
        <v>3720</v>
      </c>
      <c r="G21" s="1069">
        <f>IF(Roadway!G10=HIDDEN!$B$17,IF(Roadway!G11&gt;0,(1-Roadway!G11)*Roadway!G7*Roadway!G9,0),0)</f>
        <v>0</v>
      </c>
      <c r="H21" s="763">
        <f>IF(Roadway!H10=HIDDEN!$B$17,IF(Roadway!H11&gt;0,(1-Roadway!H11)*Roadway!H7*Roadway!H9,0),0)</f>
        <v>0</v>
      </c>
      <c r="I21" s="763">
        <f>IF(Roadway!I10=HIDDEN!$B$17,IF(Roadway!I11&gt;0,(1-Roadway!I11)*Roadway!I7*Roadway!I9,0),0)</f>
        <v>0</v>
      </c>
      <c r="J21" s="763">
        <f>IF(Roadway!J10=HIDDEN!$B$17,IF(Roadway!J11&gt;0,(1-Roadway!J11)*Roadway!J7*Roadway!J9,0),0)</f>
        <v>0</v>
      </c>
      <c r="L21" s="44"/>
      <c r="AB21" s="762"/>
      <c r="AC21" s="762"/>
      <c r="AD21" s="762"/>
      <c r="AE21" s="762"/>
      <c r="AF21" s="762"/>
      <c r="AG21" s="762"/>
      <c r="AH21" s="762"/>
      <c r="AI21" s="762"/>
    </row>
    <row r="22" spans="2:35">
      <c r="B22" s="43"/>
      <c r="F22" s="87" t="s">
        <v>3719</v>
      </c>
      <c r="G22" s="1107"/>
      <c r="H22" s="1107"/>
      <c r="I22" s="1107"/>
      <c r="J22" s="1107"/>
      <c r="K22" s="38"/>
      <c r="L22" s="44"/>
      <c r="R22" s="103"/>
      <c r="T22" s="103"/>
      <c r="AB22" s="764"/>
    </row>
    <row r="23" spans="2:35" ht="14.1" customHeight="1">
      <c r="B23" s="43"/>
      <c r="D23" s="101"/>
      <c r="E23" s="101"/>
      <c r="F23" s="87" t="s">
        <v>3670</v>
      </c>
      <c r="G23" s="1107"/>
      <c r="H23" s="1107"/>
      <c r="I23" s="1107"/>
      <c r="J23" s="1107"/>
      <c r="K23" s="38"/>
      <c r="L23" s="44"/>
      <c r="R23" s="57"/>
      <c r="AB23" s="38"/>
    </row>
    <row r="24" spans="2:35">
      <c r="B24" s="43"/>
      <c r="C24" s="761"/>
      <c r="F24" s="87" t="s">
        <v>3650</v>
      </c>
      <c r="G24" s="1106"/>
      <c r="H24" s="1106"/>
      <c r="I24" s="1106"/>
      <c r="J24" s="1106"/>
      <c r="K24" s="38"/>
      <c r="L24" s="44"/>
      <c r="M24" s="765"/>
      <c r="V24" s="103"/>
    </row>
    <row r="25" spans="2:35">
      <c r="B25" s="43"/>
      <c r="C25" s="761"/>
      <c r="F25" s="87" t="s">
        <v>3651</v>
      </c>
      <c r="G25" s="1106"/>
      <c r="H25" s="1106"/>
      <c r="I25" s="1106"/>
      <c r="J25" s="1106"/>
      <c r="K25" s="38"/>
      <c r="L25" s="44"/>
      <c r="V25" s="103"/>
    </row>
    <row r="26" spans="2:35" ht="26.25" customHeight="1">
      <c r="B26" s="43"/>
      <c r="D26" s="101"/>
      <c r="E26" s="101"/>
      <c r="F26" s="756" t="s">
        <v>3652</v>
      </c>
      <c r="G26" s="1108"/>
      <c r="H26" s="1108"/>
      <c r="I26" s="1108"/>
      <c r="J26" s="1108"/>
      <c r="K26" s="38"/>
      <c r="L26" s="44"/>
      <c r="T26" s="103"/>
    </row>
    <row r="27" spans="2:35">
      <c r="B27" s="43"/>
      <c r="C27" s="101"/>
      <c r="D27" s="101"/>
      <c r="E27" s="101"/>
      <c r="F27" s="718" t="s">
        <v>3925</v>
      </c>
      <c r="G27" s="1108"/>
      <c r="H27" s="1108"/>
      <c r="I27" s="1108"/>
      <c r="J27" s="1108"/>
      <c r="K27" s="38"/>
      <c r="L27" s="44"/>
    </row>
    <row r="28" spans="2:35" ht="36" customHeight="1">
      <c r="B28" s="43"/>
      <c r="E28" s="57"/>
      <c r="F28" s="756" t="s">
        <v>1539</v>
      </c>
      <c r="G28" s="1100"/>
      <c r="H28" s="1101"/>
      <c r="I28" s="1101"/>
      <c r="J28" s="1101"/>
      <c r="K28" s="59"/>
      <c r="L28" s="44"/>
      <c r="R28" s="103"/>
      <c r="S28" s="103"/>
      <c r="AD28" s="103"/>
    </row>
    <row r="29" spans="2:35">
      <c r="B29" s="43"/>
      <c r="F29" s="759" t="s">
        <v>1760</v>
      </c>
      <c r="G29" s="1073"/>
      <c r="H29" s="1090"/>
      <c r="I29" s="1090"/>
      <c r="J29" s="1090"/>
      <c r="K29" s="38"/>
      <c r="L29" s="44"/>
    </row>
    <row r="30" spans="2:35" ht="14.1" customHeight="1" thickBot="1">
      <c r="B30" s="90"/>
      <c r="C30" s="71"/>
      <c r="D30" s="88"/>
      <c r="E30" s="88"/>
      <c r="F30" s="88"/>
      <c r="G30" s="1074"/>
      <c r="H30" s="1091"/>
      <c r="I30" s="1091"/>
      <c r="J30" s="1091"/>
      <c r="K30" s="88"/>
      <c r="L30" s="72"/>
    </row>
    <row r="31" spans="2:35" ht="89.25" customHeight="1">
      <c r="F31" s="1092" t="s">
        <v>3684</v>
      </c>
      <c r="G31" s="1086" t="str">
        <f>IF(OR($G$28=PVMTPRES!$B$18,$G$28=PVMTPRES!$B$19,$G$28=PVMTPRES!$B$20),"Costs vary greatly for Hot In-Place/Cold In-Place Recycling Treatments - check with local contractors for specific pricing"," ")</f>
        <v xml:space="preserve"> </v>
      </c>
      <c r="H31" s="1086" t="str">
        <f>IF(OR($H$28=PVMTPRES!$B$18,$H$28=PVMTPRES!$B$19,$H$28=PVMTPRES!$B$20),"Costs vary greatly for Hot In-Place/Cold In-Place Recycling Treatments - check with local contractors for specific pricing"," ")</f>
        <v xml:space="preserve"> </v>
      </c>
      <c r="I31" s="1086" t="str">
        <f>IF(OR($I$28=PVMTPRES!$B$18,$I$28=PVMTPRES!$B$19,$I$28=PVMTPRES!$B$20),"Costs vary greatly for Hot In-Place/Cold In-Place Recycling Treatments - check with local contractors for specific pricing"," ")</f>
        <v xml:space="preserve"> </v>
      </c>
      <c r="J31" s="1086" t="str">
        <f>IF(OR($J$28=PVMTPRES!$B$18,$J$28=PVMTPRES!$B$19,$J$28=PVMTPRES!$B$20),"Costs vary greatly for Hot In-Place/Cold In-Place Recycling Treatments - check with local contractors for specific pricing"," ")</f>
        <v xml:space="preserve"> </v>
      </c>
      <c r="K31" s="766"/>
    </row>
    <row r="32" spans="2:35" ht="63" customHeight="1">
      <c r="F32" s="1092"/>
      <c r="G32" s="1087" t="str">
        <f>_xlfn.IFNA(IF(_xlfn.XLOOKUP(G28,PVMTPRES!$B$7:$B$26,PVMTPRES!$O$7:$O$26)="Yes","Treatment may require upgrade of Non-ADA Compliant Pedestrian Curb Ramps"," ")," ")</f>
        <v xml:space="preserve"> </v>
      </c>
      <c r="H32" s="1087" t="str">
        <f>_xlfn.IFNA(IF(_xlfn.XLOOKUP(H28,PVMTPRES!$B$7:$B$26,PVMTPRES!$O$7:$O$26)="Yes","Treatment may require upgrade of Non-ADA Compliant Pedestrian Curb Ramps"," ")," ")</f>
        <v xml:space="preserve"> </v>
      </c>
      <c r="I32" s="1087" t="str">
        <f>_xlfn.IFNA(IF(_xlfn.XLOOKUP(I28,PVMTPRES!$B$7:$B$26,PVMTPRES!$O$7:$O$26)="Yes","Treatment may require upgrade of Non-ADA Compliant Pedestrian Curb Ramps"," ")," ")</f>
        <v xml:space="preserve"> </v>
      </c>
      <c r="J32" s="1087" t="str">
        <f>_xlfn.IFNA(IF(_xlfn.XLOOKUP(J28,PVMTPRES!$B$7:$B$26,PVMTPRES!$O$7:$O$26)="Yes","Treatment may require upgrade of Non-ADA Compliant Pedestrian Curb Ramps"," ")," ")</f>
        <v xml:space="preserve"> </v>
      </c>
    </row>
    <row r="33" spans="6:10">
      <c r="F33" s="1092"/>
      <c r="G33" s="1087" t="str">
        <f>_xlfn.IFNA(IF($H$10=0," ",IF(_xlfn.XLOOKUP(G28,PVMTPRES!$B$7:$B$26,PVMTPRES!$Q$7:$Q$26)="No","Patching should not be considered for this treatment (Set to 0%)"," "))," ")</f>
        <v xml:space="preserve"> </v>
      </c>
      <c r="H33" s="1087" t="str">
        <f>_xlfn.IFNA(IF($H$10=0," ",IF(_xlfn.XLOOKUP(H28,PVMTPRES!$B$7:$B$26,PVMTPRES!$Q$7:$Q$26)="No","Patching should not be considered for this treatment (Set to 0%)"," "))," ")</f>
        <v xml:space="preserve"> </v>
      </c>
      <c r="I33" s="1087" t="str">
        <f>_xlfn.IFNA(IF($H$10=0," ",IF(_xlfn.XLOOKUP(I28,PVMTPRES!$B$7:$B$26,PVMTPRES!$Q$7:$Q$26)="No","Patching should not be considered for this treatment (Set to 0%)"," "))," ")</f>
        <v xml:space="preserve"> </v>
      </c>
      <c r="J33" s="1087" t="str">
        <f>_xlfn.IFNA(IF($H$10=0," ",IF(_xlfn.XLOOKUP(J28,PVMTPRES!$B$7:$B$26,PVMTPRES!$Q$7:$Q$26)="No","Patching should not be considered for this treatment (Set to 0%)"," "))," ")</f>
        <v xml:space="preserve"> </v>
      </c>
    </row>
    <row r="34" spans="6:10" ht="48" customHeight="1">
      <c r="F34" s="1092"/>
      <c r="G34" s="1088" t="str">
        <f>_xlfn.IFNA(IF(AND($D$11="Yes",_xlfn.XLOOKUP(G28,PVMTPRES!$B$7:$B$26,PVMTPRES!$P$7:$P$26)="No"),"Crack Seal should not be utilized with this treatment"," ")," ")</f>
        <v xml:space="preserve"> </v>
      </c>
      <c r="H34" s="1088" t="str">
        <f>_xlfn.IFNA(IF(AND($D$11="Yes",_xlfn.XLOOKUP(H28,PVMTPRES!$B$7:$B$26,PVMTPRES!$P$7:$P$26)="No"),"Crack Seal should not be utilized with this treatment"," ")," ")</f>
        <v xml:space="preserve"> </v>
      </c>
      <c r="I34" s="1088" t="str">
        <f>_xlfn.IFNA(IF(AND($D$11="Yes",_xlfn.XLOOKUP(I28,PVMTPRES!$B$7:$B$26,PVMTPRES!$P$7:$P$26)="No"),"Crack Seal should not be utilized with this treatment"," ")," ")</f>
        <v xml:space="preserve"> </v>
      </c>
      <c r="J34" s="1088" t="str">
        <f>_xlfn.IFNA(IF(AND($D$11="Yes",_xlfn.XLOOKUP(J28,PVMTPRES!$B$7:$B$26,PVMTPRES!$P$7:$P$26)="No"),"Crack Seal should not be utilized with this treatment"," ")," ")</f>
        <v xml:space="preserve"> </v>
      </c>
    </row>
  </sheetData>
  <mergeCells count="6">
    <mergeCell ref="AB17:AI18"/>
    <mergeCell ref="AB9:AI9"/>
    <mergeCell ref="B2:L3"/>
    <mergeCell ref="D10:F10"/>
    <mergeCell ref="D11:F11"/>
    <mergeCell ref="D8:F8"/>
  </mergeCells>
  <conditionalFormatting sqref="D8:F8">
    <cfRule type="expression" dxfId="104" priority="4">
      <formula>$D$8=100</formula>
    </cfRule>
  </conditionalFormatting>
  <conditionalFormatting sqref="G16 G18:G19 G24:G25">
    <cfRule type="expression" dxfId="102" priority="9">
      <formula>$G$14="Resurfacing"</formula>
    </cfRule>
  </conditionalFormatting>
  <conditionalFormatting sqref="G22:G23">
    <cfRule type="expression" dxfId="100" priority="8">
      <formula>$G$21&gt;0</formula>
    </cfRule>
  </conditionalFormatting>
  <conditionalFormatting sqref="H10">
    <cfRule type="expression" dxfId="98" priority="27">
      <formula>"$G$37=""Patching should not be considered for this treatment (Set to 0%)"""</formula>
    </cfRule>
  </conditionalFormatting>
  <conditionalFormatting sqref="H22:H23">
    <cfRule type="expression" dxfId="93" priority="7">
      <formula>$H$21&gt;0</formula>
    </cfRule>
  </conditionalFormatting>
  <conditionalFormatting sqref="I22:I23">
    <cfRule type="expression" dxfId="89" priority="6">
      <formula>$I$21&gt;0</formula>
    </cfRule>
  </conditionalFormatting>
  <conditionalFormatting sqref="J22:J23">
    <cfRule type="expression" dxfId="84" priority="5">
      <formula>$J$21&gt;0</formula>
    </cfRule>
  </conditionalFormatting>
  <dataValidations xWindow="457" yWindow="742" count="19">
    <dataValidation type="list" allowBlank="1" showInputMessage="1" showErrorMessage="1" prompt="Select yes if you are going to crack seal the roadway prior to pavement preservation " sqref="D11:F11" xr:uid="{8D9D1109-6C91-4035-BAEA-9BA1A9FD4D70}">
      <formula1>"Yes,No"</formula1>
    </dataValidation>
    <dataValidation allowBlank="1" showInputMessage="1" showErrorMessage="1" prompt="Typically 5% - 10% of roadway surface area. Varies by road condition. If no patching will occur, enter 0" sqref="H10" xr:uid="{4AB792BE-9D28-4A43-A457-ED89586097EA}"/>
    <dataValidation allowBlank="1" showInputMessage="1" showErrorMessage="1" prompt="How thick will your HMA patches be?" sqref="H11" xr:uid="{176CAA1F-9B13-425B-ADD2-58D7F3008A7A}"/>
    <dataValidation allowBlank="1" showInputMessage="1" showErrorMessage="1" prompt="How many utility frames/grates/covers/etc need to be adjusted for milling and/or new roadway elevation? If you will mill around structures and not adjust, enter &quot;0&quot;" sqref="J10" xr:uid="{5DF04AD9-514D-4A75-9C27-2747EF2C2DAF}"/>
    <dataValidation allowBlank="1" showInputMessage="1" showErrorMessage="1" prompt="No input needed" sqref="J11" xr:uid="{856E786C-3963-4044-BAE8-D1CB00E4FB40}"/>
    <dataValidation allowBlank="1" showInputMessage="1" showErrorMessage="1" prompt="*For reference only to help guide choices. Will not impact cost estimate" sqref="G16:J16 G18:J19" xr:uid="{DFAE3A56-54B2-4B45-9628-878BF41FEB9A}"/>
    <dataValidation allowBlank="1" showInputMessage="1" showErrorMessage="1" promptTitle="Mixed Treatment" prompt="If Mixed Treatment was selected on the Roadway tab, this cell calculates what area needs to be resurfaced based on the % entered there." sqref="G21:J21" xr:uid="{5EB8742A-DE18-4312-BD25-DE6BC4C6207A}"/>
    <dataValidation allowBlank="1" showInputMessage="1" showErrorMessage="1" prompt="Include ONLY the length of roadway to receive preservation treatment" sqref="G22:J22" xr:uid="{8BE65498-56F3-44E6-A238-B74E134C1D47}"/>
    <dataValidation allowBlank="1" showInputMessage="1" showErrorMessage="1" prompt="Include ONLY the average width of roadway to receive preservation treatment. If the road varies significantly in width, assume a higher number for conservative estimates." sqref="G23:J23" xr:uid="{599A1E46-C4A2-452B-B6B1-3DEE1EB75903}"/>
    <dataValidation allowBlank="1" showInputMessage="1" showErrorMessage="1" prompt="Enter the total proposed HMA thickness here. Not individual lift thickness. If applying a non-asphalt treatment (like a cape seal) enter &quot;0&quot;" sqref="G24:J24" xr:uid="{F776F073-2E34-4BE7-ACB4-53339F97F9A6}"/>
    <dataValidation allowBlank="1" showInputMessage="1" showErrorMessage="1" prompt="Enter the total proposed new aggregate base depth here. If reusing existing aggregate, enter &quot;0&quot;" sqref="G25:J25" xr:uid="{F2B95314-4675-4394-991E-8537CEEDD0EE}"/>
    <dataValidation allowBlank="1" showInputMessage="1" showErrorMessage="1" prompt="Add any additional areas of roadway to receive treatment here that are not captured by standard LxW" sqref="G26:J26" xr:uid="{4483EFBF-6523-488D-9A89-0E8F8391D43B}"/>
    <dataValidation type="list" allowBlank="1" showInputMessage="1" showErrorMessage="1" sqref="G14:J14" xr:uid="{B2156E7A-5B44-4ED4-846D-A103D7586D2C}">
      <formula1>Options</formula1>
    </dataValidation>
    <dataValidation type="list" allowBlank="1" showInputMessage="1" showErrorMessage="1" prompt="Select one treatment for this section of roadway - Recommended to utilize same treatment across all roadways but user can override if desired" sqref="J28:J30" xr:uid="{0DC3E207-5BAF-43EC-A2AA-A85746966F4E}">
      <formula1>INDIRECT($J$14)</formula1>
    </dataValidation>
    <dataValidation type="list" allowBlank="1" showInputMessage="1" showErrorMessage="1" prompt="Select one treatment for this section of roadway - Recommended to utilize same treatment across all roadways but user can override if desired" sqref="G28" xr:uid="{77F15CCB-C9C5-4701-B9F9-4E878EA752CC}">
      <formula1>INDIRECT($G$14)</formula1>
    </dataValidation>
    <dataValidation type="list" allowBlank="1" showInputMessage="1" showErrorMessage="1" prompt="Select one treatment for this section of roadway - Recommended to utilize same treatment across all roadways but user can override if desired" sqref="H28:H30" xr:uid="{0B8B0C3E-C773-494F-B0D9-BF0B4C8BE821}">
      <formula1>INDIRECT($H$14)</formula1>
    </dataValidation>
    <dataValidation type="list" allowBlank="1" showInputMessage="1" showErrorMessage="1" prompt="Select one treatment for this section of roadway - Recommended to utilize same treatment across all roadways but user can override if desired" sqref="I28:I30" xr:uid="{6B40AE59-BE1F-4BC8-80BB-A5FB994BE71A}">
      <formula1>INDIRECT($I$14)</formula1>
    </dataValidation>
    <dataValidation allowBlank="1" showInputMessage="1" showErrorMessage="1" prompt="Modify unit cost to be accurate to your agency. DOT costs can be up to $200 per unit cost. General pavement can be between $100-$200 per ton." sqref="D8:F8" xr:uid="{43FA6153-0AF8-4EE2-A52E-7CA21C13B667}"/>
    <dataValidation allowBlank="1" showInputMessage="1" showErrorMessage="1" prompt="Select one treatment for this section of roadway - Recommended to utilize same treatment across all roadways but user can override if desired" sqref="G29:G30" xr:uid="{6D6A05CC-C74D-4AFC-B785-46C4E13B804E}"/>
  </dataValidations>
  <hyperlinks>
    <hyperlink ref="F17" r:id="rId1" display="Reference: roadresource.org" xr:uid="{605C46F5-59C0-4268-A300-F73BE55765A3}"/>
    <hyperlink ref="F17" r:id="rId2" xr:uid="{9A4FFE9C-8408-4E3E-AD57-84D97AC476F0}"/>
    <hyperlink ref="F29" r:id="rId3" xr:uid="{4549EBF0-D175-4DAB-A4A8-8ED05923950D}"/>
  </hyperlinks>
  <pageMargins left="0.75" right="0.75" top="1" bottom="1" header="0.5" footer="0.5"/>
  <pageSetup scale="72" fitToHeight="0" orientation="portrait" r:id="rId4"/>
  <headerFooter alignWithMargins="0">
    <oddHeader>&amp;C&amp;"Arial,Bold Italic"&amp;20DRAFT - TOOL STILL IN PRODUCTION</oddHeader>
    <oddFooter>&amp;C&amp;"Futura Bk BT,Book"Page &amp;P</oddFooter>
  </headerFooter>
  <drawing r:id="rId5"/>
  <legacyDrawingHF r:id="rId6"/>
  <extLst>
    <ext xmlns:x14="http://schemas.microsoft.com/office/spreadsheetml/2009/9/main" uri="{78C0D931-6437-407d-A8EE-F0AAD7539E65}">
      <x14:conditionalFormattings>
        <x14:conditionalFormatting xmlns:xm="http://schemas.microsoft.com/office/excel/2006/main">
          <x14:cfRule type="expression" priority="13" id="{6B5E31E9-9504-4885-AB26-D14FFDF88325}">
            <xm:f>BasicProjectData!$I$20&gt;0</xm:f>
            <x14:dxf>
              <font>
                <color auto="1"/>
              </font>
              <fill>
                <patternFill>
                  <bgColor theme="9"/>
                </patternFill>
              </fill>
              <border>
                <left style="thin">
                  <color auto="1"/>
                </left>
                <right style="thin">
                  <color auto="1"/>
                </right>
                <top style="thin">
                  <color auto="1"/>
                </top>
                <bottom style="thin">
                  <color auto="1"/>
                </bottom>
              </border>
            </x14:dxf>
          </x14:cfRule>
          <xm:sqref>G16 G18:G19 G22:G26 G14 G28</xm:sqref>
        </x14:conditionalFormatting>
        <x14:conditionalFormatting xmlns:xm="http://schemas.microsoft.com/office/excel/2006/main">
          <x14:cfRule type="expression" priority="24" id="{878F9471-F7BD-4449-B5FF-3AAEC21DD99D}">
            <xm:f>BasicProjectData!$I$20&gt;0</xm:f>
            <x14:dxf>
              <font>
                <color auto="1"/>
              </font>
              <fill>
                <patternFill patternType="solid">
                  <bgColor theme="0" tint="-4.9989318521683403E-2"/>
                </patternFill>
              </fill>
              <border>
                <left style="thin">
                  <color auto="1"/>
                </left>
                <right style="thin">
                  <color auto="1"/>
                </right>
                <top style="thin">
                  <color auto="1"/>
                </top>
                <bottom style="thin">
                  <color auto="1"/>
                </bottom>
              </border>
            </x14:dxf>
          </x14:cfRule>
          <xm:sqref>G21</xm:sqref>
        </x14:conditionalFormatting>
        <x14:conditionalFormatting xmlns:xm="http://schemas.microsoft.com/office/excel/2006/main">
          <x14:cfRule type="expression" priority="20" id="{921FBD1B-8E1D-4ACD-95C2-257727064892}">
            <xm:f>G$14=HIDDEN!$E$62</xm:f>
            <x14:dxf>
              <fill>
                <patternFill>
                  <bgColor theme="1"/>
                </patternFill>
              </fill>
            </x14:dxf>
          </x14:cfRule>
          <xm:sqref>G16:J16 G18:J19 G24:J25</xm:sqref>
        </x14:conditionalFormatting>
        <x14:conditionalFormatting xmlns:xm="http://schemas.microsoft.com/office/excel/2006/main">
          <x14:cfRule type="expression" priority="15" id="{B41AEB65-92F9-41B4-82C3-09706BF0215A}">
            <xm:f>BasicProjectData!$I$20&lt;2</xm:f>
            <x14:dxf>
              <font>
                <color theme="0"/>
              </font>
            </x14:dxf>
          </x14:cfRule>
          <xm:sqref>H13</xm:sqref>
        </x14:conditionalFormatting>
        <x14:conditionalFormatting xmlns:xm="http://schemas.microsoft.com/office/excel/2006/main">
          <x14:cfRule type="expression" priority="1" id="{FA3669D3-A87F-4AA3-A941-69457DEAC51F}">
            <xm:f>BasicProjectData!$I$20&gt;3</xm:f>
            <x14:dxf>
              <font>
                <color auto="1"/>
              </font>
              <fill>
                <patternFill>
                  <bgColor theme="9" tint="0.79998168889431442"/>
                </patternFill>
              </fill>
              <border>
                <left style="thin">
                  <color auto="1"/>
                </left>
                <right style="thin">
                  <color auto="1"/>
                </right>
                <top style="thin">
                  <color auto="1"/>
                </top>
                <bottom style="thin">
                  <color auto="1"/>
                </bottom>
              </border>
            </x14:dxf>
          </x14:cfRule>
          <xm:sqref>H14</xm:sqref>
        </x14:conditionalFormatting>
        <x14:conditionalFormatting xmlns:xm="http://schemas.microsoft.com/office/excel/2006/main">
          <x14:cfRule type="expression" priority="23" id="{4E38751E-624E-482F-9AE7-133A57EF6697}">
            <xm:f>BasicProjectData!$I$20&gt;1</xm:f>
            <x14:dxf>
              <font>
                <color auto="1"/>
              </font>
              <fill>
                <patternFill>
                  <bgColor theme="9" tint="0.79998168889431442"/>
                </patternFill>
              </fill>
              <border>
                <left style="thin">
                  <color auto="1"/>
                </left>
                <right style="thin">
                  <color auto="1"/>
                </right>
                <top style="thin">
                  <color auto="1"/>
                </top>
                <bottom style="thin">
                  <color auto="1"/>
                </bottom>
              </border>
            </x14:dxf>
          </x14:cfRule>
          <xm:sqref>H16 H18:H19 H22:H26 H28</xm:sqref>
        </x14:conditionalFormatting>
        <x14:conditionalFormatting xmlns:xm="http://schemas.microsoft.com/office/excel/2006/main">
          <x14:cfRule type="expression" priority="12" id="{2ECF85CA-64A4-4758-80E7-EC8B2221F265}">
            <xm:f>BasicProjectData!$I$20&gt;1</xm:f>
            <x14:dxf>
              <font>
                <color auto="1"/>
              </font>
              <fill>
                <patternFill patternType="solid">
                  <bgColor theme="0" tint="-4.9989318521683403E-2"/>
                </patternFill>
              </fill>
              <border>
                <left style="thin">
                  <color auto="1"/>
                </left>
                <right style="thin">
                  <color auto="1"/>
                </right>
                <top style="thin">
                  <color auto="1"/>
                </top>
                <bottom style="thin">
                  <color auto="1"/>
                </bottom>
              </border>
            </x14:dxf>
          </x14:cfRule>
          <xm:sqref>H21</xm:sqref>
        </x14:conditionalFormatting>
        <x14:conditionalFormatting xmlns:xm="http://schemas.microsoft.com/office/excel/2006/main">
          <x14:cfRule type="expression" priority="3" id="{0F963E82-6BCC-4C30-B423-3990CAE0504D}">
            <xm:f>BasicProjectData!$I$20&lt;3</xm:f>
            <x14:dxf>
              <font>
                <color theme="0"/>
              </font>
            </x14:dxf>
          </x14:cfRule>
          <xm:sqref>I13</xm:sqref>
        </x14:conditionalFormatting>
        <x14:conditionalFormatting xmlns:xm="http://schemas.microsoft.com/office/excel/2006/main">
          <x14:cfRule type="expression" priority="17" id="{B5ADBF2E-2118-445D-9CEF-BC2426DD505B}">
            <xm:f>BasicProjectData!$I$20&gt;2</xm:f>
            <x14:dxf>
              <font>
                <color auto="1"/>
              </font>
              <fill>
                <patternFill>
                  <bgColor theme="9"/>
                </patternFill>
              </fill>
              <border>
                <left style="thin">
                  <color auto="1"/>
                </left>
                <right style="thin">
                  <color auto="1"/>
                </right>
                <top style="thin">
                  <color auto="1"/>
                </top>
                <bottom style="thin">
                  <color auto="1"/>
                </bottom>
              </border>
            </x14:dxf>
          </x14:cfRule>
          <xm:sqref>I14</xm:sqref>
        </x14:conditionalFormatting>
        <x14:conditionalFormatting xmlns:xm="http://schemas.microsoft.com/office/excel/2006/main">
          <x14:cfRule type="expression" priority="26" id="{01DEABA6-4429-4EB2-B264-A2FC36B200BF}">
            <xm:f>BasicProjectData!$I$20&gt;2</xm:f>
            <x14:dxf>
              <font>
                <color auto="1"/>
              </font>
              <fill>
                <patternFill>
                  <bgColor theme="9"/>
                </patternFill>
              </fill>
              <border>
                <left style="thin">
                  <color auto="1"/>
                </left>
                <right style="thin">
                  <color auto="1"/>
                </right>
                <top style="thin">
                  <color auto="1"/>
                </top>
                <bottom style="thin">
                  <color auto="1"/>
                </bottom>
              </border>
            </x14:dxf>
          </x14:cfRule>
          <xm:sqref>I16 I18:I19 I22:I26 I28</xm:sqref>
        </x14:conditionalFormatting>
        <x14:conditionalFormatting xmlns:xm="http://schemas.microsoft.com/office/excel/2006/main">
          <x14:cfRule type="expression" priority="10" id="{419B018A-B92C-41BF-9D55-A10356E7960F}">
            <xm:f>BasicProjectData!$I$20&gt;3</xm:f>
            <x14:dxf>
              <font>
                <color auto="1"/>
              </font>
              <fill>
                <patternFill patternType="solid">
                  <bgColor theme="0" tint="-4.9989318521683403E-2"/>
                </patternFill>
              </fill>
              <border>
                <left style="thin">
                  <color auto="1"/>
                </left>
                <right style="thin">
                  <color auto="1"/>
                </right>
                <top style="thin">
                  <color auto="1"/>
                </top>
                <bottom style="thin">
                  <color auto="1"/>
                </bottom>
              </border>
            </x14:dxf>
          </x14:cfRule>
          <xm:sqref>I21:J21</xm:sqref>
        </x14:conditionalFormatting>
        <x14:conditionalFormatting xmlns:xm="http://schemas.microsoft.com/office/excel/2006/main">
          <x14:cfRule type="expression" priority="14" id="{D62AC58E-0398-4946-8BE9-A83FA7D6C442}">
            <xm:f>BasicProjectData!$I$20&lt;4</xm:f>
            <x14:dxf>
              <font>
                <color theme="0"/>
              </font>
            </x14:dxf>
          </x14:cfRule>
          <xm:sqref>J13</xm:sqref>
        </x14:conditionalFormatting>
        <x14:conditionalFormatting xmlns:xm="http://schemas.microsoft.com/office/excel/2006/main">
          <x14:cfRule type="expression" priority="16" id="{9F4C0326-D099-467B-BEFD-F46AA020EEA9}">
            <xm:f>BasicProjectData!$I$20&gt;3</xm:f>
            <x14:dxf>
              <font>
                <color auto="1"/>
              </font>
              <fill>
                <patternFill>
                  <bgColor theme="9" tint="0.79998168889431442"/>
                </patternFill>
              </fill>
              <border>
                <left style="thin">
                  <color auto="1"/>
                </left>
                <right style="thin">
                  <color auto="1"/>
                </right>
                <top style="thin">
                  <color auto="1"/>
                </top>
                <bottom style="thin">
                  <color auto="1"/>
                </bottom>
              </border>
            </x14:dxf>
          </x14:cfRule>
          <xm:sqref>J14</xm:sqref>
        </x14:conditionalFormatting>
        <x14:conditionalFormatting xmlns:xm="http://schemas.microsoft.com/office/excel/2006/main">
          <x14:cfRule type="expression" priority="25" id="{3297A558-E466-49ED-B158-C6C087160C40}">
            <xm:f>BasicProjectData!$I$20&gt;3</xm:f>
            <x14:dxf>
              <font>
                <color auto="1"/>
              </font>
              <fill>
                <patternFill>
                  <bgColor theme="9" tint="0.79998168889431442"/>
                </patternFill>
              </fill>
              <border>
                <left style="thin">
                  <color auto="1"/>
                </left>
                <right style="thin">
                  <color auto="1"/>
                </right>
                <top style="thin">
                  <color auto="1"/>
                </top>
                <bottom style="thin">
                  <color auto="1"/>
                </bottom>
              </border>
            </x14:dxf>
          </x14:cfRule>
          <xm:sqref>J16 J18:J19 J22:J26 J28</xm:sqref>
        </x14:conditionalFormatting>
      </x14:conditionalFormattings>
    </ext>
    <ext xmlns:x14="http://schemas.microsoft.com/office/spreadsheetml/2009/9/main" uri="{CCE6A557-97BC-4b89-ADB6-D9C93CAAB3DF}">
      <x14:dataValidations xmlns:xm="http://schemas.microsoft.com/office/excel/2006/main" xWindow="457" yWindow="742" count="1">
        <x14:dataValidation type="list" allowBlank="1" showInputMessage="1" showErrorMessage="1" prompt="For most pavement preservation treatments, spot survey is recommended " xr:uid="{62B51596-2E7C-40A7-8C47-967AF73DC1AB}">
          <x14:formula1>
            <xm:f>HIDDEN!$H$62:$H$64</xm:f>
          </x14:formula1>
          <xm:sqref>D10:F10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5">
    <tabColor theme="4"/>
    <pageSetUpPr fitToPage="1"/>
  </sheetPr>
  <dimension ref="B1:AA48"/>
  <sheetViews>
    <sheetView view="pageBreakPreview" topLeftCell="A15" zoomScaleNormal="80" zoomScaleSheetLayoutView="100" workbookViewId="0">
      <selection activeCell="F16" sqref="F16"/>
    </sheetView>
  </sheetViews>
  <sheetFormatPr defaultColWidth="9.140625" defaultRowHeight="15"/>
  <cols>
    <col min="1" max="1" width="9" style="40" customWidth="1"/>
    <col min="2" max="2" width="10" style="54" customWidth="1"/>
    <col min="3" max="4" width="10.7109375" style="40" customWidth="1"/>
    <col min="5" max="5" width="11.85546875" style="40" customWidth="1"/>
    <col min="6" max="6" width="28.140625" style="40" bestFit="1" customWidth="1"/>
    <col min="7" max="7" width="13.42578125" style="40" customWidth="1"/>
    <col min="8" max="8" width="15.42578125" style="40" customWidth="1"/>
    <col min="9" max="9" width="14.28515625" style="40" customWidth="1"/>
    <col min="10" max="10" width="15" style="40" customWidth="1"/>
    <col min="11" max="11" width="11.85546875" style="40" customWidth="1"/>
    <col min="12" max="12" width="3.28515625" style="40" customWidth="1"/>
    <col min="13" max="13" width="6.85546875" style="40" customWidth="1"/>
    <col min="14" max="14" width="3" style="40" customWidth="1"/>
    <col min="15" max="15" width="3.85546875" style="40" customWidth="1"/>
    <col min="16" max="16" width="2.42578125" style="40" customWidth="1"/>
    <col min="17" max="23" width="9.140625" style="40" customWidth="1"/>
    <col min="24" max="16384" width="9.140625" style="40"/>
  </cols>
  <sheetData>
    <row r="1" spans="2:27" ht="15.75" thickBot="1">
      <c r="X1" s="744"/>
    </row>
    <row r="2" spans="2:27" ht="15" customHeight="1" thickBot="1">
      <c r="B2" s="1144" t="s">
        <v>3940</v>
      </c>
      <c r="C2" s="1144"/>
      <c r="D2" s="1144"/>
      <c r="E2" s="1144"/>
      <c r="F2" s="1144"/>
      <c r="G2" s="1144"/>
      <c r="H2" s="1144"/>
      <c r="I2" s="1144"/>
      <c r="J2" s="1144"/>
      <c r="K2" s="1145"/>
      <c r="L2"/>
      <c r="X2" s="745"/>
    </row>
    <row r="3" spans="2:27" ht="15" customHeight="1" thickBot="1">
      <c r="B3" s="1144"/>
      <c r="C3" s="1144"/>
      <c r="D3" s="1144"/>
      <c r="E3" s="1144"/>
      <c r="F3" s="1144"/>
      <c r="G3" s="1144"/>
      <c r="H3" s="1144"/>
      <c r="I3" s="1144"/>
      <c r="J3" s="1144"/>
      <c r="K3" s="1145"/>
      <c r="L3"/>
    </row>
    <row r="4" spans="2:27" ht="15.75" customHeight="1">
      <c r="B4" s="770"/>
      <c r="C4" s="544" t="str">
        <f ca="1">INSTRUCTIONS!C8</f>
        <v xml:space="preserve"> </v>
      </c>
      <c r="D4" s="771"/>
      <c r="E4" s="771"/>
      <c r="F4" s="771"/>
      <c r="G4" s="771"/>
      <c r="H4" s="771"/>
      <c r="I4" s="771"/>
      <c r="J4" s="544"/>
      <c r="K4" s="772"/>
      <c r="L4"/>
    </row>
    <row r="5" spans="2:27" ht="15.75" customHeight="1">
      <c r="B5" s="773"/>
      <c r="C5" s="1047" t="s">
        <v>838</v>
      </c>
      <c r="D5" s="1047"/>
      <c r="E5" s="1047"/>
      <c r="F5" s="1047"/>
      <c r="G5" s="1047"/>
      <c r="H5" s="1047"/>
      <c r="I5" s="1047"/>
      <c r="J5" s="1047"/>
      <c r="K5" s="774"/>
      <c r="L5" s="517"/>
    </row>
    <row r="6" spans="2:27" ht="15.75" customHeight="1">
      <c r="B6" s="50"/>
      <c r="C6" s="775"/>
      <c r="J6" s="91"/>
      <c r="K6" s="774"/>
      <c r="L6" s="517"/>
    </row>
    <row r="7" spans="2:27" ht="15.75" customHeight="1">
      <c r="B7" s="50"/>
      <c r="C7" s="38" t="s">
        <v>4021</v>
      </c>
      <c r="D7" s="59"/>
      <c r="E7" s="59"/>
      <c r="F7" s="59"/>
      <c r="I7" s="1099"/>
      <c r="K7" s="774"/>
      <c r="L7" s="517"/>
    </row>
    <row r="8" spans="2:27" ht="15" customHeight="1">
      <c r="B8" s="50"/>
      <c r="C8" s="1054" t="s">
        <v>3830</v>
      </c>
      <c r="D8" s="1054"/>
      <c r="E8" s="1054"/>
      <c r="F8" s="1054"/>
      <c r="G8" s="1031"/>
      <c r="H8" s="1032"/>
      <c r="I8" s="1089">
        <f>SUM(I9:I10)</f>
        <v>0</v>
      </c>
      <c r="K8" s="774"/>
      <c r="L8" s="517"/>
    </row>
    <row r="9" spans="2:27">
      <c r="B9" s="43"/>
      <c r="D9" s="38"/>
      <c r="E9" s="38"/>
      <c r="F9" s="38"/>
      <c r="H9" s="68" t="s">
        <v>3831</v>
      </c>
      <c r="I9" s="92"/>
      <c r="K9" s="44"/>
    </row>
    <row r="10" spans="2:27">
      <c r="B10" s="43"/>
      <c r="H10" s="68" t="s">
        <v>3832</v>
      </c>
      <c r="I10" s="92"/>
      <c r="K10" s="44"/>
    </row>
    <row r="11" spans="2:27" ht="15.75" customHeight="1">
      <c r="B11" s="50"/>
      <c r="C11" s="226" t="s">
        <v>3833</v>
      </c>
      <c r="D11" s="226"/>
      <c r="E11" s="226"/>
      <c r="F11" s="226"/>
      <c r="H11" s="794" t="s">
        <v>3754</v>
      </c>
      <c r="K11" s="774"/>
      <c r="L11" s="517"/>
    </row>
    <row r="12" spans="2:27">
      <c r="B12" s="50"/>
      <c r="K12" s="776"/>
      <c r="L12" s="777"/>
      <c r="R12" s="103"/>
      <c r="U12" s="103"/>
      <c r="V12" s="64"/>
      <c r="W12" s="717"/>
      <c r="X12" s="64"/>
      <c r="Y12" s="717"/>
      <c r="Z12" s="64"/>
      <c r="AA12" s="64"/>
    </row>
    <row r="13" spans="2:27">
      <c r="B13" s="50"/>
      <c r="C13" s="38"/>
      <c r="D13" s="38"/>
      <c r="F13" s="778"/>
      <c r="G13" s="54" t="s">
        <v>784</v>
      </c>
      <c r="H13" s="54" t="s">
        <v>785</v>
      </c>
      <c r="I13" s="54" t="s">
        <v>786</v>
      </c>
      <c r="J13" s="54" t="s">
        <v>787</v>
      </c>
      <c r="K13" s="776"/>
      <c r="L13" s="777"/>
      <c r="V13" s="64"/>
      <c r="W13" s="779"/>
      <c r="X13" s="64"/>
      <c r="Y13" s="779"/>
      <c r="Z13" s="64"/>
      <c r="AA13" s="64"/>
    </row>
    <row r="14" spans="2:27">
      <c r="B14" s="50"/>
      <c r="F14" s="229" t="s">
        <v>837</v>
      </c>
      <c r="G14" s="795"/>
      <c r="H14" s="796"/>
      <c r="I14" s="796"/>
      <c r="J14" s="796"/>
      <c r="K14" s="776"/>
      <c r="L14" s="777"/>
      <c r="R14" s="57"/>
      <c r="V14" s="64"/>
      <c r="W14" s="779"/>
      <c r="X14" s="64"/>
      <c r="Y14" s="779"/>
      <c r="Z14" s="64"/>
      <c r="AA14" s="64"/>
    </row>
    <row r="15" spans="2:27">
      <c r="B15" s="50"/>
      <c r="C15" s="197" t="s">
        <v>760</v>
      </c>
      <c r="D15" s="51"/>
      <c r="E15" s="51"/>
      <c r="F15" s="51"/>
      <c r="G15" s="94"/>
      <c r="H15" s="1093"/>
      <c r="I15" s="95"/>
      <c r="J15" s="1093"/>
      <c r="K15" s="776"/>
      <c r="L15" s="777"/>
      <c r="V15" s="64"/>
      <c r="W15" s="779"/>
      <c r="X15" s="64"/>
      <c r="Y15" s="64"/>
      <c r="Z15" s="64"/>
      <c r="AA15" s="64"/>
    </row>
    <row r="16" spans="2:27">
      <c r="B16" s="50"/>
      <c r="C16" s="197" t="s">
        <v>761</v>
      </c>
      <c r="D16" s="51"/>
      <c r="E16" s="51"/>
      <c r="F16" s="51"/>
      <c r="G16" s="94"/>
      <c r="H16" s="1093"/>
      <c r="I16" s="95"/>
      <c r="J16" s="1093"/>
      <c r="K16" s="776"/>
      <c r="L16" s="777"/>
      <c r="V16" s="64"/>
      <c r="W16" s="779"/>
      <c r="X16" s="64"/>
      <c r="Y16" s="64"/>
      <c r="Z16" s="64"/>
      <c r="AA16" s="64"/>
    </row>
    <row r="17" spans="2:27">
      <c r="B17" s="50"/>
      <c r="C17" s="197" t="s">
        <v>765</v>
      </c>
      <c r="D17" s="51"/>
      <c r="E17" s="51"/>
      <c r="F17" s="51"/>
      <c r="G17" s="95"/>
      <c r="H17" s="1093"/>
      <c r="I17" s="95"/>
      <c r="J17" s="1093"/>
      <c r="K17" s="776"/>
      <c r="L17" s="777"/>
      <c r="V17" s="64"/>
      <c r="W17" s="64"/>
      <c r="X17" s="64"/>
      <c r="Y17" s="64"/>
      <c r="Z17" s="64"/>
      <c r="AA17" s="64"/>
    </row>
    <row r="18" spans="2:27">
      <c r="B18" s="50"/>
      <c r="C18" s="197" t="s">
        <v>776</v>
      </c>
      <c r="D18" s="51"/>
      <c r="E18" s="51"/>
      <c r="F18" s="51"/>
      <c r="G18" s="95"/>
      <c r="H18" s="1093"/>
      <c r="I18" s="95"/>
      <c r="J18" s="1093"/>
      <c r="K18" s="776"/>
      <c r="L18" s="777"/>
      <c r="R18" s="103"/>
      <c r="V18" s="64"/>
      <c r="W18" s="64"/>
      <c r="X18" s="64"/>
      <c r="Y18" s="64"/>
      <c r="Z18" s="64"/>
      <c r="AA18" s="64"/>
    </row>
    <row r="19" spans="2:27">
      <c r="B19" s="703"/>
      <c r="C19" s="197" t="s">
        <v>777</v>
      </c>
      <c r="D19" s="51"/>
      <c r="E19" s="51"/>
      <c r="F19" s="51"/>
      <c r="G19" s="95"/>
      <c r="H19" s="1093"/>
      <c r="I19" s="95"/>
      <c r="J19" s="1093"/>
      <c r="K19" s="776"/>
      <c r="L19" s="777"/>
      <c r="V19" s="64"/>
      <c r="W19" s="64"/>
      <c r="X19" s="64"/>
      <c r="Y19" s="64"/>
      <c r="Z19" s="64"/>
      <c r="AA19" s="64"/>
    </row>
    <row r="20" spans="2:27" ht="15" customHeight="1">
      <c r="B20" s="703"/>
      <c r="C20" s="197" t="s">
        <v>769</v>
      </c>
      <c r="D20" s="51"/>
      <c r="E20" s="51"/>
      <c r="F20" s="51"/>
      <c r="G20" s="94"/>
      <c r="H20" s="1093"/>
      <c r="I20" s="95"/>
      <c r="J20" s="1093"/>
      <c r="K20" s="776"/>
      <c r="L20" s="777"/>
      <c r="V20" s="64"/>
      <c r="W20" s="64"/>
      <c r="X20" s="64"/>
      <c r="Y20" s="64"/>
      <c r="Z20" s="64"/>
      <c r="AA20" s="64"/>
    </row>
    <row r="21" spans="2:27">
      <c r="B21" s="703"/>
      <c r="C21" s="197" t="s">
        <v>792</v>
      </c>
      <c r="D21" s="51"/>
      <c r="E21" s="51"/>
      <c r="G21" s="95"/>
      <c r="H21" s="1093"/>
      <c r="I21" s="95"/>
      <c r="J21" s="1093"/>
      <c r="K21" s="776"/>
      <c r="L21" s="777"/>
      <c r="V21" s="64"/>
      <c r="W21" s="64"/>
      <c r="X21" s="64"/>
      <c r="Y21" s="64"/>
      <c r="Z21" s="64"/>
      <c r="AA21" s="64"/>
    </row>
    <row r="22" spans="2:27" ht="150" customHeight="1">
      <c r="B22" s="703"/>
      <c r="C22" s="197"/>
      <c r="D22" s="51"/>
      <c r="E22" s="51"/>
      <c r="G22" s="1034"/>
      <c r="H22" s="1035"/>
      <c r="I22" s="1034"/>
      <c r="J22" s="1035"/>
      <c r="K22" s="776"/>
      <c r="L22" s="777"/>
      <c r="M22" s="39"/>
      <c r="N22" s="39"/>
      <c r="V22" s="64"/>
      <c r="W22" s="64"/>
      <c r="X22" s="64"/>
      <c r="Y22" s="64"/>
      <c r="Z22" s="64"/>
      <c r="AA22" s="64"/>
    </row>
    <row r="23" spans="2:27" ht="150" customHeight="1">
      <c r="B23" s="703"/>
      <c r="C23" s="197"/>
      <c r="D23" s="51"/>
      <c r="E23" s="51"/>
      <c r="G23" s="1034"/>
      <c r="H23" s="1035"/>
      <c r="I23" s="1034"/>
      <c r="J23" s="1035"/>
      <c r="K23" s="776"/>
      <c r="L23" s="777"/>
      <c r="M23" s="39"/>
      <c r="N23" s="39"/>
      <c r="V23" s="64"/>
      <c r="W23" s="64"/>
      <c r="X23" s="64"/>
      <c r="Y23" s="64"/>
      <c r="Z23" s="64"/>
      <c r="AA23" s="64"/>
    </row>
    <row r="24" spans="2:27" ht="150" customHeight="1">
      <c r="B24" s="780"/>
      <c r="C24" s="781"/>
      <c r="D24" s="782"/>
      <c r="E24" s="782"/>
      <c r="F24" s="622"/>
      <c r="G24" s="1036"/>
      <c r="H24" s="1037"/>
      <c r="I24" s="1036"/>
      <c r="J24" s="1037"/>
      <c r="K24" s="783"/>
      <c r="L24" s="777"/>
      <c r="M24" s="39"/>
      <c r="N24" s="39"/>
      <c r="V24" s="64"/>
      <c r="W24" s="64"/>
      <c r="X24" s="64"/>
      <c r="Y24" s="64"/>
      <c r="Z24" s="64"/>
      <c r="AA24" s="64"/>
    </row>
    <row r="25" spans="2:27" ht="15.75">
      <c r="B25" s="784"/>
      <c r="C25" s="785" t="s">
        <v>762</v>
      </c>
      <c r="D25" s="623"/>
      <c r="E25" s="623"/>
      <c r="F25" s="623"/>
      <c r="G25" s="623"/>
      <c r="H25" s="623"/>
      <c r="I25" s="623"/>
      <c r="J25" s="623"/>
      <c r="K25" s="626"/>
    </row>
    <row r="26" spans="2:27" ht="18.75">
      <c r="B26" s="50"/>
      <c r="C26" s="38"/>
      <c r="D26" s="1033" t="s">
        <v>3851</v>
      </c>
      <c r="F26" s="1038"/>
      <c r="H26" s="1035"/>
      <c r="I26" s="75"/>
      <c r="J26" s="1034"/>
      <c r="K26" s="776"/>
      <c r="L26" s="777"/>
      <c r="M26" s="125"/>
      <c r="N26" s="125"/>
      <c r="R26" s="64"/>
      <c r="S26" s="64"/>
      <c r="T26" s="64"/>
      <c r="U26" s="64"/>
      <c r="V26" s="64"/>
      <c r="W26" s="64"/>
      <c r="X26" s="64"/>
      <c r="Y26" s="64"/>
      <c r="Z26" s="64"/>
      <c r="AA26" s="64"/>
    </row>
    <row r="27" spans="2:27">
      <c r="B27" s="50"/>
      <c r="F27" s="76"/>
      <c r="G27" s="758"/>
      <c r="H27" s="1035"/>
      <c r="I27" s="758"/>
      <c r="J27" s="1034"/>
      <c r="K27" s="776"/>
      <c r="L27" s="777"/>
      <c r="M27" s="125"/>
      <c r="N27" s="125"/>
      <c r="R27" s="64"/>
      <c r="S27" s="64"/>
      <c r="T27" s="64"/>
      <c r="U27" s="64"/>
      <c r="V27" s="64"/>
      <c r="W27" s="64"/>
      <c r="X27" s="64"/>
      <c r="Y27" s="64"/>
      <c r="Z27" s="64"/>
      <c r="AA27" s="64"/>
    </row>
    <row r="28" spans="2:27">
      <c r="B28" s="50"/>
      <c r="F28" s="51" t="s">
        <v>763</v>
      </c>
      <c r="G28" s="95"/>
      <c r="H28" s="1093"/>
      <c r="I28" s="95"/>
      <c r="J28" s="1093"/>
      <c r="K28" s="776"/>
      <c r="L28" s="777"/>
      <c r="N28" s="786"/>
      <c r="O28" s="786"/>
      <c r="P28" s="786"/>
      <c r="R28" s="64"/>
      <c r="S28" s="64"/>
      <c r="T28" s="64"/>
      <c r="U28" s="64"/>
      <c r="V28" s="64"/>
      <c r="W28" s="64"/>
      <c r="X28" s="64"/>
      <c r="Y28" s="64"/>
      <c r="Z28" s="64"/>
      <c r="AA28" s="64"/>
    </row>
    <row r="29" spans="2:27">
      <c r="B29" s="50"/>
      <c r="D29" s="918"/>
      <c r="E29" s="1034"/>
      <c r="F29" s="51" t="s">
        <v>764</v>
      </c>
      <c r="G29" s="95"/>
      <c r="H29" s="1093"/>
      <c r="I29" s="95"/>
      <c r="J29" s="1093"/>
      <c r="K29" s="776"/>
      <c r="L29" s="777"/>
      <c r="N29" s="786"/>
      <c r="O29" s="786"/>
      <c r="P29" s="786"/>
      <c r="R29" s="64"/>
      <c r="S29" s="64"/>
      <c r="T29" s="64"/>
      <c r="U29" s="64"/>
      <c r="V29" s="64"/>
      <c r="W29" s="64"/>
      <c r="X29" s="64"/>
      <c r="Y29" s="64"/>
      <c r="Z29" s="64"/>
      <c r="AA29" s="64"/>
    </row>
    <row r="30" spans="2:27">
      <c r="B30" s="50"/>
      <c r="D30" s="918"/>
      <c r="E30" s="1034"/>
      <c r="F30" s="51" t="s">
        <v>781</v>
      </c>
      <c r="G30" s="95"/>
      <c r="H30" s="1093"/>
      <c r="I30" s="95"/>
      <c r="J30" s="1093"/>
      <c r="K30" s="776"/>
      <c r="L30" s="777"/>
      <c r="M30" s="787"/>
      <c r="N30" s="786"/>
      <c r="O30" s="786"/>
      <c r="P30" s="786"/>
      <c r="R30" s="717"/>
      <c r="S30" s="64"/>
      <c r="T30" s="64"/>
      <c r="U30" s="64"/>
      <c r="V30" s="64"/>
      <c r="W30" s="64"/>
      <c r="X30" s="64"/>
      <c r="Y30" s="64"/>
      <c r="Z30" s="64"/>
      <c r="AA30" s="64"/>
    </row>
    <row r="31" spans="2:27">
      <c r="B31" s="50"/>
      <c r="D31" s="918"/>
      <c r="E31" s="1034"/>
      <c r="F31" s="51" t="s">
        <v>1594</v>
      </c>
      <c r="G31" s="95"/>
      <c r="H31" s="1093"/>
      <c r="I31" s="95"/>
      <c r="J31" s="1093"/>
      <c r="K31" s="776"/>
      <c r="L31" s="777"/>
      <c r="N31" s="786"/>
      <c r="O31" s="786"/>
      <c r="P31" s="786"/>
      <c r="R31" s="64"/>
      <c r="S31" s="64"/>
      <c r="T31" s="64"/>
      <c r="U31" s="64"/>
      <c r="V31" s="64"/>
      <c r="W31" s="64"/>
      <c r="X31" s="64"/>
      <c r="Y31" s="64"/>
      <c r="Z31" s="64"/>
      <c r="AA31" s="64"/>
    </row>
    <row r="32" spans="2:27" ht="15" customHeight="1">
      <c r="B32" s="50"/>
      <c r="D32" s="918"/>
      <c r="E32" s="1034"/>
      <c r="F32" s="51" t="s">
        <v>3683</v>
      </c>
      <c r="G32" s="95"/>
      <c r="H32" s="1093"/>
      <c r="I32" s="95"/>
      <c r="J32" s="1093"/>
      <c r="K32" s="776"/>
      <c r="L32" s="777"/>
      <c r="N32" s="788"/>
      <c r="O32" s="788"/>
      <c r="P32" s="788"/>
      <c r="Q32" s="67"/>
      <c r="R32" s="64"/>
      <c r="S32" s="64"/>
      <c r="T32" s="64"/>
      <c r="U32" s="64"/>
      <c r="V32" s="64"/>
      <c r="W32" s="64"/>
      <c r="X32" s="64"/>
      <c r="Y32" s="64"/>
      <c r="Z32" s="64"/>
      <c r="AA32" s="64"/>
    </row>
    <row r="33" spans="2:27" ht="15" customHeight="1">
      <c r="B33" s="50"/>
      <c r="D33" s="918"/>
      <c r="E33" s="1034"/>
      <c r="F33" s="51" t="s">
        <v>1793</v>
      </c>
      <c r="G33" s="95"/>
      <c r="H33" s="1093"/>
      <c r="I33" s="95"/>
      <c r="J33" s="1093"/>
      <c r="K33" s="776"/>
      <c r="L33" s="777"/>
      <c r="N33" s="786"/>
      <c r="O33" s="786"/>
      <c r="P33" s="786"/>
      <c r="R33" s="64"/>
      <c r="S33" s="64"/>
      <c r="T33" s="64"/>
      <c r="U33" s="64"/>
      <c r="V33" s="64"/>
      <c r="W33" s="64"/>
      <c r="X33" s="64"/>
      <c r="Y33" s="64"/>
      <c r="Z33" s="64"/>
      <c r="AA33" s="64"/>
    </row>
    <row r="34" spans="2:27" ht="15" customHeight="1">
      <c r="B34" s="50"/>
      <c r="D34" s="918"/>
      <c r="E34" s="1034"/>
      <c r="F34" s="51" t="s">
        <v>3755</v>
      </c>
      <c r="G34" s="1097"/>
      <c r="H34" s="1093"/>
      <c r="I34" s="1097"/>
      <c r="J34" s="1098"/>
      <c r="K34" s="776"/>
      <c r="L34" s="777"/>
      <c r="N34" s="786"/>
      <c r="O34" s="786"/>
      <c r="P34" s="786"/>
      <c r="Q34" s="67"/>
      <c r="R34" s="64"/>
      <c r="S34" s="64"/>
      <c r="T34" s="64"/>
      <c r="U34" s="64"/>
      <c r="V34" s="64"/>
      <c r="W34" s="64"/>
      <c r="X34" s="64"/>
      <c r="Y34" s="64"/>
      <c r="Z34" s="64"/>
      <c r="AA34" s="64"/>
    </row>
    <row r="35" spans="2:27" ht="15.75">
      <c r="B35" s="50"/>
      <c r="C35" s="789" t="s">
        <v>766</v>
      </c>
      <c r="D35" s="918"/>
      <c r="E35" s="1034"/>
      <c r="F35" s="97"/>
      <c r="G35" s="97"/>
      <c r="H35" s="777"/>
      <c r="I35" s="777"/>
      <c r="J35" s="777"/>
      <c r="K35" s="776"/>
      <c r="L35" s="777"/>
      <c r="M35" s="67"/>
      <c r="N35" s="67"/>
      <c r="O35" s="67"/>
      <c r="P35" s="67"/>
      <c r="Q35" s="67"/>
      <c r="R35" s="64"/>
      <c r="S35" s="64"/>
      <c r="T35" s="64"/>
      <c r="U35" s="64"/>
      <c r="V35" s="64"/>
      <c r="W35" s="64"/>
      <c r="X35" s="64"/>
      <c r="Y35" s="64"/>
      <c r="Z35" s="64"/>
      <c r="AA35" s="64"/>
    </row>
    <row r="36" spans="2:27" ht="18.75">
      <c r="B36" s="50"/>
      <c r="C36" s="38"/>
      <c r="D36" s="1033" t="s">
        <v>778</v>
      </c>
      <c r="E36" s="1039"/>
      <c r="F36" s="1040"/>
      <c r="H36" s="1041"/>
      <c r="I36" s="1041"/>
      <c r="J36" s="758"/>
      <c r="K36" s="776"/>
      <c r="L36" s="777"/>
      <c r="R36" s="64"/>
      <c r="S36" s="64"/>
      <c r="T36" s="64"/>
      <c r="U36" s="64"/>
      <c r="V36" s="64"/>
      <c r="W36" s="64"/>
      <c r="X36" s="64"/>
      <c r="Y36" s="64"/>
      <c r="Z36" s="64"/>
      <c r="AA36" s="64"/>
    </row>
    <row r="37" spans="2:27">
      <c r="B37" s="50"/>
      <c r="C37" s="790"/>
      <c r="D37" s="918"/>
      <c r="E37" s="1034"/>
      <c r="F37" s="97"/>
      <c r="G37" s="758"/>
      <c r="H37" s="758"/>
      <c r="I37" s="758"/>
      <c r="J37" s="758"/>
      <c r="K37" s="776"/>
      <c r="L37" s="777"/>
      <c r="R37" s="64"/>
      <c r="S37" s="64"/>
      <c r="T37" s="64"/>
      <c r="U37" s="64"/>
      <c r="V37" s="64"/>
      <c r="W37" s="64"/>
      <c r="X37" s="64"/>
      <c r="Y37" s="64"/>
      <c r="Z37" s="64"/>
      <c r="AA37" s="64"/>
    </row>
    <row r="38" spans="2:27">
      <c r="B38" s="50"/>
      <c r="C38" s="38"/>
      <c r="D38" s="918"/>
      <c r="E38" s="1034"/>
      <c r="F38" s="51" t="s">
        <v>763</v>
      </c>
      <c r="G38" s="95">
        <f>G17</f>
        <v>0</v>
      </c>
      <c r="H38" s="1093">
        <f>H17*1</f>
        <v>0</v>
      </c>
      <c r="I38" s="95">
        <f>I17*1</f>
        <v>0</v>
      </c>
      <c r="J38" s="1093">
        <f>J17*1</f>
        <v>0</v>
      </c>
      <c r="K38" s="776"/>
      <c r="L38" s="777"/>
      <c r="Q38" s="38"/>
    </row>
    <row r="39" spans="2:27">
      <c r="B39" s="50"/>
      <c r="C39" s="38"/>
      <c r="D39" s="918"/>
      <c r="E39" s="1034"/>
      <c r="F39" s="51" t="s">
        <v>764</v>
      </c>
      <c r="G39" s="95">
        <f>G17</f>
        <v>0</v>
      </c>
      <c r="H39" s="1093">
        <f>H17</f>
        <v>0</v>
      </c>
      <c r="I39" s="95">
        <f>I17</f>
        <v>0</v>
      </c>
      <c r="J39" s="1093">
        <f>J17</f>
        <v>0</v>
      </c>
      <c r="K39" s="776"/>
      <c r="L39" s="777"/>
    </row>
    <row r="40" spans="2:27">
      <c r="B40" s="50"/>
      <c r="C40" s="38"/>
      <c r="D40" s="918"/>
      <c r="E40" s="1034"/>
      <c r="F40" s="51" t="s">
        <v>781</v>
      </c>
      <c r="G40" s="95">
        <f>G17*3</f>
        <v>0</v>
      </c>
      <c r="H40" s="1093">
        <f>H17*3</f>
        <v>0</v>
      </c>
      <c r="I40" s="95">
        <f>I17*3</f>
        <v>0</v>
      </c>
      <c r="J40" s="1093">
        <f>J17*3</f>
        <v>0</v>
      </c>
      <c r="K40" s="44"/>
    </row>
    <row r="41" spans="2:27">
      <c r="B41" s="791"/>
      <c r="C41" s="38"/>
      <c r="D41" s="918"/>
      <c r="E41" s="1034"/>
      <c r="F41" s="51" t="s">
        <v>1594</v>
      </c>
      <c r="G41" s="95">
        <f>G21*2</f>
        <v>0</v>
      </c>
      <c r="H41" s="1093">
        <f>H21*2</f>
        <v>0</v>
      </c>
      <c r="I41" s="95">
        <f>I21*2</f>
        <v>0</v>
      </c>
      <c r="J41" s="1093">
        <f>J21*2</f>
        <v>0</v>
      </c>
      <c r="K41" s="44"/>
    </row>
    <row r="42" spans="2:27">
      <c r="B42" s="791"/>
      <c r="C42" s="38"/>
      <c r="D42" s="918"/>
      <c r="E42" s="1034"/>
      <c r="F42" s="51" t="s">
        <v>3683</v>
      </c>
      <c r="G42" s="95">
        <f>G21*2</f>
        <v>0</v>
      </c>
      <c r="H42" s="1093">
        <f>2*H21</f>
        <v>0</v>
      </c>
      <c r="I42" s="95">
        <f>2*I21</f>
        <v>0</v>
      </c>
      <c r="J42" s="1093">
        <f>2*J21</f>
        <v>0</v>
      </c>
      <c r="K42" s="44"/>
    </row>
    <row r="43" spans="2:27">
      <c r="B43" s="791"/>
      <c r="C43" s="38"/>
      <c r="D43" s="918"/>
      <c r="E43" s="1034"/>
      <c r="F43" s="51" t="s">
        <v>1794</v>
      </c>
      <c r="G43" s="95"/>
      <c r="H43" s="1093"/>
      <c r="I43" s="95"/>
      <c r="J43" s="1093"/>
      <c r="K43" s="44"/>
    </row>
    <row r="44" spans="2:27" ht="24.75" customHeight="1">
      <c r="B44" s="43"/>
      <c r="C44" s="38"/>
      <c r="D44" s="918"/>
      <c r="E44" s="1034"/>
      <c r="F44" s="51" t="s">
        <v>772</v>
      </c>
      <c r="G44" s="1094"/>
      <c r="H44" s="1093"/>
      <c r="I44" s="95"/>
      <c r="J44" s="1093"/>
      <c r="K44" s="44"/>
    </row>
    <row r="45" spans="2:27" ht="15.75" thickBot="1">
      <c r="B45" s="792"/>
      <c r="C45" s="88"/>
      <c r="D45" s="88"/>
      <c r="E45" s="88"/>
      <c r="F45" s="793" t="s">
        <v>1700</v>
      </c>
      <c r="G45" s="1095"/>
      <c r="H45" s="1093"/>
      <c r="I45" s="1095"/>
      <c r="J45" s="1096"/>
      <c r="K45" s="72"/>
    </row>
    <row r="46" spans="2:27" ht="15" customHeight="1"/>
    <row r="47" spans="2:27" ht="15" customHeight="1"/>
    <row r="48" spans="2:27" ht="15" customHeight="1"/>
  </sheetData>
  <mergeCells count="1">
    <mergeCell ref="B2:K3"/>
  </mergeCells>
  <phoneticPr fontId="7" type="noConversion"/>
  <conditionalFormatting sqref="G17:G21">
    <cfRule type="expression" dxfId="83" priority="3">
      <formula>$G$16="Roundabout"</formula>
    </cfRule>
  </conditionalFormatting>
  <conditionalFormatting sqref="G28:G34 G38:G45">
    <cfRule type="expression" dxfId="81" priority="9">
      <formula>$G$16="Roundabout"</formula>
    </cfRule>
  </conditionalFormatting>
  <conditionalFormatting sqref="G28:G34">
    <cfRule type="expression" dxfId="80" priority="14">
      <formula>$G$15="Unsignalized"</formula>
    </cfRule>
  </conditionalFormatting>
  <conditionalFormatting sqref="G14:J14">
    <cfRule type="containsBlanks" dxfId="78" priority="314">
      <formula>LEN(TRIM(G14))=0</formula>
    </cfRule>
  </conditionalFormatting>
  <conditionalFormatting sqref="H13:H14">
    <cfRule type="expression" dxfId="77" priority="83">
      <formula>$I$7&lt;2</formula>
    </cfRule>
  </conditionalFormatting>
  <conditionalFormatting sqref="H17:H21">
    <cfRule type="expression" dxfId="76" priority="4">
      <formula>$H$16="Roundabout"</formula>
    </cfRule>
  </conditionalFormatting>
  <conditionalFormatting sqref="H28:H34 H38:H45">
    <cfRule type="expression" dxfId="75" priority="8">
      <formula>$H$16="Roundabout"</formula>
    </cfRule>
  </conditionalFormatting>
  <conditionalFormatting sqref="H28:H34">
    <cfRule type="expression" dxfId="73" priority="32">
      <formula>$I$7&lt;2</formula>
    </cfRule>
    <cfRule type="expression" dxfId="72" priority="13">
      <formula>$H$15="Unsignalized"</formula>
    </cfRule>
  </conditionalFormatting>
  <conditionalFormatting sqref="H38:H45">
    <cfRule type="expression" dxfId="71" priority="5">
      <formula>$I$7&lt;2</formula>
    </cfRule>
  </conditionalFormatting>
  <conditionalFormatting sqref="H40:H44 H15:H21">
    <cfRule type="expression" dxfId="69" priority="61">
      <formula>$I$7&lt;2</formula>
    </cfRule>
  </conditionalFormatting>
  <conditionalFormatting sqref="H45">
    <cfRule type="expression" dxfId="67" priority="25">
      <formula>$I$7&lt;2</formula>
    </cfRule>
  </conditionalFormatting>
  <conditionalFormatting sqref="I13:I14">
    <cfRule type="expression" dxfId="66" priority="84">
      <formula>$I$7&lt;3</formula>
    </cfRule>
  </conditionalFormatting>
  <conditionalFormatting sqref="I15:I21">
    <cfRule type="expression" dxfId="65" priority="39">
      <formula>$I$7&lt;3</formula>
    </cfRule>
  </conditionalFormatting>
  <conditionalFormatting sqref="I17:I21">
    <cfRule type="expression" dxfId="64" priority="2">
      <formula>$I$16="Roundabout"</formula>
    </cfRule>
  </conditionalFormatting>
  <conditionalFormatting sqref="I28:I34 I38:I45">
    <cfRule type="expression" dxfId="62" priority="7">
      <formula>$I$16="Roundabout"</formula>
    </cfRule>
  </conditionalFormatting>
  <conditionalFormatting sqref="I28:I34">
    <cfRule type="expression" dxfId="61" priority="30">
      <formula>$I$7&lt;3</formula>
    </cfRule>
    <cfRule type="expression" dxfId="60" priority="12">
      <formula>$I$15="Unsignalized"</formula>
    </cfRule>
  </conditionalFormatting>
  <conditionalFormatting sqref="I38:I44">
    <cfRule type="expression" dxfId="59" priority="17">
      <formula>$I$7&lt;3</formula>
    </cfRule>
  </conditionalFormatting>
  <conditionalFormatting sqref="I45">
    <cfRule type="expression" dxfId="56" priority="23">
      <formula>$I$7&lt;3</formula>
    </cfRule>
  </conditionalFormatting>
  <conditionalFormatting sqref="J13:J14">
    <cfRule type="expression" dxfId="55" priority="46">
      <formula>$I$7&lt;4</formula>
    </cfRule>
  </conditionalFormatting>
  <conditionalFormatting sqref="J15:J21">
    <cfRule type="expression" dxfId="54" priority="59">
      <formula>$I$7&lt;4</formula>
    </cfRule>
  </conditionalFormatting>
  <conditionalFormatting sqref="J17:J21">
    <cfRule type="expression" dxfId="53" priority="1">
      <formula>$J$16="Roundabout"</formula>
    </cfRule>
  </conditionalFormatting>
  <conditionalFormatting sqref="J28:J34 J38:J45">
    <cfRule type="expression" dxfId="51" priority="6">
      <formula>$J$16="Roundabout"</formula>
    </cfRule>
  </conditionalFormatting>
  <conditionalFormatting sqref="J28:J34">
    <cfRule type="expression" dxfId="50" priority="28">
      <formula>$I$7&lt;4</formula>
    </cfRule>
    <cfRule type="expression" dxfId="49" priority="10">
      <formula>$J$15="Unsignalized"</formula>
    </cfRule>
  </conditionalFormatting>
  <conditionalFormatting sqref="J38:J45">
    <cfRule type="expression" dxfId="48" priority="15">
      <formula>$I$7&lt;4</formula>
    </cfRule>
  </conditionalFormatting>
  <dataValidations xWindow="938" yWindow="438" count="28">
    <dataValidation type="list" allowBlank="1" showInputMessage="1" showErrorMessage="1" prompt="Input proposed vehicular detection - Loops for inductive-loop traffic detectors, video for video detection systems, or none for no detection or no proposed change" sqref="G43:J43" xr:uid="{E8F93995-BBA7-40DA-A175-BB18DB466CA7}">
      <formula1>Detection</formula1>
    </dataValidation>
    <dataValidation type="list" allowBlank="1" showInputMessage="1" showErrorMessage="1" prompt="Indicate whether the signal controller will be retained or needs to be replaced.  If unknown, the conservative assumption is replacement, however in minor retrofits this may not be the case." sqref="G34:J34" xr:uid="{04A9A331-8304-47A9-8D84-3AFCA6A6D29F}">
      <formula1>Condition</formula1>
    </dataValidation>
    <dataValidation type="list" allowBlank="1" showInputMessage="1" showErrorMessage="1" prompt="Indicate the type of work to be done - New Construction for a full signal construction/reconstruction, upgrade/retrofit for minor equipment upgrades, or just a signal timing update" sqref="G20:J20" xr:uid="{9F2489F1-F41A-420A-8EB3-3C55EB97D794}">
      <formula1>Construction</formula1>
    </dataValidation>
    <dataValidation type="list" allowBlank="1" showInputMessage="1" showErrorMessage="1" prompt="Indicate whether signal timing changes are an aspect of this project (mostly applicable to upgrades/retrofits)" sqref="G44:J44" xr:uid="{1D1E427F-BAD1-4A9B-B5B0-423A87E5D4CE}">
      <formula1>Timing</formula1>
    </dataValidation>
    <dataValidation type="list" allowBlank="1" showInputMessage="1" showErrorMessage="1" prompt="Input the proposed intersection control type" sqref="G16:J16" xr:uid="{FD3DB9AB-7078-4C9A-BA5B-F6FA2D7CC81B}">
      <formula1>"Signalized,Roundabout"</formula1>
    </dataValidation>
    <dataValidation type="whole" errorStyle="information" operator="lessThanOrEqual" allowBlank="1" showInputMessage="1" error="The tool will estimate the cost for underpasses and overpasses, but a structural engineer should be consulted." prompt="Do Not Input this Cell - Input the total # of RRFB and PHB locations below" sqref="I8" xr:uid="{FD88B92E-860D-4674-9539-EEAD5FBD381A}">
      <formula1>0</formula1>
    </dataValidation>
    <dataValidation type="whole" errorStyle="information" operator="lessThanOrEqual" allowBlank="1" showInputMessage="1" showErrorMessage="1" error="The tool only supports 4 intersections at once, any additional intersections should be determined in another copy of the tool" prompt="Include any intersections that are to be signalized or will involve signal retrofits, tool supports up to 4 intersections" sqref="I7" xr:uid="{6A8C7AF1-5D2C-4771-9CAA-E16017106331}">
      <formula1>4</formula1>
    </dataValidation>
    <dataValidation errorStyle="information" operator="lessThanOrEqual" allowBlank="1" showInputMessage="1" error="The tool will estimate the cost for underpasses and overpasses, but a structural engineer should be consulted." prompt="Input Total Number of Locations for PHBs :: 1 location = 1 mast arm assumed" sqref="I10:I11" xr:uid="{8607CAC2-B5F3-4B60-B880-799E786E6FF2}"/>
    <dataValidation type="list" allowBlank="1" showInputMessage="1" showErrorMessage="1" prompt="Input how many legs (approaches, roadways, directions) the intersection will be - tool supports up to 5 legs" sqref="G17:J17" xr:uid="{79F3E6ED-8E7C-4135-9C44-D01798498124}">
      <formula1>IF(G$16="Signalized",Intersection_Legs,"-")</formula1>
    </dataValidation>
    <dataValidation type="list" allowBlank="1" showInputMessage="1" showErrorMessage="1" prompt="Signal Preemption is used to give priority to Emergency Response Services through traffic signals" sqref="G45:J45" xr:uid="{2645241A-D4BD-475C-AA6B-BB5DEF92B171}">
      <formula1>Yes_No</formula1>
    </dataValidation>
    <dataValidation errorStyle="information" operator="lessThanOrEqual" allowBlank="1" showInputMessage="1" error="The tool will estimate the cost for underpasses and overpasses, but a structural engineer should be consulted." prompt="Input Total Number of Locations for RRFBs. Entering 1 location will calculate 2 mast-arm mounted beacons." sqref="I9" xr:uid="{61AC1C90-F909-46F9-BC99-5A23EDCA35D8}"/>
    <dataValidation allowBlank="1" showInputMessage="1" showErrorMessage="1" prompt="Input the names of the roadways that converge at the Intersection" sqref="G14:J14" xr:uid="{DC72FB43-4FC6-4922-A2FC-87761CDEEDCB}"/>
    <dataValidation type="list" allowBlank="1" showInputMessage="1" showErrorMessage="1" prompt="Input the intersection control type - Unsignalized includes stop signs &amp; yield signs, Signalized is traffic signals, roundabout is a traffic circle" sqref="G15:J15" xr:uid="{32987EE0-52B4-4750-B14F-D524724F4810}">
      <formula1>"Signalized,Unsignalized"</formula1>
    </dataValidation>
    <dataValidation allowBlank="1" showInputMessage="1" showErrorMessage="1" prompt="Input # of lanes on the major street approach (for 1 direction), including left-turn, through, and right-turn lanes" sqref="G18:J18" xr:uid="{63481424-3B28-4E34-BEBA-6F27C6A86432}"/>
    <dataValidation allowBlank="1" showInputMessage="1" showErrorMessage="1" prompt="Input # of lanes on the minor street approach (for 1 direction), including left-turn, through, and right-turn lanes" sqref="G19:J19" xr:uid="{93AADFDB-BEE0-46AF-A271-BC3EEB0CADE8}"/>
    <dataValidation type="whole" allowBlank="1" showInputMessage="1" showErrorMessage="1" prompt="Input total # of crosswalks at the intersection (generally need one per leg, but some intersections may have more due to slip lanes or other reasons. Some intersections may have 0 crosswalks if no sidewalks exist at the intersection)" sqref="G21:J21" xr:uid="{CB3C9AEF-A301-4CB6-A02E-8AEE071FEEE8}">
      <formula1>0</formula1>
      <formula2>30</formula2>
    </dataValidation>
    <dataValidation allowBlank="1" showInputMessage="1" showErrorMessage="1" prompt="Input the # of traffic signal posts that will be retained" sqref="G28:J28" xr:uid="{F538F5B5-7E6F-467B-AE30-5BE4BBCE2C0C}"/>
    <dataValidation allowBlank="1" showInputMessage="1" showErrorMessage="1" prompt="Input the # of mast arms that will be retained" sqref="G29:J29" xr:uid="{7458D549-C29A-4F64-BD92-2074451FD298}"/>
    <dataValidation allowBlank="1" showInputMessage="1" showErrorMessage="1" prompt="Input the # of traffic signal indicators that will be retained" sqref="G30:J30" xr:uid="{2F652FC2-78B3-4BF0-8D62-F05332AD71D6}"/>
    <dataValidation allowBlank="1" showInputMessage="1" showErrorMessage="1" prompt="Input the # of pedestrian signal posts that will be retained" sqref="G31:J31" xr:uid="{3C562851-5F91-4554-9692-015695BCA8BE}"/>
    <dataValidation allowBlank="1" showInputMessage="1" showErrorMessage="1" prompt="Input the # of pedestrian push buttons that will be retained" sqref="G32:J32" xr:uid="{43DBFE8F-F4F7-48C7-8548-9101A25E1516}"/>
    <dataValidation type="list" allowBlank="1" showInputMessage="1" showErrorMessage="1" prompt="Input the existing vehicle detection if it is being retained (Types include loops in ground or cameras mounted on the mast arms/signal posts)" sqref="G33:J33" xr:uid="{0F318972-D0E4-475B-87DA-8FCB14CDABF8}">
      <formula1>Detection</formula1>
    </dataValidation>
    <dataValidation allowBlank="1" showInputMessage="1" showErrorMessage="1" prompt="Traffic Signal Post needs assumed to be 1 per approach, override if needed.  Additional posts should be incorporated if mast arms are not utilized or if there are additional turn lanes or non-standard geometries" sqref="G38:J38" xr:uid="{D079D725-7B49-45DB-8A31-8E0A0E93E733}"/>
    <dataValidation allowBlank="1" showInputMessage="1" showErrorMessage="1" prompt="Mast Arms needs assumed to be 1 per approach.  This assumption is conservative and can be overriden (for example, sometimes minor approaches may not need mast arms)" sqref="G39:J39" xr:uid="{89FDAC5A-4EFC-46C1-98A4-4095E0B13A1B}"/>
    <dataValidation allowBlank="1" showInputMessage="1" showErrorMessage="1" prompt="Traffic signal indicators needs assumed to be 3 per approach.  More may be necessary with additional turn lanes, override if needed" sqref="G40:J40" xr:uid="{29BC4AA0-D21F-4A19-A27B-DB275B3B81F5}"/>
    <dataValidation allowBlank="1" showInputMessage="1" showErrorMessage="1" prompt="Pedestrian Signal Post needs assumed to be 2 per crosswalk.  These can be replaced by traffic signal posts/mast arms if able to locate them in an ADA compliant manner" sqref="G41:J41" xr:uid="{142FA2F4-5D1C-453A-99FF-022004634386}"/>
    <dataValidation allowBlank="1" showInputMessage="1" showErrorMessage="1" prompt="Pedestrian Pushbutton needs assumed to be 2 per crosswalk.  These should be upgraded if not up to ADA standards." sqref="G42:J42" xr:uid="{80822DCC-6B0F-44DE-96C8-1F97D29DCEBA}"/>
    <dataValidation type="whole" allowBlank="1" showInputMessage="1" showErrorMessage="1" sqref="G22:J24" xr:uid="{AE04B0B3-4CC8-42C7-9C74-B0E4BCD58335}">
      <formula1>0</formula1>
      <formula2>30</formula2>
    </dataValidation>
  </dataValidations>
  <hyperlinks>
    <hyperlink ref="H11" r:id="rId1" xr:uid="{D00BBB02-029F-44C1-979F-AC05451AD414}"/>
  </hyperlinks>
  <pageMargins left="0.75" right="0.75" top="1" bottom="1" header="0.5" footer="0.5"/>
  <pageSetup scale="64" fitToHeight="0" orientation="portrait" r:id="rId2"/>
  <headerFooter alignWithMargins="0">
    <oddHeader>&amp;C&amp;"Arial,Bold Italic"&amp;20DRAFT - TOOL STILL IN PRODUCTION</oddHeader>
    <oddFooter>&amp;C&amp;"Futura Bk BT,Book"Page &amp;P</oddFooter>
  </headerFooter>
  <rowBreaks count="1" manualBreakCount="1">
    <brk id="24" min="1" max="10" man="1"/>
  </rowBreaks>
  <drawing r:id="rId3"/>
  <legacyDrawingHF r:id="rId4"/>
  <extLst>
    <ext xmlns:x14="http://schemas.microsoft.com/office/spreadsheetml/2009/9/main" uri="{78C0D931-6437-407d-A8EE-F0AAD7539E65}">
      <x14:conditionalFormattings>
        <x14:conditionalFormatting xmlns:xm="http://schemas.microsoft.com/office/excel/2006/main">
          <x14:cfRule type="expression" priority="313" id="{E857D30D-7D4B-40EF-91FF-9F88C08E0569}">
            <xm:f>OR(G$20=HIDDEN!$J$48,HIDDEN!$J$47=G$20)</xm:f>
            <x14:dxf>
              <fill>
                <patternFill>
                  <bgColor theme="1" tint="4.9989318521683403E-2"/>
                </patternFill>
              </fill>
            </x14:dxf>
          </x14:cfRule>
          <xm:sqref>G28:G34 G38:G44</xm:sqref>
        </x14:conditionalFormatting>
        <x14:conditionalFormatting xmlns:xm="http://schemas.microsoft.com/office/excel/2006/main">
          <x14:cfRule type="expression" priority="27" id="{7EE66068-BD62-412D-B553-E32FB1325DAF}">
            <xm:f>G$20=HIDDEN!$J$48</xm:f>
            <x14:dxf>
              <fill>
                <patternFill>
                  <bgColor theme="1" tint="4.9989318521683403E-2"/>
                </patternFill>
              </fill>
            </x14:dxf>
          </x14:cfRule>
          <xm:sqref>G45</xm:sqref>
        </x14:conditionalFormatting>
        <x14:conditionalFormatting xmlns:xm="http://schemas.microsoft.com/office/excel/2006/main">
          <x14:cfRule type="expression" priority="50" id="{0162FD7B-7CC0-4A18-A2C6-A993B532B892}">
            <xm:f>OR($H$20=HIDDEN!$J$48,$H$20=HIDDEN!$J$47)</xm:f>
            <x14:dxf>
              <font>
                <strike/>
                <color rgb="FFC00000"/>
              </font>
              <fill>
                <patternFill>
                  <bgColor theme="1" tint="4.9989318521683403E-2"/>
                </patternFill>
              </fill>
            </x14:dxf>
          </x14:cfRule>
          <xm:sqref>H28:H34 H38:H45</xm:sqref>
        </x14:conditionalFormatting>
        <x14:conditionalFormatting xmlns:xm="http://schemas.microsoft.com/office/excel/2006/main">
          <x14:cfRule type="expression" priority="20" id="{B19650CE-46A5-4D8D-B1A7-D2568C24EFD7}">
            <xm:f>$H$20=HIDDEN!$J$48</xm:f>
            <x14:dxf>
              <font>
                <strike/>
                <color rgb="FFC00000"/>
              </font>
              <fill>
                <patternFill>
                  <bgColor theme="1" tint="4.9989318521683403E-2"/>
                </patternFill>
              </fill>
            </x14:dxf>
          </x14:cfRule>
          <xm:sqref>H39</xm:sqref>
        </x14:conditionalFormatting>
        <x14:conditionalFormatting xmlns:xm="http://schemas.microsoft.com/office/excel/2006/main">
          <x14:cfRule type="expression" priority="26" id="{1762BF67-10E5-4583-9A41-8A1EFD51F8F9}">
            <xm:f>$H$20=HIDDEN!$J$48</xm:f>
            <x14:dxf>
              <font>
                <strike/>
                <color rgb="FFFF0000"/>
              </font>
              <fill>
                <patternFill>
                  <bgColor theme="1" tint="4.9989318521683403E-2"/>
                </patternFill>
              </fill>
            </x14:dxf>
          </x14:cfRule>
          <xm:sqref>H45</xm:sqref>
        </x14:conditionalFormatting>
        <x14:conditionalFormatting xmlns:xm="http://schemas.microsoft.com/office/excel/2006/main">
          <x14:cfRule type="expression" priority="42" id="{C1473268-7ED7-4721-9A44-414F50A0AC87}">
            <xm:f>OR($I$20=HIDDEN!$J$48,$I$20=HIDDEN!$J$47)</xm:f>
            <x14:dxf>
              <font>
                <strike/>
                <color rgb="FFC00000"/>
              </font>
              <fill>
                <patternFill>
                  <bgColor theme="1" tint="4.9989318521683403E-2"/>
                </patternFill>
              </fill>
            </x14:dxf>
          </x14:cfRule>
          <xm:sqref>I28:I34 I38 I40:I44</xm:sqref>
        </x14:conditionalFormatting>
        <x14:conditionalFormatting xmlns:xm="http://schemas.microsoft.com/office/excel/2006/main">
          <x14:cfRule type="expression" priority="18" id="{FA84E5C8-E30D-490A-A7D0-CA95E4850543}">
            <xm:f>$I$20=HIDDEN!$J$48</xm:f>
            <x14:dxf>
              <font>
                <strike/>
                <color rgb="FFC00000"/>
              </font>
              <fill>
                <patternFill>
                  <bgColor theme="1" tint="4.9989318521683403E-2"/>
                </patternFill>
              </fill>
            </x14:dxf>
          </x14:cfRule>
          <xm:sqref>I39</xm:sqref>
        </x14:conditionalFormatting>
        <x14:conditionalFormatting xmlns:xm="http://schemas.microsoft.com/office/excel/2006/main">
          <x14:cfRule type="expression" priority="24" id="{64BF3F7A-7E29-42F2-903A-101BD0FE3E3C}">
            <xm:f>$I$20=HIDDEN!$J$48</xm:f>
            <x14:dxf>
              <font>
                <strike/>
                <color rgb="FFFF0000"/>
              </font>
              <fill>
                <patternFill>
                  <bgColor theme="1" tint="4.9989318521683403E-2"/>
                </patternFill>
              </fill>
            </x14:dxf>
          </x14:cfRule>
          <xm:sqref>I45</xm:sqref>
        </x14:conditionalFormatting>
        <x14:conditionalFormatting xmlns:xm="http://schemas.microsoft.com/office/excel/2006/main">
          <x14:cfRule type="expression" priority="70" id="{00000000-000E-0000-0100-00000B000000}">
            <xm:f>OR($J$20=HIDDEN!$J$48,$J$20=HIDDEN!$J$47)</xm:f>
            <x14:dxf>
              <font>
                <strike/>
                <color rgb="FFFF0000"/>
              </font>
              <fill>
                <patternFill>
                  <bgColor theme="1" tint="4.9989318521683403E-2"/>
                </patternFill>
              </fill>
            </x14:dxf>
          </x14:cfRule>
          <xm:sqref>J28:J34 J38 J40:J44</xm:sqref>
        </x14:conditionalFormatting>
        <x14:conditionalFormatting xmlns:xm="http://schemas.microsoft.com/office/excel/2006/main">
          <x14:cfRule type="expression" priority="16" id="{AEDBF41D-51A5-40A9-8EF3-4FE1B91EB459}">
            <xm:f>$J$20=HIDDEN!$J$48</xm:f>
            <x14:dxf>
              <font>
                <strike/>
                <color rgb="FFFF0000"/>
              </font>
              <fill>
                <patternFill>
                  <bgColor theme="1" tint="4.9989318521683403E-2"/>
                </patternFill>
              </fill>
            </x14:dxf>
          </x14:cfRule>
          <xm:sqref>J39</xm:sqref>
        </x14:conditionalFormatting>
        <x14:conditionalFormatting xmlns:xm="http://schemas.microsoft.com/office/excel/2006/main">
          <x14:cfRule type="expression" priority="22" id="{AEE1B739-3D08-4090-A8D5-175E981B0E59}">
            <xm:f>$J$20=HIDDEN!$J$48</xm:f>
            <x14:dxf>
              <font>
                <strike/>
                <color rgb="FFFF0000"/>
              </font>
              <fill>
                <patternFill>
                  <bgColor theme="1" tint="4.9989318521683403E-2"/>
                </patternFill>
              </fill>
            </x14:dxf>
          </x14:cfRule>
          <xm:sqref>J45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EC1C1-30A0-4526-B187-82743AB5B7C6}">
  <sheetPr codeName="Sheet35">
    <tabColor theme="8"/>
    <pageSetUpPr fitToPage="1"/>
  </sheetPr>
  <dimension ref="B1:O152"/>
  <sheetViews>
    <sheetView zoomScale="85" zoomScaleNormal="85" workbookViewId="0">
      <selection activeCell="C13" sqref="C13"/>
    </sheetView>
  </sheetViews>
  <sheetFormatPr defaultColWidth="9.140625" defaultRowHeight="15"/>
  <cols>
    <col min="1" max="1" width="9" style="40" customWidth="1"/>
    <col min="2" max="2" width="3" style="54" customWidth="1"/>
    <col min="3" max="3" width="25.7109375" style="40" customWidth="1"/>
    <col min="4" max="4" width="29.42578125" style="40" customWidth="1"/>
    <col min="5" max="5" width="8.85546875" style="40" customWidth="1"/>
    <col min="6" max="6" width="24.7109375" style="40" customWidth="1"/>
    <col min="7" max="7" width="11.140625" style="40" customWidth="1"/>
    <col min="8" max="8" width="13.7109375" style="40" customWidth="1"/>
    <col min="9" max="9" width="12" style="40" customWidth="1"/>
    <col min="10" max="10" width="36" style="40" customWidth="1"/>
    <col min="11" max="11" width="3.140625" style="40" customWidth="1"/>
    <col min="12" max="12" width="3" style="40" customWidth="1"/>
    <col min="13" max="13" width="9.140625" style="40" customWidth="1"/>
    <col min="14" max="14" width="31.28515625" style="104" hidden="1" customWidth="1"/>
    <col min="15" max="16384" width="9.140625" style="40"/>
  </cols>
  <sheetData>
    <row r="1" spans="2:15" ht="15.75" thickBot="1"/>
    <row r="2" spans="2:15" ht="15" customHeight="1" thickBot="1">
      <c r="B2" s="1144" t="s">
        <v>3940</v>
      </c>
      <c r="C2" s="1144"/>
      <c r="D2" s="1144"/>
      <c r="E2" s="1144"/>
      <c r="F2" s="1144"/>
      <c r="G2" s="1144"/>
      <c r="H2" s="1144"/>
      <c r="I2" s="1144"/>
      <c r="J2" s="1144"/>
      <c r="K2" s="1145"/>
      <c r="N2" s="104" t="s">
        <v>3638</v>
      </c>
    </row>
    <row r="3" spans="2:15" ht="15" customHeight="1" thickBot="1">
      <c r="B3" s="1144"/>
      <c r="C3" s="1144"/>
      <c r="D3" s="1144"/>
      <c r="E3" s="1144"/>
      <c r="F3" s="1144"/>
      <c r="G3" s="1144"/>
      <c r="H3" s="1144"/>
      <c r="I3" s="1144"/>
      <c r="J3" s="1144"/>
      <c r="K3" s="1145"/>
    </row>
    <row r="4" spans="2:15" ht="14.1" customHeight="1">
      <c r="B4" s="469"/>
      <c r="C4" s="544" t="str">
        <f ca="1">INSTRUCTIONS!C8</f>
        <v xml:space="preserve"> </v>
      </c>
      <c r="D4" s="544"/>
      <c r="E4" s="544"/>
      <c r="F4" s="544"/>
      <c r="G4" s="544"/>
      <c r="H4" s="544"/>
      <c r="I4" s="544"/>
      <c r="J4" s="544"/>
      <c r="K4" s="46"/>
    </row>
    <row r="5" spans="2:15" ht="15" customHeight="1">
      <c r="C5" s="1055" t="s">
        <v>3952</v>
      </c>
      <c r="D5" s="1055"/>
      <c r="E5" s="1055"/>
      <c r="F5" s="1055"/>
      <c r="G5" s="1055"/>
      <c r="H5" s="1055"/>
      <c r="I5" s="1055"/>
      <c r="J5" s="1055"/>
      <c r="K5" s="1055"/>
    </row>
    <row r="6" spans="2:15" ht="45.6" customHeight="1">
      <c r="C6" s="1057" t="s">
        <v>3958</v>
      </c>
      <c r="D6" s="1057"/>
      <c r="E6" s="1057"/>
      <c r="F6" s="1057"/>
      <c r="G6" s="1057"/>
      <c r="H6" s="1057"/>
      <c r="I6" s="1057"/>
      <c r="J6" s="1057"/>
      <c r="K6" s="105"/>
    </row>
    <row r="7" spans="2:15" ht="15" customHeight="1">
      <c r="C7" s="55"/>
      <c r="D7" s="39"/>
      <c r="E7" s="39"/>
      <c r="F7" s="39"/>
      <c r="G7" s="38"/>
      <c r="H7" s="39"/>
      <c r="I7" s="39"/>
      <c r="J7" s="39"/>
      <c r="K7" s="39"/>
    </row>
    <row r="8" spans="2:15" ht="15" customHeight="1">
      <c r="C8" s="797"/>
      <c r="D8" s="1189" t="s">
        <v>3843</v>
      </c>
      <c r="E8" s="1189"/>
      <c r="F8" s="1189"/>
      <c r="G8" s="798" t="s">
        <v>3844</v>
      </c>
      <c r="H8" s="106"/>
      <c r="I8" s="106"/>
      <c r="J8" s="106"/>
      <c r="K8" s="38"/>
    </row>
    <row r="9" spans="2:15" ht="18" customHeight="1">
      <c r="D9" s="1189" t="s">
        <v>1933</v>
      </c>
      <c r="E9" s="1189"/>
      <c r="F9" s="1189"/>
      <c r="H9" s="106"/>
      <c r="I9" s="106"/>
      <c r="J9" s="106"/>
      <c r="K9" s="38"/>
    </row>
    <row r="10" spans="2:15" ht="15" customHeight="1">
      <c r="H10" s="101"/>
      <c r="I10" s="101"/>
      <c r="J10" s="101"/>
      <c r="K10" s="38"/>
    </row>
    <row r="11" spans="2:15" ht="14.1" customHeight="1">
      <c r="J11" s="101"/>
      <c r="K11" s="38"/>
    </row>
    <row r="12" spans="2:15">
      <c r="C12" s="107" t="s">
        <v>1935</v>
      </c>
      <c r="D12" s="107" t="s">
        <v>3743</v>
      </c>
      <c r="E12" s="1187" t="s">
        <v>3776</v>
      </c>
      <c r="F12" s="1188"/>
      <c r="G12" s="108" t="s">
        <v>1798</v>
      </c>
      <c r="H12" s="109" t="s">
        <v>1934</v>
      </c>
      <c r="I12" s="109" t="s">
        <v>0</v>
      </c>
      <c r="J12" s="109" t="s">
        <v>3639</v>
      </c>
      <c r="K12" s="38"/>
      <c r="N12" s="104" t="s">
        <v>3637</v>
      </c>
    </row>
    <row r="13" spans="2:15" ht="15" customHeight="1">
      <c r="C13" s="799"/>
      <c r="D13" s="800"/>
      <c r="E13" s="800"/>
      <c r="F13" s="800"/>
      <c r="G13" s="801" t="str">
        <f>IF(E13&lt;&gt;"","Input Unit",IFERROR(VLOOKUP(D13,'ITEMS LIST'!$A$2:$D$2655,4,TRUE),""))</f>
        <v/>
      </c>
      <c r="H13" s="802" t="str" cm="1">
        <f t="array" ref="H13">IF(N13&lt;&gt;0,IFERROR(MAX(_xlfn.XLOOKUP(N13&amp;"All Districts",PRICES!$B$2:$B$3684&amp;PRICES!$A$2:$A$3684,PRICES!$H$2:$H$3684),(_xlfn.IFNA(_xlfn.XLOOKUP(N13&amp;BasicProjectData!$G$18,PRICES!$B$2:$B$3684&amp;PRICES!$A$2:$A$3684,PRICES!$H$2:$H$3684),0))),"Input Cost Here"),"")</f>
        <v/>
      </c>
      <c r="I13" s="801"/>
      <c r="J13" s="815" t="str">
        <f>IF(N13&gt;0,IF(COUNTIF(OUTPUT!$A$9:$A$145,N13)&gt;0,"Item Already Calculated in "&amp;_xlfn.XLOOKUP(N13,OUTPUT!$A$9:$A$145,OUTPUT!$G$9:$G$145,0,0),IF(AND(H13="Input Cost Here",ISBLANK(I13),G13="Input Unit"),"Input Unit, Cost, &amp; Quantity",IF(AND(H13="Input Cost Here",ISBLANK(I13)),"Input Cost and Quantity",IF(H13="Input Cost Here","Input Unit Cost",IF(ISBLANK(I13),"Input Quantity","No error"))))),"")</f>
        <v/>
      </c>
      <c r="K13" s="38"/>
      <c r="N13" s="456">
        <f>IF(IFERROR(VLOOKUP(D13,'ITEMS LIST'!A2:B2655,2,TRUE),0)=0,E13,IFERROR(VLOOKUP(D13,'ITEMS LIST'!A2:B2655,2,TRUE),0))</f>
        <v>0</v>
      </c>
    </row>
    <row r="14" spans="2:15">
      <c r="C14" s="799"/>
      <c r="D14" s="800"/>
      <c r="E14" s="800"/>
      <c r="F14" s="800"/>
      <c r="G14" s="801" t="str">
        <f>IF(E14&lt;&gt;"","Input Unit",IFERROR(VLOOKUP(D14,'ITEMS LIST'!$A$2:$D$2655,4,TRUE),""))</f>
        <v/>
      </c>
      <c r="H14" s="803" t="str" cm="1">
        <f t="array" ref="H14">IF(N14&lt;&gt;0,IFERROR(MAX(_xlfn.XLOOKUP(N14&amp;"All Districts",PRICES!$B$2:$B$3684&amp;PRICES!$A$2:$A$3684,PRICES!$H$2:$H$3684),(_xlfn.IFNA(_xlfn.XLOOKUP(N14&amp;BasicProjectData!$G$18,PRICES!$B$2:$B$3684&amp;PRICES!$A$2:$A$3684,PRICES!$H$2:$H$3684),0))),"Input Cost Here"),"")</f>
        <v/>
      </c>
      <c r="I14" s="801"/>
      <c r="J14" s="815" t="str">
        <f>IF(N14&gt;0,IF(COUNTIF(OUTPUT!$A$9:$A$145,N14)&gt;0,"Item Already Calculated in "&amp;_xlfn.XLOOKUP(N14,OUTPUT!$A$9:$A$145,OUTPUT!$G$9:$G$145,0,0),IF(AND(H14="Input Cost Here",ISBLANK(I14),G14="Input Unit"),"Input Unit, Cost, &amp; Quantity",IF(AND(H14="Input Cost Here",ISBLANK(I14)),"Input Cost and Quantity",IF(H14="Input Cost Here","Input Unit Cost",IF(ISBLANK(I14),"Input Quantity","No error"))))),"")</f>
        <v/>
      </c>
      <c r="K14" s="38"/>
      <c r="N14" s="456">
        <f>IF(IFERROR(VLOOKUP(D14,'ITEMS LIST'!A3:B2656,2,TRUE),0)=0,E14,IFERROR(VLOOKUP(D14,'ITEMS LIST'!A3:B2656,2,TRUE),0))</f>
        <v>0</v>
      </c>
    </row>
    <row r="15" spans="2:15" ht="18" customHeight="1">
      <c r="C15" s="799"/>
      <c r="D15" s="800"/>
      <c r="E15" s="800"/>
      <c r="F15" s="800"/>
      <c r="G15" s="801" t="str">
        <f>IF(E15&lt;&gt;"","Input Unit",IFERROR(VLOOKUP(D15,'ITEMS LIST'!$A$2:$D$2655,4,TRUE),""))</f>
        <v/>
      </c>
      <c r="H15" s="803" t="str" cm="1">
        <f t="array" ref="H15">IF(N15&lt;&gt;0,IFERROR(MAX(_xlfn.XLOOKUP(N15&amp;"All Districts",PRICES!$B$2:$B$3684&amp;PRICES!$A$2:$A$3684,PRICES!$H$2:$H$3684),(_xlfn.IFNA(_xlfn.XLOOKUP(N15&amp;BasicProjectData!$G$18,PRICES!$B$2:$B$3684&amp;PRICES!$A$2:$A$3684,PRICES!$H$2:$H$3684),0))),"Input Cost Here"),"")</f>
        <v/>
      </c>
      <c r="I15" s="804"/>
      <c r="J15" s="815" t="str">
        <f>IF(N15&gt;0,IF(COUNTIF(OUTPUT!$A$9:$A$145,N15)&gt;0,"Item Already Calculated in "&amp;_xlfn.XLOOKUP(N15,OUTPUT!$A$9:$A$145,OUTPUT!$G$9:$G$145,0,0),IF(AND(H15="Input Cost Here",ISBLANK(I15),G15="Input Unit"),"Input Unit, Cost, &amp; Quantity",IF(AND(H15="Input Cost Here",ISBLANK(I15)),"Input Cost and Quantity",IF(H15="Input Cost Here","Input Unit Cost",IF(ISBLANK(I15),"Input Quantity","No error"))))),"")</f>
        <v/>
      </c>
      <c r="K15" s="38"/>
      <c r="N15" s="456">
        <f>IF(IFERROR(VLOOKUP(D15,'ITEMS LIST'!A4:B2657,2,TRUE),0)=0,E15,IFERROR(VLOOKUP(D15,'ITEMS LIST'!A4:B2657,2,TRUE),0))</f>
        <v>0</v>
      </c>
    </row>
    <row r="16" spans="2:15" s="57" customFormat="1">
      <c r="B16" s="54"/>
      <c r="C16" s="805"/>
      <c r="D16" s="800"/>
      <c r="E16" s="800"/>
      <c r="F16" s="800"/>
      <c r="G16" s="801" t="str">
        <f>IF(E16&lt;&gt;"","Input Unit",IFERROR(VLOOKUP(D16,'ITEMS LIST'!$A$2:$D$2655,4,TRUE),""))</f>
        <v/>
      </c>
      <c r="H16" s="803" t="str" cm="1">
        <f t="array" ref="H16">IF(N16&lt;&gt;0,IFERROR(MAX(_xlfn.XLOOKUP(N16&amp;"All Districts",PRICES!$B$2:$B$3684&amp;PRICES!$A$2:$A$3684,PRICES!$H$2:$H$3684),(_xlfn.XLOOKUP(N16&amp;BasicProjectData!$G$18,PRICES!$B$2:$B$3684&amp;PRICES!$A$2:$A$3684,PRICES!$H$2:$H$3684))),"Input Cost Here"),"")</f>
        <v/>
      </c>
      <c r="I16" s="806"/>
      <c r="J16" s="815" t="str">
        <f>IF(N16&gt;0,IF(COUNTIF(OUTPUT!$A$9:$A$145,N16)&gt;0,"Item Already Calculated in "&amp;_xlfn.XLOOKUP(N16,OUTPUT!$A$9:$A$145,OUTPUT!$G$9:$G$145,0,0),IF(AND(H16="Input Cost Here",ISBLANK(I16),G16="Input Unit"),"Input Unit, Cost, &amp; Quantity",IF(AND(H16="Input Cost Here",ISBLANK(I16)),"Input Cost and Quantity",IF(H16="Input Cost Here","Input Unit Cost",IF(ISBLANK(I16),"Input Quantity","No error"))))),"")</f>
        <v/>
      </c>
      <c r="K16" s="38"/>
      <c r="N16" s="456">
        <f>IF(IFERROR(VLOOKUP(D16,'ITEMS LIST'!A5:B2658,2,TRUE),0)=0,E16,IFERROR(VLOOKUP(D16,'ITEMS LIST'!A5:B2658,2,TRUE),0))</f>
        <v>0</v>
      </c>
      <c r="O16" s="40"/>
    </row>
    <row r="17" spans="2:15" s="57" customFormat="1">
      <c r="B17" s="54"/>
      <c r="C17" s="807"/>
      <c r="D17" s="800"/>
      <c r="E17" s="800"/>
      <c r="F17" s="800"/>
      <c r="G17" s="801" t="str">
        <f>IF(E17&lt;&gt;"","Input Unit",IFERROR(VLOOKUP(D17,'ITEMS LIST'!$A$2:$D$2655,4,TRUE),""))</f>
        <v/>
      </c>
      <c r="H17" s="803" t="str" cm="1">
        <f t="array" ref="H17">IF(N17&lt;&gt;0,IFERROR(MAX(_xlfn.XLOOKUP(N17&amp;"All Districts",PRICES!$B$2:$B$3684&amp;PRICES!$A$2:$A$3684,PRICES!$H$2:$H$3684),(_xlfn.XLOOKUP(N17&amp;BasicProjectData!$G$18,PRICES!$B$2:$B$3684&amp;PRICES!$A$2:$A$3684,PRICES!$H$2:$H$3684))),"Input Cost Here"),"")</f>
        <v/>
      </c>
      <c r="I17" s="801"/>
      <c r="J17" s="815" t="str">
        <f>IF(N17&gt;0,IF(COUNTIF(OUTPUT!$A$9:$A$145,N17)&gt;0,"Item Already Calculated in "&amp;_xlfn.XLOOKUP(N17,OUTPUT!$A$9:$A$145,OUTPUT!$G$9:$G$145,0,0),IF(AND(H17="Input Cost Here",ISBLANK(I17),G17="Input Unit"),"Input Unit, Cost, &amp; Quantity",IF(AND(H17="Input Cost Here",ISBLANK(I17)),"Input Cost and Quantity",IF(H17="Input Cost Here","Input Unit Cost",IF(ISBLANK(I17),"Input Quantity","No error"))))),"")</f>
        <v/>
      </c>
      <c r="K17" s="38"/>
      <c r="N17" s="456">
        <f>IF(IFERROR(VLOOKUP(D17,'ITEMS LIST'!A6:B2659,2,TRUE),0)=0,E17,IFERROR(VLOOKUP(D17,'ITEMS LIST'!A6:B2659,2,TRUE),0))</f>
        <v>0</v>
      </c>
      <c r="O17" s="40"/>
    </row>
    <row r="18" spans="2:15" ht="16.5" customHeight="1">
      <c r="C18" s="807"/>
      <c r="D18" s="800"/>
      <c r="E18" s="800"/>
      <c r="F18" s="800"/>
      <c r="G18" s="801" t="str">
        <f>IF(E18&lt;&gt;"","Input Unit",IFERROR(VLOOKUP(D18,'ITEMS LIST'!$A$2:$D$2655,4,TRUE),""))</f>
        <v/>
      </c>
      <c r="H18" s="803" t="str" cm="1">
        <f t="array" ref="H18">IF(N18&lt;&gt;0,IFERROR(MAX(_xlfn.XLOOKUP(N18&amp;"All Districts",PRICES!$B$2:$B$3684&amp;PRICES!$A$2:$A$3684,PRICES!$H$2:$H$3684),(_xlfn.XLOOKUP(N18&amp;BasicProjectData!$G$18,PRICES!$B$2:$B$3684&amp;PRICES!$A$2:$A$3684,PRICES!$H$2:$H$3684))),"Input Cost Here"),"")</f>
        <v/>
      </c>
      <c r="I18" s="808"/>
      <c r="J18" s="815" t="str">
        <f>IF(N18&gt;0,IF(COUNTIF(OUTPUT!$A$9:$A$145,N18)&gt;0,"Item Already Calculated in "&amp;_xlfn.XLOOKUP(N18,OUTPUT!$A$9:$A$145,OUTPUT!$G$9:$G$145,0,0),IF(AND(H18="Input Cost Here",ISBLANK(I18),G18="Input Unit"),"Input Unit, Cost, &amp; Quantity",IF(AND(H18="Input Cost Here",ISBLANK(I18)),"Input Cost and Quantity",IF(H18="Input Cost Here","Input Unit Cost",IF(ISBLANK(I18),"Input Quantity","No error"))))),"")</f>
        <v/>
      </c>
      <c r="K18" s="38"/>
      <c r="N18" s="456">
        <f>IF(IFERROR(VLOOKUP(D18,'ITEMS LIST'!A7:B2660,2,TRUE),0)=0,E18,IFERROR(VLOOKUP(D18,'ITEMS LIST'!A7:B2660,2,TRUE),0))</f>
        <v>0</v>
      </c>
    </row>
    <row r="19" spans="2:15" ht="18.75">
      <c r="B19" s="100"/>
      <c r="C19" s="807"/>
      <c r="D19" s="800"/>
      <c r="E19" s="800"/>
      <c r="F19" s="800"/>
      <c r="G19" s="801" t="str">
        <f>IF(E19&lt;&gt;"","Input Unit",IFERROR(VLOOKUP(D19,'ITEMS LIST'!$A$2:$D$2655,4,TRUE),""))</f>
        <v/>
      </c>
      <c r="H19" s="803" t="str" cm="1">
        <f t="array" ref="H19">IF(N19&lt;&gt;0,IFERROR(MAX(_xlfn.XLOOKUP(N19&amp;"All Districts",PRICES!$B$2:$B$3684&amp;PRICES!$A$2:$A$3684,PRICES!$H$2:$H$3684),(_xlfn.XLOOKUP(N19&amp;BasicProjectData!$G$18,PRICES!$B$2:$B$3684&amp;PRICES!$A$2:$A$3684,PRICES!$H$2:$H$3684))),"Input Cost Here"),"")</f>
        <v/>
      </c>
      <c r="I19" s="808"/>
      <c r="J19" s="815" t="str">
        <f>IF(N19&gt;0,IF(COUNTIF(OUTPUT!$A$9:$A$145,N19)&gt;0,"Item Already Calculated in "&amp;_xlfn.XLOOKUP(N19,OUTPUT!$A$9:$A$145,OUTPUT!$G$9:$G$145,0,0),IF(AND(H19="Input Cost Here",ISBLANK(I19),G19="Input Unit"),"Input Unit, Cost, &amp; Quantity",IF(AND(H19="Input Cost Here",ISBLANK(I19)),"Input Cost and Quantity",IF(H19="Input Cost Here","Input Unit Cost",IF(ISBLANK(I19),"Input Quantity","No error"))))),"")</f>
        <v/>
      </c>
      <c r="K19" s="38"/>
      <c r="N19" s="456">
        <f>IF(IFERROR(VLOOKUP(D19,'ITEMS LIST'!A8:B2661,2,TRUE),0)=0,E19,IFERROR(VLOOKUP(D19,'ITEMS LIST'!A8:B2661,2,TRUE),0))</f>
        <v>0</v>
      </c>
    </row>
    <row r="20" spans="2:15" ht="15" customHeight="1">
      <c r="C20" s="807"/>
      <c r="D20" s="800"/>
      <c r="E20" s="800"/>
      <c r="F20" s="800"/>
      <c r="G20" s="801" t="str">
        <f>IF(E20&lt;&gt;"","Input Unit",IFERROR(VLOOKUP(D20,'ITEMS LIST'!$A$2:$D$2655,4,TRUE),""))</f>
        <v/>
      </c>
      <c r="H20" s="802" t="str" cm="1">
        <f t="array" ref="H20">IF(N20&lt;&gt;0,IFERROR(MAX(_xlfn.XLOOKUP(N20&amp;"All Districts",PRICES!$B$2:$B$3684&amp;PRICES!$A$2:$A$3684,PRICES!$H$2:$H$3684),(_xlfn.XLOOKUP(N20&amp;BasicProjectData!$G$18,PRICES!$B$2:$B$3684&amp;PRICES!$A$2:$A$3684,PRICES!$H$2:$H$3684))),"Input Cost Here"),"")</f>
        <v/>
      </c>
      <c r="I20" s="804"/>
      <c r="J20" s="815" t="str">
        <f>IF(N20&gt;0,IF(COUNTIF(OUTPUT!$A$9:$A$145,N20)&gt;0,"Item Already Calculated in "&amp;_xlfn.XLOOKUP(N20,OUTPUT!$A$9:$A$145,OUTPUT!$G$9:$G$145,0,0),IF(AND(H20="Input Cost Here",ISBLANK(I20),G20="Input Unit"),"Input Unit, Cost, &amp; Quantity",IF(AND(H20="Input Cost Here",ISBLANK(I20)),"Input Cost and Quantity",IF(H20="Input Cost Here","Input Unit Cost",IF(ISBLANK(I20),"Input Quantity","No error"))))),"")</f>
        <v/>
      </c>
      <c r="K20" s="38"/>
      <c r="N20" s="456">
        <f>IF(IFERROR(VLOOKUP(D20,'ITEMS LIST'!A9:B2662,2,TRUE),0)=0,E20,IFERROR(VLOOKUP(D20,'ITEMS LIST'!A9:B2662,2,TRUE),0))</f>
        <v>0</v>
      </c>
    </row>
    <row r="21" spans="2:15" ht="15" customHeight="1">
      <c r="C21" s="807"/>
      <c r="D21" s="800"/>
      <c r="E21" s="800"/>
      <c r="F21" s="800"/>
      <c r="G21" s="801" t="str">
        <f>IF(E21&lt;&gt;"","Input Unit",IFERROR(VLOOKUP(D21,'ITEMS LIST'!$A$2:$D$2655,4,TRUE),""))</f>
        <v/>
      </c>
      <c r="H21" s="802" t="str" cm="1">
        <f t="array" ref="H21">IF(N21&lt;&gt;0,IFERROR(MAX(_xlfn.XLOOKUP(N21&amp;"All Districts",PRICES!$B$2:$B$3684&amp;PRICES!$A$2:$A$3684,PRICES!$H$2:$H$3684),(_xlfn.XLOOKUP(N21&amp;BasicProjectData!$G$18,PRICES!$B$2:$B$3684&amp;PRICES!$A$2:$A$3684,PRICES!$H$2:$H$3684))),"Input Cost Here"),"")</f>
        <v/>
      </c>
      <c r="I21" s="804"/>
      <c r="J21" s="815" t="str">
        <f>IF(N21&gt;0,IF(COUNTIF(OUTPUT!$A$9:$A$145,N21)&gt;0,"Item Already Calculated in "&amp;_xlfn.XLOOKUP(N21,OUTPUT!$A$9:$A$145,OUTPUT!$G$9:$G$145,0,0),IF(AND(H21="Input Cost Here",ISBLANK(I21),G21="Input Unit"),"Input Unit, Cost, &amp; Quantity",IF(AND(H21="Input Cost Here",ISBLANK(I21)),"Input Cost and Quantity",IF(H21="Input Cost Here","Input Unit Cost",IF(ISBLANK(I21),"Input Quantity","No error"))))),"")</f>
        <v/>
      </c>
      <c r="K21" s="38"/>
      <c r="N21" s="456">
        <f>IF(IFERROR(VLOOKUP(D21,'ITEMS LIST'!A10:B2663,2,TRUE),0)=0,E21,IFERROR(VLOOKUP(D21,'ITEMS LIST'!A10:B2663,2,TRUE),0))</f>
        <v>0</v>
      </c>
    </row>
    <row r="22" spans="2:15" ht="15" customHeight="1">
      <c r="C22" s="807"/>
      <c r="D22" s="800"/>
      <c r="E22" s="800"/>
      <c r="F22" s="800"/>
      <c r="G22" s="801" t="str">
        <f>IF(E22&lt;&gt;"","Input Unit",IFERROR(VLOOKUP(D22,'ITEMS LIST'!$A$2:$D$2655,4,TRUE),""))</f>
        <v/>
      </c>
      <c r="H22" s="803" t="str" cm="1">
        <f t="array" ref="H22">IF(N22&lt;&gt;0,IFERROR(MAX(_xlfn.XLOOKUP(N22&amp;"All Districts",PRICES!$B$2:$B$3684&amp;PRICES!$A$2:$A$3684,PRICES!$H$2:$H$3684),(_xlfn.XLOOKUP(N22&amp;BasicProjectData!$G$18,PRICES!$B$2:$B$3684&amp;PRICES!$A$2:$A$3684,PRICES!$H$2:$H$3684))),"Input Cost Here"),"")</f>
        <v/>
      </c>
      <c r="I22" s="809"/>
      <c r="J22" s="815" t="str">
        <f>IF(N22&gt;0,IF(COUNTIF(OUTPUT!$A$9:$A$145,N22)&gt;0,"Item Already Calculated in "&amp;_xlfn.XLOOKUP(N22,OUTPUT!$A$9:$A$145,OUTPUT!$G$9:$G$145,0,0),IF(AND(H22="Input Cost Here",ISBLANK(I22),G22="Input Unit"),"Input Unit, Cost, &amp; Quantity",IF(AND(H22="Input Cost Here",ISBLANK(I22)),"Input Cost and Quantity",IF(H22="Input Cost Here","Input Unit Cost",IF(ISBLANK(I22),"Input Quantity","No error"))))),"")</f>
        <v/>
      </c>
      <c r="N22" s="456">
        <f>IF(IFERROR(VLOOKUP(D22,'ITEMS LIST'!A11:B2664,2,TRUE),0)=0,E22,IFERROR(VLOOKUP(D22,'ITEMS LIST'!A11:B2664,2,TRUE),0))</f>
        <v>0</v>
      </c>
    </row>
    <row r="23" spans="2:15" ht="15" customHeight="1">
      <c r="C23" s="810"/>
      <c r="D23" s="800"/>
      <c r="E23" s="800"/>
      <c r="F23" s="800"/>
      <c r="G23" s="801" t="str">
        <f>IF(E23&lt;&gt;"","Input Unit",IFERROR(VLOOKUP(D23,'ITEMS LIST'!$A$2:$D$2655,4,TRUE),""))</f>
        <v/>
      </c>
      <c r="H23" s="803" t="str" cm="1">
        <f t="array" ref="H23">IF(N23&lt;&gt;0,IFERROR(MAX(_xlfn.XLOOKUP(N23&amp;"All Districts",PRICES!$B$2:$B$3684&amp;PRICES!$A$2:$A$3684,PRICES!$H$2:$H$3684),(_xlfn.XLOOKUP(N23&amp;BasicProjectData!$G$18,PRICES!$B$2:$B$3684&amp;PRICES!$A$2:$A$3684,PRICES!$H$2:$H$3684))),"Input Cost Here"),"")</f>
        <v/>
      </c>
      <c r="I23" s="809"/>
      <c r="J23" s="815" t="str">
        <f>IF(N23&gt;0,IF(COUNTIF(OUTPUT!$A$9:$A$145,N23)&gt;0,"Item Already Calculated in "&amp;_xlfn.XLOOKUP(N23,OUTPUT!$A$9:$A$145,OUTPUT!$G$9:$G$145,0,0),IF(AND(H23="Input Cost Here",ISBLANK(I23),G23="Input Unit"),"Input Unit, Cost, &amp; Quantity",IF(AND(H23="Input Cost Here",ISBLANK(I23)),"Input Cost and Quantity",IF(H23="Input Cost Here","Input Unit Cost",IF(ISBLANK(I23),"Input Quantity","No error"))))),"")</f>
        <v/>
      </c>
      <c r="N23" s="456">
        <f>IF(IFERROR(VLOOKUP(D23,'ITEMS LIST'!A12:B2665,2,TRUE),0)=0,E23,IFERROR(VLOOKUP(D23,'ITEMS LIST'!A12:B2665,2,TRUE),0))</f>
        <v>0</v>
      </c>
    </row>
    <row r="24" spans="2:15" ht="15.75" customHeight="1">
      <c r="B24" s="100"/>
      <c r="C24" s="810"/>
      <c r="D24" s="800"/>
      <c r="E24" s="800"/>
      <c r="F24" s="800"/>
      <c r="G24" s="801" t="str">
        <f>IF(E24&lt;&gt;"","Input Unit",IFERROR(VLOOKUP(D24,'ITEMS LIST'!$A$2:$D$2655,4,TRUE),""))</f>
        <v/>
      </c>
      <c r="H24" s="803" t="str" cm="1">
        <f t="array" ref="H24">IF(N24&lt;&gt;0,IFERROR(MAX(_xlfn.XLOOKUP(N24&amp;"All Districts",PRICES!$B$2:$B$3684&amp;PRICES!$A$2:$A$3684,PRICES!$H$2:$H$3684),(_xlfn.XLOOKUP(N24&amp;BasicProjectData!$G$18,PRICES!$B$2:$B$3684&amp;PRICES!$A$2:$A$3684,PRICES!$H$2:$H$3684))),"Input Cost Here"),"")</f>
        <v/>
      </c>
      <c r="I24" s="801"/>
      <c r="J24" s="815" t="str">
        <f>IF(N24&gt;0,IF(COUNTIF(OUTPUT!$A$9:$A$145,N24)&gt;0,"Item Already Calculated in "&amp;_xlfn.XLOOKUP(N24,OUTPUT!$A$9:$A$145,OUTPUT!$G$9:$G$145,0,0),IF(AND(H24="Input Cost Here",ISBLANK(I24),G24="Input Unit"),"Input Unit, Cost, &amp; Quantity",IF(AND(H24="Input Cost Here",ISBLANK(I24)),"Input Cost and Quantity",IF(H24="Input Cost Here","Input Unit Cost",IF(ISBLANK(I24),"Input Quantity","No error"))))),"")</f>
        <v/>
      </c>
      <c r="N24" s="456">
        <f>IF(IFERROR(VLOOKUP(D24,'ITEMS LIST'!A13:B2666,2,TRUE),0)=0,E24,IFERROR(VLOOKUP(D24,'ITEMS LIST'!A13:B2666,2,TRUE),0))</f>
        <v>0</v>
      </c>
    </row>
    <row r="25" spans="2:15">
      <c r="C25" s="807"/>
      <c r="D25" s="800"/>
      <c r="E25" s="800"/>
      <c r="F25" s="800"/>
      <c r="G25" s="801" t="str">
        <f>IF(E25&lt;&gt;"","Input Unit",IFERROR(VLOOKUP(D25,'ITEMS LIST'!$A$2:$D$2655,4,TRUE),""))</f>
        <v/>
      </c>
      <c r="H25" s="803" t="str" cm="1">
        <f t="array" ref="H25">IF(N25&lt;&gt;0,IFERROR(MAX(_xlfn.XLOOKUP(N25&amp;"All Districts",PRICES!$B$2:$B$3684&amp;PRICES!$A$2:$A$3684,PRICES!$H$2:$H$3684),(_xlfn.XLOOKUP(N25&amp;BasicProjectData!$G$18,PRICES!$B$2:$B$3684&amp;PRICES!$A$2:$A$3684,PRICES!$H$2:$H$3684))),"Input Cost Here"),"")</f>
        <v/>
      </c>
      <c r="I25" s="811"/>
      <c r="J25" s="815" t="str">
        <f>IF(N25&gt;0,IF(COUNTIF(OUTPUT!$A$9:$A$145,N25)&gt;0,"Item Already Calculated in "&amp;_xlfn.XLOOKUP(N25,OUTPUT!$A$9:$A$145,OUTPUT!$G$9:$G$145,0,0),IF(AND(H25="Input Cost Here",ISBLANK(I25),G25="Input Unit"),"Input Unit, Cost, &amp; Quantity",IF(AND(H25="Input Cost Here",ISBLANK(I25)),"Input Cost and Quantity",IF(H25="Input Cost Here","Input Unit Cost",IF(ISBLANK(I25),"Input Quantity","No error"))))),"")</f>
        <v/>
      </c>
      <c r="K25" s="38"/>
      <c r="N25" s="456">
        <f>IF(IFERROR(VLOOKUP(D25,'ITEMS LIST'!A14:B2667,2,TRUE),0)=0,E25,IFERROR(VLOOKUP(D25,'ITEMS LIST'!A14:B2667,2,TRUE),0))</f>
        <v>0</v>
      </c>
    </row>
    <row r="26" spans="2:15" ht="14.1" customHeight="1">
      <c r="C26" s="807"/>
      <c r="D26" s="800"/>
      <c r="E26" s="800"/>
      <c r="F26" s="800"/>
      <c r="G26" s="801" t="str">
        <f>IF(E26&lt;&gt;"","Input Unit",IFERROR(VLOOKUP(D26,'ITEMS LIST'!$A$2:$D$2655,4,TRUE),""))</f>
        <v/>
      </c>
      <c r="H26" s="803" t="str" cm="1">
        <f t="array" ref="H26">IF(N26&lt;&gt;0,IFERROR(MAX(_xlfn.XLOOKUP(N26&amp;"All Districts",PRICES!$B$2:$B$3684&amp;PRICES!$A$2:$A$3684,PRICES!$H$2:$H$3684),(_xlfn.XLOOKUP(N26&amp;BasicProjectData!$G$18,PRICES!$B$2:$B$3684&amp;PRICES!$A$2:$A$3684,PRICES!$H$2:$H$3684))),"Input Cost Here"),"")</f>
        <v/>
      </c>
      <c r="I26" s="811"/>
      <c r="J26" s="815" t="str">
        <f>IF(N26&gt;0,IF(COUNTIF(OUTPUT!$A$9:$A$145,N26)&gt;0,"Item Already Calculated in "&amp;_xlfn.XLOOKUP(N26,OUTPUT!$A$9:$A$145,OUTPUT!$G$9:$G$145,0,0),IF(AND(H26="Input Cost Here",ISBLANK(I26),G26="Input Unit"),"Input Unit, Cost, &amp; Quantity",IF(AND(H26="Input Cost Here",ISBLANK(I26)),"Input Cost and Quantity",IF(H26="Input Cost Here","Input Unit Cost",IF(ISBLANK(I26),"Input Quantity","No error"))))),"")</f>
        <v/>
      </c>
      <c r="K26" s="38"/>
      <c r="N26" s="456">
        <f>IF(IFERROR(VLOOKUP(D26,'ITEMS LIST'!A15:B2668,2,TRUE),0)=0,E26,IFERROR(VLOOKUP(D26,'ITEMS LIST'!A15:B2668,2,TRUE),0))</f>
        <v>0</v>
      </c>
    </row>
    <row r="27" spans="2:15">
      <c r="C27" s="810"/>
      <c r="D27" s="800"/>
      <c r="E27" s="800"/>
      <c r="F27" s="800"/>
      <c r="G27" s="801" t="str">
        <f>IF(E27&lt;&gt;"","Input Unit",IFERROR(VLOOKUP(D27,'ITEMS LIST'!$A$2:$D$2655,4,TRUE),""))</f>
        <v/>
      </c>
      <c r="H27" s="803" t="str" cm="1">
        <f t="array" ref="H27">IF(N27&lt;&gt;0,IFERROR(MAX(_xlfn.XLOOKUP(N27&amp;"All Districts",PRICES!$B$2:$B$3684&amp;PRICES!$A$2:$A$3684,PRICES!$H$2:$H$3684),(_xlfn.XLOOKUP(N27&amp;BasicProjectData!$G$18,PRICES!$B$2:$B$3684&amp;PRICES!$A$2:$A$3684,PRICES!$H$2:$H$3684))),"Input Cost Here"),"")</f>
        <v/>
      </c>
      <c r="I27" s="809"/>
      <c r="J27" s="815" t="str">
        <f>IF(N27&gt;0,IF(COUNTIF(OUTPUT!$A$9:$A$145,N27)&gt;0,"Item Already Calculated in "&amp;_xlfn.XLOOKUP(N27,OUTPUT!$A$9:$A$145,OUTPUT!$G$9:$G$145,0,0),IF(AND(H27="Input Cost Here",ISBLANK(I27),G27="Input Unit"),"Input Unit, Cost, &amp; Quantity",IF(AND(H27="Input Cost Here",ISBLANK(I27)),"Input Cost and Quantity",IF(H27="Input Cost Here","Input Unit Cost",IF(ISBLANK(I27),"Input Quantity","No error"))))),"")</f>
        <v/>
      </c>
      <c r="K27" s="38"/>
      <c r="N27" s="456">
        <f>IF(IFERROR(VLOOKUP(D27,'ITEMS LIST'!A16:B2669,2,TRUE),0)=0,E27,IFERROR(VLOOKUP(D27,'ITEMS LIST'!A16:B2669,2,TRUE),0))</f>
        <v>0</v>
      </c>
    </row>
    <row r="28" spans="2:15">
      <c r="C28" s="810"/>
      <c r="D28" s="800"/>
      <c r="E28" s="800"/>
      <c r="F28" s="800"/>
      <c r="G28" s="801" t="str">
        <f>IF(E28&lt;&gt;"","Input Unit",IFERROR(VLOOKUP(D28,'ITEMS LIST'!$A$2:$D$2655,4,TRUE),""))</f>
        <v/>
      </c>
      <c r="H28" s="803" t="str" cm="1">
        <f t="array" ref="H28">IF(N28&lt;&gt;0,IFERROR(MAX(_xlfn.XLOOKUP(N28&amp;"All Districts",PRICES!$B$2:$B$3684&amp;PRICES!$A$2:$A$3684,PRICES!$H$2:$H$3684),(_xlfn.XLOOKUP(N28&amp;BasicProjectData!$G$18,PRICES!$B$2:$B$3684&amp;PRICES!$A$2:$A$3684,PRICES!$H$2:$H$3684))),"Input Cost Here"),"")</f>
        <v/>
      </c>
      <c r="I28" s="809"/>
      <c r="J28" s="815" t="str">
        <f>IF(N28&gt;0,IF(COUNTIF(OUTPUT!$A$9:$A$145,N28)&gt;0,"Item Already Calculated in "&amp;_xlfn.XLOOKUP(N28,OUTPUT!$A$9:$A$145,OUTPUT!$G$9:$G$145,0,0),IF(AND(H28="Input Cost Here",ISBLANK(I28),G28="Input Unit"),"Input Unit, Cost, &amp; Quantity",IF(AND(H28="Input Cost Here",ISBLANK(I28)),"Input Cost and Quantity",IF(H28="Input Cost Here","Input Unit Cost",IF(ISBLANK(I28),"Input Quantity","No error"))))),"")</f>
        <v/>
      </c>
      <c r="K28" s="38"/>
      <c r="N28" s="456">
        <f>IF(IFERROR(VLOOKUP(D28,'ITEMS LIST'!A17:B2670,2,TRUE),0)=0,E28,IFERROR(VLOOKUP(D28,'ITEMS LIST'!A17:B2670,2,TRUE),0))</f>
        <v>0</v>
      </c>
    </row>
    <row r="29" spans="2:15" ht="15" customHeight="1">
      <c r="C29" s="807"/>
      <c r="D29" s="800"/>
      <c r="E29" s="800"/>
      <c r="F29" s="800"/>
      <c r="G29" s="801" t="str">
        <f>IF(E29&lt;&gt;"","Input Unit",IFERROR(VLOOKUP(D29,'ITEMS LIST'!$A$2:$D$2655,4,TRUE),""))</f>
        <v/>
      </c>
      <c r="H29" s="803" t="str" cm="1">
        <f t="array" ref="H29">IF(N29&lt;&gt;0,IFERROR(MAX(_xlfn.XLOOKUP(N29&amp;"All Districts",PRICES!$B$2:$B$3684&amp;PRICES!$A$2:$A$3684,PRICES!$H$2:$H$3684),(_xlfn.XLOOKUP(N29&amp;BasicProjectData!$G$18,PRICES!$B$2:$B$3684&amp;PRICES!$A$2:$A$3684,PRICES!$H$2:$H$3684))),"Input Cost Here"),"")</f>
        <v/>
      </c>
      <c r="I29" s="812"/>
      <c r="J29" s="815" t="str">
        <f>IF(N29&gt;0,IF(COUNTIF(OUTPUT!$A$9:$A$145,N29)&gt;0,"Item Already Calculated in "&amp;_xlfn.XLOOKUP(N29,OUTPUT!$A$9:$A$145,OUTPUT!$G$9:$G$145,0,0),IF(AND(H29="Input Cost Here",ISBLANK(I29),G29="Input Unit"),"Input Unit, Cost, &amp; Quantity",IF(AND(H29="Input Cost Here",ISBLANK(I29)),"Input Cost and Quantity",IF(H29="Input Cost Here","Input Unit Cost",IF(ISBLANK(I29),"Input Quantity","No error"))))),"")</f>
        <v/>
      </c>
      <c r="K29" s="38"/>
      <c r="N29" s="456">
        <f>IF(IFERROR(VLOOKUP(D29,'ITEMS LIST'!A18:B2671,2,TRUE),0)=0,E29,IFERROR(VLOOKUP(D29,'ITEMS LIST'!A18:B2671,2,TRUE),0))</f>
        <v>0</v>
      </c>
    </row>
    <row r="30" spans="2:15">
      <c r="C30" s="807"/>
      <c r="D30" s="800"/>
      <c r="E30" s="800"/>
      <c r="F30" s="800"/>
      <c r="G30" s="801" t="str">
        <f>IF(E30&lt;&gt;"","Input Unit",IFERROR(VLOOKUP(D30,'ITEMS LIST'!$A$2:$D$2655,4,TRUE),""))</f>
        <v/>
      </c>
      <c r="H30" s="803" t="str" cm="1">
        <f t="array" ref="H30">IF(N30&lt;&gt;0,IFERROR(MAX(_xlfn.XLOOKUP(N30&amp;"All Districts",PRICES!$B$2:$B$3684&amp;PRICES!$A$2:$A$3684,PRICES!$H$2:$H$3684),(_xlfn.XLOOKUP(N30&amp;BasicProjectData!$G$18,PRICES!$B$2:$B$3684&amp;PRICES!$A$2:$A$3684,PRICES!$H$2:$H$3684))),"Input Cost Here"),"")</f>
        <v/>
      </c>
      <c r="I30" s="812"/>
      <c r="J30" s="815" t="str">
        <f>IF(N30&gt;0,IF(COUNTIF(OUTPUT!$A$9:$A$145,N30)&gt;0,"Item Already Calculated in "&amp;_xlfn.XLOOKUP(N30,OUTPUT!$A$9:$A$145,OUTPUT!$G$9:$G$145,0,0),IF(AND(H30="Input Cost Here",ISBLANK(I30),G30="Input Unit"),"Input Unit, Cost, &amp; Quantity",IF(AND(H30="Input Cost Here",ISBLANK(I30)),"Input Cost and Quantity",IF(H30="Input Cost Here","Input Unit Cost",IF(ISBLANK(I30),"Input Quantity","No error"))))),"")</f>
        <v/>
      </c>
      <c r="K30" s="38"/>
      <c r="N30" s="456">
        <f>IF(IFERROR(VLOOKUP(D30,'ITEMS LIST'!A19:B2672,2,TRUE),0)=0,E30,IFERROR(VLOOKUP(D30,'ITEMS LIST'!A19:B2672,2,TRUE),0))</f>
        <v>0</v>
      </c>
    </row>
    <row r="31" spans="2:15">
      <c r="C31" s="807"/>
      <c r="D31" s="800"/>
      <c r="E31" s="800"/>
      <c r="F31" s="800"/>
      <c r="G31" s="801" t="str">
        <f>IF(E31&lt;&gt;"","Input Unit",IFERROR(VLOOKUP(D31,'ITEMS LIST'!$A$2:$D$2655,4,TRUE),""))</f>
        <v/>
      </c>
      <c r="H31" s="803" t="str" cm="1">
        <f t="array" ref="H31">IF(N31&lt;&gt;0,IFERROR(MAX(_xlfn.XLOOKUP(N31&amp;"All Districts",PRICES!$B$2:$B$3684&amp;PRICES!$A$2:$A$3684,PRICES!$H$2:$H$3684),(_xlfn.XLOOKUP(N31&amp;BasicProjectData!$G$18,PRICES!$B$2:$B$3684&amp;PRICES!$A$2:$A$3684,PRICES!$H$2:$H$3684))),"Input Cost Here"),"")</f>
        <v/>
      </c>
      <c r="I31" s="801"/>
      <c r="J31" s="815" t="str">
        <f>IF(N31&gt;0,IF(COUNTIF(OUTPUT!$A$9:$A$145,N31)&gt;0,"Item Already Calculated in "&amp;_xlfn.XLOOKUP(N31,OUTPUT!$A$9:$A$145,OUTPUT!$G$9:$G$145,0,0),IF(AND(H31="Input Cost Here",ISBLANK(I31),G31="Input Unit"),"Input Unit, Cost, &amp; Quantity",IF(AND(H31="Input Cost Here",ISBLANK(I31)),"Input Cost and Quantity",IF(H31="Input Cost Here","Input Unit Cost",IF(ISBLANK(I31),"Input Quantity","No error"))))),"")</f>
        <v/>
      </c>
      <c r="K31" s="38"/>
      <c r="N31" s="456">
        <f>IF(IFERROR(VLOOKUP(D31,'ITEMS LIST'!A20:B2673,2,TRUE),0)=0,E31,IFERROR(VLOOKUP(D31,'ITEMS LIST'!A20:B2673,2,TRUE),0))</f>
        <v>0</v>
      </c>
    </row>
    <row r="32" spans="2:15" ht="20.25" customHeight="1">
      <c r="C32" s="807"/>
      <c r="D32" s="800"/>
      <c r="E32" s="800"/>
      <c r="F32" s="800"/>
      <c r="G32" s="801" t="str">
        <f>IF(E32&lt;&gt;"","Input Unit",IFERROR(VLOOKUP(D32,'ITEMS LIST'!$A$2:$D$2655,4,TRUE),""))</f>
        <v/>
      </c>
      <c r="H32" s="803" t="str" cm="1">
        <f t="array" ref="H32">IF(N32&lt;&gt;0,IFERROR(MAX(_xlfn.XLOOKUP(N32&amp;"All Districts",PRICES!$B$2:$B$3684&amp;PRICES!$A$2:$A$3684,PRICES!$H$2:$H$3684),(_xlfn.XLOOKUP(N32&amp;BasicProjectData!$G$18,PRICES!$B$2:$B$3684&amp;PRICES!$A$2:$A$3684,PRICES!$H$2:$H$3684))),"Input Cost Here"),"")</f>
        <v/>
      </c>
      <c r="I32" s="813"/>
      <c r="J32" s="815" t="str">
        <f>IF(N32&gt;0,IF(COUNTIF(OUTPUT!$A$9:$A$145,N32)&gt;0,"Item Already Calculated in "&amp;_xlfn.XLOOKUP(N32,OUTPUT!$A$9:$A$145,OUTPUT!$G$9:$G$145,0,0),IF(AND(H32="Input Cost Here",ISBLANK(I32),G32="Input Unit"),"Input Unit, Cost, &amp; Quantity",IF(AND(H32="Input Cost Here",ISBLANK(I32)),"Input Cost and Quantity",IF(H32="Input Cost Here","Input Unit Cost",IF(ISBLANK(I32),"Input Quantity","No error"))))),"")</f>
        <v/>
      </c>
      <c r="K32" s="59"/>
      <c r="N32" s="456">
        <f>IF(IFERROR(VLOOKUP(D32,'ITEMS LIST'!A21:B2674,2,TRUE),0)=0,E32,IFERROR(VLOOKUP(D32,'ITEMS LIST'!A21:B2674,2,TRUE),0))</f>
        <v>0</v>
      </c>
    </row>
    <row r="33" spans="2:14">
      <c r="C33" s="807"/>
      <c r="D33" s="800"/>
      <c r="E33" s="800"/>
      <c r="F33" s="800"/>
      <c r="G33" s="801" t="str">
        <f>IF(E33&lt;&gt;"","Input Unit",IFERROR(VLOOKUP(D33,'ITEMS LIST'!$A$2:$D$2655,4,TRUE),""))</f>
        <v/>
      </c>
      <c r="H33" s="803" t="str" cm="1">
        <f t="array" ref="H33">IF(N33&lt;&gt;0,IFERROR(MAX(_xlfn.XLOOKUP(N33&amp;"All Districts",PRICES!$B$2:$B$3684&amp;PRICES!$A$2:$A$3684,PRICES!$H$2:$H$3684),(_xlfn.XLOOKUP(N33&amp;BasicProjectData!$G$18,PRICES!$B$2:$B$3684&amp;PRICES!$A$2:$A$3684,PRICES!$H$2:$H$3684))),"Input Cost Here"),"")</f>
        <v/>
      </c>
      <c r="I33" s="813"/>
      <c r="J33" s="815" t="str">
        <f>IF(N33&gt;0,IF(COUNTIF(OUTPUT!$A$9:$A$145,N33)&gt;0,"Item Already Calculated in "&amp;_xlfn.XLOOKUP(N33,OUTPUT!$A$9:$A$145,OUTPUT!$G$9:$G$145,0,0),IF(AND(H33="Input Cost Here",ISBLANK(I33),G33="Input Unit"),"Input Unit, Cost, &amp; Quantity",IF(AND(H33="Input Cost Here",ISBLANK(I33)),"Input Cost and Quantity",IF(H33="Input Cost Here","Input Unit Cost",IF(ISBLANK(I33),"Input Quantity","No error"))))),"")</f>
        <v/>
      </c>
      <c r="K33" s="38"/>
      <c r="N33" s="456">
        <f>IF(IFERROR(VLOOKUP(D33,'ITEMS LIST'!A22:B2675,2,TRUE),0)=0,E33,IFERROR(VLOOKUP(D33,'ITEMS LIST'!A22:B2675,2,TRUE),0))</f>
        <v>0</v>
      </c>
    </row>
    <row r="34" spans="2:14" ht="14.1" customHeight="1">
      <c r="B34" s="102"/>
      <c r="C34" s="814"/>
      <c r="D34" s="800"/>
      <c r="E34" s="800"/>
      <c r="F34" s="800"/>
      <c r="G34" s="801" t="str">
        <f>IF(E34&lt;&gt;"","Input Unit",IFERROR(VLOOKUP(D34,'ITEMS LIST'!$A$2:$D$2655,4,TRUE),""))</f>
        <v/>
      </c>
      <c r="H34" s="803" t="str" cm="1">
        <f t="array" ref="H34">IF(N34&lt;&gt;0,IFERROR(MAX(_xlfn.XLOOKUP(N34&amp;"All Districts",PRICES!$B$2:$B$3684&amp;PRICES!$A$2:$A$3684,PRICES!$H$2:$H$3684),(_xlfn.XLOOKUP(N34&amp;BasicProjectData!$G$18,PRICES!$B$2:$B$3684&amp;PRICES!$A$2:$A$3684,PRICES!$H$2:$H$3684))),"Input Cost Here"),"")</f>
        <v/>
      </c>
      <c r="I34" s="813"/>
      <c r="J34" s="815" t="str">
        <f>IF(N34&gt;0,IF(COUNTIF(OUTPUT!$A$9:$A$145,N34)&gt;0,"Item Already Calculated in "&amp;_xlfn.XLOOKUP(N34,OUTPUT!$A$9:$A$145,OUTPUT!$G$9:$G$145,0,0),IF(AND(H34="Input Cost Here",ISBLANK(I34),G34="Input Unit"),"Input Unit, Cost, &amp; Quantity",IF(AND(H34="Input Cost Here",ISBLANK(I34)),"Input Cost and Quantity",IF(H34="Input Cost Here","Input Unit Cost",IF(ISBLANK(I34),"Input Quantity","No error"))))),"")</f>
        <v/>
      </c>
      <c r="N34" s="456">
        <f>IF(IFERROR(VLOOKUP(D34,'ITEMS LIST'!A23:B2676,2,TRUE),0)=0,E34,IFERROR(VLOOKUP(D34,'ITEMS LIST'!A23:B2676,2,TRUE),0))</f>
        <v>0</v>
      </c>
    </row>
    <row r="35" spans="2:14">
      <c r="C35" s="807"/>
      <c r="D35" s="800"/>
      <c r="E35" s="800"/>
      <c r="F35" s="800"/>
      <c r="G35" s="801" t="str">
        <f>IF(E35&lt;&gt;"","Input Unit",IFERROR(VLOOKUP(D35,'ITEMS LIST'!$A$2:$D$2655,4,TRUE),""))</f>
        <v/>
      </c>
      <c r="H35" s="803" t="str" cm="1">
        <f t="array" ref="H35">IF(N35&lt;&gt;0,IFERROR(MAX(_xlfn.XLOOKUP(N35&amp;"All Districts",PRICES!$B$2:$B$3684&amp;PRICES!$A$2:$A$3684,PRICES!$H$2:$H$3684),(_xlfn.XLOOKUP(N35&amp;BasicProjectData!$G$18,PRICES!$B$2:$B$3684&amp;PRICES!$A$2:$A$3684,PRICES!$H$2:$H$3684))),"Input Cost Here"),"")</f>
        <v/>
      </c>
      <c r="I35" s="801"/>
      <c r="J35" s="815" t="str">
        <f>IF(N35&gt;0,IF(COUNTIF(OUTPUT!$A$9:$A$145,N35)&gt;0,"Item Already Calculated in "&amp;_xlfn.XLOOKUP(N35,OUTPUT!$A$9:$A$145,OUTPUT!$G$9:$G$145,0,0),IF(AND(H35="Input Cost Here",ISBLANK(I35),G35="Input Unit"),"Input Unit, Cost, &amp; Quantity",IF(AND(H35="Input Cost Here",ISBLANK(I35)),"Input Cost and Quantity",IF(H35="Input Cost Here","Input Unit Cost",IF(ISBLANK(I35),"Input Quantity","No error"))))),"")</f>
        <v/>
      </c>
      <c r="N35" s="456">
        <f>IF(IFERROR(VLOOKUP(D35,'ITEMS LIST'!A24:B2677,2,TRUE),0)=0,E35,IFERROR(VLOOKUP(D35,'ITEMS LIST'!A24:B2677,2,TRUE),0))</f>
        <v>0</v>
      </c>
    </row>
    <row r="36" spans="2:14">
      <c r="C36" s="807"/>
      <c r="D36" s="800"/>
      <c r="E36" s="800"/>
      <c r="F36" s="800"/>
      <c r="G36" s="801" t="str">
        <f>IF(E36&lt;&gt;"","Input Unit",IFERROR(VLOOKUP(D36,'ITEMS LIST'!$A$2:$D$2655,4,TRUE),""))</f>
        <v/>
      </c>
      <c r="H36" s="803" t="str" cm="1">
        <f t="array" ref="H36">IF(N36&lt;&gt;0,IFERROR(MAX(_xlfn.XLOOKUP(N36&amp;"All Districts",PRICES!$B$2:$B$3684&amp;PRICES!$A$2:$A$3684,PRICES!$H$2:$H$3684),(_xlfn.XLOOKUP(N36&amp;BasicProjectData!$G$18,PRICES!$B$2:$B$3684&amp;PRICES!$A$2:$A$3684,PRICES!$H$2:$H$3684))),"Input Cost Here"),"")</f>
        <v/>
      </c>
      <c r="I36" s="801"/>
      <c r="J36" s="815" t="str">
        <f>IF(N36&gt;0,IF(COUNTIF(OUTPUT!$A$9:$A$145,N36)&gt;0,"Item Already Calculated in "&amp;_xlfn.XLOOKUP(N36,OUTPUT!$A$9:$A$145,OUTPUT!$G$9:$G$145,0,0),IF(AND(H36="Input Cost Here",ISBLANK(I36),G36="Input Unit"),"Input Unit, Cost, &amp; Quantity",IF(AND(H36="Input Cost Here",ISBLANK(I36)),"Input Cost and Quantity",IF(H36="Input Cost Here","Input Unit Cost",IF(ISBLANK(I36),"Input Quantity","No error"))))),"")</f>
        <v/>
      </c>
      <c r="N36" s="456">
        <f>IF(IFERROR(VLOOKUP(D36,'ITEMS LIST'!A25:B2678,2,TRUE),0)=0,E36,IFERROR(VLOOKUP(D36,'ITEMS LIST'!A25:B2678,2,TRUE),0))</f>
        <v>0</v>
      </c>
    </row>
    <row r="37" spans="2:14">
      <c r="C37" s="807"/>
      <c r="D37" s="800"/>
      <c r="E37" s="800"/>
      <c r="F37" s="800"/>
      <c r="G37" s="801" t="str">
        <f>IF(E37&lt;&gt;"","Input Unit",IFERROR(VLOOKUP(D37,'ITEMS LIST'!$A$2:$D$2655,4,TRUE),""))</f>
        <v/>
      </c>
      <c r="H37" s="803" t="str" cm="1">
        <f t="array" ref="H37">IF(N37&lt;&gt;0,IFERROR(MAX(_xlfn.XLOOKUP(N37&amp;"All Districts",PRICES!$B$2:$B$3684&amp;PRICES!$A$2:$A$3684,PRICES!$H$2:$H$3684),(_xlfn.XLOOKUP(N37&amp;BasicProjectData!$G$18,PRICES!$B$2:$B$3684&amp;PRICES!$A$2:$A$3684,PRICES!$H$2:$H$3684))),"Input Cost Here"),"")</f>
        <v/>
      </c>
      <c r="I37" s="801"/>
      <c r="J37" s="815" t="str">
        <f>IF(N37&gt;0,IF(COUNTIF(OUTPUT!$A$9:$A$145,N37)&gt;0,"Item Already Calculated in "&amp;_xlfn.XLOOKUP(N37,OUTPUT!$A$9:$A$145,OUTPUT!$G$9:$G$145,0,0),IF(AND(H37="Input Cost Here",ISBLANK(I37),G37="Input Unit"),"Input Unit, Cost, &amp; Quantity",IF(AND(H37="Input Cost Here",ISBLANK(I37)),"Input Cost and Quantity",IF(H37="Input Cost Here","Input Unit Cost",IF(ISBLANK(I37),"Input Quantity","No error"))))),"")</f>
        <v/>
      </c>
      <c r="N37" s="456">
        <f>IF(IFERROR(VLOOKUP(D37,'ITEMS LIST'!A26:B2679,2,TRUE),0)=0,E37,IFERROR(VLOOKUP(D37,'ITEMS LIST'!A26:B2679,2,TRUE),0))</f>
        <v>0</v>
      </c>
    </row>
    <row r="38" spans="2:14">
      <c r="C38" s="807"/>
      <c r="D38" s="800"/>
      <c r="E38" s="800"/>
      <c r="F38" s="800"/>
      <c r="G38" s="801" t="str">
        <f>IF(E38&lt;&gt;"","Input Unit",IFERROR(VLOOKUP(D38,'ITEMS LIST'!$A$2:$D$2655,4,TRUE),""))</f>
        <v/>
      </c>
      <c r="H38" s="803" t="str" cm="1">
        <f t="array" ref="H38">IF(N38&lt;&gt;0,IFERROR(MAX(_xlfn.XLOOKUP(N38&amp;"All Districts",PRICES!$B$2:$B$3684&amp;PRICES!$A$2:$A$3684,PRICES!$H$2:$H$3684),(_xlfn.XLOOKUP(N38&amp;BasicProjectData!$G$18,PRICES!$B$2:$B$3684&amp;PRICES!$A$2:$A$3684,PRICES!$H$2:$H$3684))),"Input Cost Here"),"")</f>
        <v/>
      </c>
      <c r="I38" s="801"/>
      <c r="J38" s="815" t="str">
        <f>IF(N38&gt;0,IF(COUNTIF(OUTPUT!$A$9:$A$145,N38)&gt;0,"Item Already Calculated in "&amp;_xlfn.XLOOKUP(N38,OUTPUT!$A$9:$A$145,OUTPUT!$G$9:$G$145,0,0),IF(AND(H38="Input Cost Here",ISBLANK(I38),G38="Input Unit"),"Input Unit, Cost, &amp; Quantity",IF(AND(H38="Input Cost Here",ISBLANK(I38)),"Input Cost and Quantity",IF(H38="Input Cost Here","Input Unit Cost",IF(ISBLANK(I38),"Input Quantity","No error"))))),"")</f>
        <v/>
      </c>
      <c r="N38" s="456">
        <f>IF(IFERROR(VLOOKUP(D38,'ITEMS LIST'!A27:B2680,2,TRUE),0)=0,E38,IFERROR(VLOOKUP(D38,'ITEMS LIST'!A27:B2680,2,TRUE),0))</f>
        <v>0</v>
      </c>
    </row>
    <row r="39" spans="2:14">
      <c r="C39" s="807"/>
      <c r="D39" s="800"/>
      <c r="E39" s="800"/>
      <c r="F39" s="800"/>
      <c r="G39" s="801" t="str">
        <f>IF(E39&lt;&gt;"","Input Unit",IFERROR(VLOOKUP(D39,'ITEMS LIST'!$A$2:$D$2655,4,TRUE),""))</f>
        <v/>
      </c>
      <c r="H39" s="803" t="str" cm="1">
        <f t="array" ref="H39">IF(N39&lt;&gt;0,IFERROR(MAX(_xlfn.XLOOKUP(N39&amp;"All Districts",PRICES!$B$2:$B$3684&amp;PRICES!$A$2:$A$3684,PRICES!$H$2:$H$3684),(_xlfn.XLOOKUP(N39&amp;BasicProjectData!$G$18,PRICES!$B$2:$B$3684&amp;PRICES!$A$2:$A$3684,PRICES!$H$2:$H$3684))),"Input Cost Here"),"")</f>
        <v/>
      </c>
      <c r="I39" s="801"/>
      <c r="J39" s="815" t="str">
        <f>IF(N39&gt;0,IF(COUNTIF(OUTPUT!$A$9:$A$145,N39)&gt;0,"Item Already Calculated in "&amp;_xlfn.XLOOKUP(N39,OUTPUT!$A$9:$A$145,OUTPUT!$G$9:$G$145,0,0),IF(AND(H39="Input Cost Here",ISBLANK(I39),G39="Input Unit"),"Input Unit, Cost, &amp; Quantity",IF(AND(H39="Input Cost Here",ISBLANK(I39)),"Input Cost and Quantity",IF(H39="Input Cost Here","Input Unit Cost",IF(ISBLANK(I39),"Input Quantity","No error"))))),"")</f>
        <v/>
      </c>
      <c r="N39" s="456">
        <f>IF(IFERROR(VLOOKUP(D39,'ITEMS LIST'!A28:B2681,2,TRUE),0)=0,E39,IFERROR(VLOOKUP(D39,'ITEMS LIST'!A28:B2681,2,TRUE),0))</f>
        <v>0</v>
      </c>
    </row>
    <row r="40" spans="2:14">
      <c r="C40" s="807"/>
      <c r="D40" s="800"/>
      <c r="E40" s="800"/>
      <c r="F40" s="800"/>
      <c r="G40" s="801" t="str">
        <f>IF(E40&lt;&gt;"","Input Unit",IFERROR(VLOOKUP(D40,'ITEMS LIST'!$A$2:$D$2655,4,TRUE),""))</f>
        <v/>
      </c>
      <c r="H40" s="803" t="str" cm="1">
        <f t="array" ref="H40">IF(N40&lt;&gt;0,IFERROR(MAX(_xlfn.XLOOKUP(N40&amp;"All Districts",PRICES!$B$2:$B$3684&amp;PRICES!$A$2:$A$3684,PRICES!$H$2:$H$3684),(_xlfn.XLOOKUP(N40&amp;BasicProjectData!$G$18,PRICES!$B$2:$B$3684&amp;PRICES!$A$2:$A$3684,PRICES!$H$2:$H$3684))),"Input Cost Here"),"")</f>
        <v/>
      </c>
      <c r="I40" s="801"/>
      <c r="J40" s="815" t="str">
        <f>IF(N40&gt;0,IF(COUNTIF(OUTPUT!$A$9:$A$145,N40)&gt;0,"Item Already Calculated in "&amp;_xlfn.XLOOKUP(N40,OUTPUT!$A$9:$A$145,OUTPUT!$G$9:$G$145,0,0),IF(AND(H40="Input Cost Here",ISBLANK(I40),G40="Input Unit"),"Input Unit, Cost, &amp; Quantity",IF(AND(H40="Input Cost Here",ISBLANK(I40)),"Input Cost and Quantity",IF(H40="Input Cost Here","Input Unit Cost",IF(ISBLANK(I40),"Input Quantity","No error"))))),"")</f>
        <v/>
      </c>
      <c r="N40" s="456">
        <f>IF(IFERROR(VLOOKUP(D40,'ITEMS LIST'!A29:B2682,2,TRUE),0)=0,E40,IFERROR(VLOOKUP(D40,'ITEMS LIST'!A29:B2682,2,TRUE),0))</f>
        <v>0</v>
      </c>
    </row>
    <row r="41" spans="2:14">
      <c r="C41" s="807"/>
      <c r="D41" s="800"/>
      <c r="E41" s="800"/>
      <c r="F41" s="800"/>
      <c r="G41" s="801" t="str">
        <f>IF(E41&lt;&gt;"","Input Unit",IFERROR(VLOOKUP(D41,'ITEMS LIST'!$A$2:$D$2655,4,TRUE),""))</f>
        <v/>
      </c>
      <c r="H41" s="803" t="str" cm="1">
        <f t="array" ref="H41">IF(N41&lt;&gt;0,IFERROR(MAX(_xlfn.XLOOKUP(N41&amp;"All Districts",PRICES!$B$2:$B$3684&amp;PRICES!$A$2:$A$3684,PRICES!$H$2:$H$3684),(_xlfn.XLOOKUP(N41&amp;BasicProjectData!$G$18,PRICES!$B$2:$B$3684&amp;PRICES!$A$2:$A$3684,PRICES!$H$2:$H$3684))),"Input Cost Here"),"")</f>
        <v/>
      </c>
      <c r="I41" s="801"/>
      <c r="J41" s="815" t="str">
        <f>IF(N41&gt;0,IF(COUNTIF(OUTPUT!$A$9:$A$145,N41)&gt;0,"Item Already Calculated in "&amp;_xlfn.XLOOKUP(N41,OUTPUT!$A$9:$A$145,OUTPUT!$G$9:$G$145,0,0),IF(AND(H41="Input Cost Here",ISBLANK(I41),G41="Input Unit"),"Input Unit, Cost, &amp; Quantity",IF(AND(H41="Input Cost Here",ISBLANK(I41)),"Input Cost and Quantity",IF(H41="Input Cost Here","Input Unit Cost",IF(ISBLANK(I41),"Input Quantity","No error"))))),"")</f>
        <v/>
      </c>
      <c r="N41" s="456">
        <f>IF(IFERROR(VLOOKUP(D41,'ITEMS LIST'!A30:B2683,2,TRUE),0)=0,E41,IFERROR(VLOOKUP(D41,'ITEMS LIST'!A30:B2683,2,TRUE),0))</f>
        <v>0</v>
      </c>
    </row>
    <row r="42" spans="2:14">
      <c r="C42" s="807"/>
      <c r="D42" s="800"/>
      <c r="E42" s="800"/>
      <c r="F42" s="800"/>
      <c r="G42" s="801" t="str">
        <f>IF(E42&lt;&gt;"","Input Unit",IFERROR(VLOOKUP(D42,'ITEMS LIST'!$A$2:$D$2655,4,TRUE),""))</f>
        <v/>
      </c>
      <c r="H42" s="803" t="str" cm="1">
        <f t="array" ref="H42">IF(N42&lt;&gt;0,IFERROR(MAX(_xlfn.XLOOKUP(N42&amp;"All Districts",PRICES!$B$2:$B$3684&amp;PRICES!$A$2:$A$3684,PRICES!$H$2:$H$3684),(_xlfn.XLOOKUP(N42&amp;BasicProjectData!$G$18,PRICES!$B$2:$B$3684&amp;PRICES!$A$2:$A$3684,PRICES!$H$2:$H$3684))),"Input Cost Here"),"")</f>
        <v/>
      </c>
      <c r="I42" s="801"/>
      <c r="J42" s="815" t="str">
        <f>IF(N42&gt;0,IF(COUNTIF(OUTPUT!$A$9:$A$145,N42)&gt;0,"Item Already Calculated in "&amp;_xlfn.XLOOKUP(N42,OUTPUT!$A$9:$A$145,OUTPUT!$G$9:$G$145,0,0),IF(AND(H42="Input Cost Here",ISBLANK(I42),G42="Input Unit"),"Input Unit, Cost, &amp; Quantity",IF(AND(H42="Input Cost Here",ISBLANK(I42)),"Input Cost and Quantity",IF(H42="Input Cost Here","Input Unit Cost",IF(ISBLANK(I42),"Input Quantity","No error"))))),"")</f>
        <v/>
      </c>
      <c r="N42" s="456">
        <f>IF(IFERROR(VLOOKUP(D42,'ITEMS LIST'!A31:B2684,2,TRUE),0)=0,E42,IFERROR(VLOOKUP(D42,'ITEMS LIST'!A31:B2684,2,TRUE),0))</f>
        <v>0</v>
      </c>
    </row>
    <row r="43" spans="2:14">
      <c r="C43" s="807"/>
      <c r="D43" s="800"/>
      <c r="E43" s="800"/>
      <c r="F43" s="800"/>
      <c r="G43" s="801" t="str">
        <f>IF(E43&lt;&gt;"","Input Unit",IFERROR(VLOOKUP(D43,'ITEMS LIST'!$A$2:$D$2655,4,TRUE),""))</f>
        <v/>
      </c>
      <c r="H43" s="803" t="str" cm="1">
        <f t="array" ref="H43">IF(N43&lt;&gt;0,IFERROR(MAX(_xlfn.XLOOKUP(N43&amp;"All Districts",PRICES!$B$2:$B$3684&amp;PRICES!$A$2:$A$3684,PRICES!$H$2:$H$3684),(_xlfn.XLOOKUP(N43&amp;BasicProjectData!$G$18,PRICES!$B$2:$B$3684&amp;PRICES!$A$2:$A$3684,PRICES!$H$2:$H$3684))),"Input Cost Here"),"")</f>
        <v/>
      </c>
      <c r="I43" s="801"/>
      <c r="J43" s="815" t="str">
        <f>IF(N43&gt;0,IF(COUNTIF(OUTPUT!$A$9:$A$145,N43)&gt;0,"Item Already Calculated in "&amp;_xlfn.XLOOKUP(N43,OUTPUT!$A$9:$A$145,OUTPUT!$G$9:$G$145,0,0),IF(AND(H43="Input Cost Here",ISBLANK(I43),G43="Input Unit"),"Input Unit, Cost, &amp; Quantity",IF(AND(H43="Input Cost Here",ISBLANK(I43)),"Input Cost and Quantity",IF(H43="Input Cost Here","Input Unit Cost",IF(ISBLANK(I43),"Input Quantity","No error"))))),"")</f>
        <v/>
      </c>
      <c r="N43" s="456">
        <f>IF(IFERROR(VLOOKUP(D43,'ITEMS LIST'!A32:B2685,2,TRUE),0)=0,E43,IFERROR(VLOOKUP(D43,'ITEMS LIST'!A32:B2685,2,TRUE),0))</f>
        <v>0</v>
      </c>
    </row>
    <row r="44" spans="2:14">
      <c r="C44" s="807"/>
      <c r="D44" s="800"/>
      <c r="E44" s="800"/>
      <c r="F44" s="800"/>
      <c r="G44" s="801" t="str">
        <f>IF(E44&lt;&gt;"","Input Unit",IFERROR(VLOOKUP(D44,'ITEMS LIST'!$A$2:$D$2655,4,TRUE),""))</f>
        <v/>
      </c>
      <c r="H44" s="803" t="str" cm="1">
        <f t="array" ref="H44">IF(N44&lt;&gt;0,IFERROR(MAX(_xlfn.XLOOKUP(N44&amp;"All Districts",PRICES!$B$2:$B$3684&amp;PRICES!$A$2:$A$3684,PRICES!$H$2:$H$3684),(_xlfn.XLOOKUP(N44&amp;BasicProjectData!$G$18,PRICES!$B$2:$B$3684&amp;PRICES!$A$2:$A$3684,PRICES!$H$2:$H$3684))),"Input Cost Here"),"")</f>
        <v/>
      </c>
      <c r="I44" s="801"/>
      <c r="J44" s="815" t="str">
        <f>IF(N44&gt;0,IF(COUNTIF(OUTPUT!$A$9:$A$145,N44)&gt;0,"Item Already Calculated in "&amp;_xlfn.XLOOKUP(N44,OUTPUT!$A$9:$A$145,OUTPUT!$G$9:$G$145,0,0),IF(AND(H44="Input Cost Here",ISBLANK(I44),G44="Input Unit"),"Input Unit, Cost, &amp; Quantity",IF(AND(H44="Input Cost Here",ISBLANK(I44)),"Input Cost and Quantity",IF(H44="Input Cost Here","Input Unit Cost",IF(ISBLANK(I44),"Input Quantity","No error"))))),"")</f>
        <v/>
      </c>
      <c r="N44" s="456">
        <f>IF(IFERROR(VLOOKUP(D44,'ITEMS LIST'!A33:B2686,2,TRUE),0)=0,E44,IFERROR(VLOOKUP(D44,'ITEMS LIST'!A33:B2686,2,TRUE),0))</f>
        <v>0</v>
      </c>
    </row>
    <row r="45" spans="2:14">
      <c r="C45" s="807"/>
      <c r="D45" s="800"/>
      <c r="E45" s="800"/>
      <c r="F45" s="800"/>
      <c r="G45" s="801" t="str">
        <f>IF(E45&lt;&gt;"","Input Unit",IFERROR(VLOOKUP(D45,'ITEMS LIST'!$A$2:$D$2655,4,TRUE),""))</f>
        <v/>
      </c>
      <c r="H45" s="803" t="str" cm="1">
        <f t="array" ref="H45">IF(N45&lt;&gt;0,IFERROR(MAX(_xlfn.XLOOKUP(N45&amp;"All Districts",PRICES!$B$2:$B$3684&amp;PRICES!$A$2:$A$3684,PRICES!$H$2:$H$3684),(_xlfn.XLOOKUP(N45&amp;BasicProjectData!$G$18,PRICES!$B$2:$B$3684&amp;PRICES!$A$2:$A$3684,PRICES!$H$2:$H$3684))),"Input Cost Here"),"")</f>
        <v/>
      </c>
      <c r="I45" s="801"/>
      <c r="J45" s="815" t="str">
        <f>IF(N45&gt;0,IF(COUNTIF(OUTPUT!$A$9:$A$145,N45)&gt;0,"Item Already Calculated in "&amp;_xlfn.XLOOKUP(N45,OUTPUT!$A$9:$A$145,OUTPUT!$G$9:$G$145,0,0),IF(AND(H45="Input Cost Here",ISBLANK(I45),G45="Input Unit"),"Input Unit, Cost, &amp; Quantity",IF(AND(H45="Input Cost Here",ISBLANK(I45)),"Input Cost and Quantity",IF(H45="Input Cost Here","Input Unit Cost",IF(ISBLANK(I45),"Input Quantity","No error"))))),"")</f>
        <v/>
      </c>
      <c r="N45" s="456">
        <f>IF(IFERROR(VLOOKUP(D45,'ITEMS LIST'!A34:B2687,2,TRUE),0)=0,E45,IFERROR(VLOOKUP(D45,'ITEMS LIST'!A34:B2687,2,TRUE),0))</f>
        <v>0</v>
      </c>
    </row>
    <row r="46" spans="2:14">
      <c r="C46" s="807"/>
      <c r="D46" s="800"/>
      <c r="E46" s="800"/>
      <c r="F46" s="800"/>
      <c r="G46" s="801" t="str">
        <f>IF(E46&lt;&gt;"","Input Unit",IFERROR(VLOOKUP(D46,'ITEMS LIST'!$A$2:$D$2655,4,TRUE),""))</f>
        <v/>
      </c>
      <c r="H46" s="803" t="str" cm="1">
        <f t="array" ref="H46">IF(N46&lt;&gt;0,IFERROR(MAX(_xlfn.XLOOKUP(N46&amp;"All Districts",PRICES!$B$2:$B$3684&amp;PRICES!$A$2:$A$3684,PRICES!$H$2:$H$3684),(_xlfn.XLOOKUP(N46&amp;BasicProjectData!$G$18,PRICES!$B$2:$B$3684&amp;PRICES!$A$2:$A$3684,PRICES!$H$2:$H$3684))),"Input Cost Here"),"")</f>
        <v/>
      </c>
      <c r="I46" s="801"/>
      <c r="J46" s="815" t="str">
        <f>IF(N46&gt;0,IF(COUNTIF(OUTPUT!$A$9:$A$145,N46)&gt;0,"Item Already Calculated in "&amp;_xlfn.XLOOKUP(N46,OUTPUT!$A$9:$A$145,OUTPUT!$G$9:$G$145,0,0),IF(AND(H46="Input Cost Here",ISBLANK(I46),G46="Input Unit"),"Input Unit, Cost, &amp; Quantity",IF(AND(H46="Input Cost Here",ISBLANK(I46)),"Input Cost and Quantity",IF(H46="Input Cost Here","Input Unit Cost",IF(ISBLANK(I46),"Input Quantity","No error"))))),"")</f>
        <v/>
      </c>
      <c r="N46" s="456">
        <f>IF(IFERROR(VLOOKUP(D46,'ITEMS LIST'!A35:B2688,2,TRUE),0)=0,E46,IFERROR(VLOOKUP(D46,'ITEMS LIST'!A35:B2688,2,TRUE),0))</f>
        <v>0</v>
      </c>
    </row>
    <row r="47" spans="2:14">
      <c r="C47" s="807"/>
      <c r="D47" s="800"/>
      <c r="E47" s="800"/>
      <c r="F47" s="800"/>
      <c r="G47" s="801" t="str">
        <f>IF(E47&lt;&gt;"","Input Unit",IFERROR(VLOOKUP(D47,'ITEMS LIST'!$A$2:$D$2655,4,TRUE),""))</f>
        <v/>
      </c>
      <c r="H47" s="803" t="str" cm="1">
        <f t="array" ref="H47">IF(N47&lt;&gt;0,IFERROR(MAX(_xlfn.XLOOKUP(N47&amp;"All Districts",PRICES!$B$2:$B$3684&amp;PRICES!$A$2:$A$3684,PRICES!$H$2:$H$3684),(_xlfn.XLOOKUP(N47&amp;BasicProjectData!$G$18,PRICES!$B$2:$B$3684&amp;PRICES!$A$2:$A$3684,PRICES!$H$2:$H$3684))),"Input Cost Here"),"")</f>
        <v/>
      </c>
      <c r="I47" s="801"/>
      <c r="J47" s="815" t="str">
        <f>IF(N47&gt;0,IF(COUNTIF(OUTPUT!$A$9:$A$145,N47)&gt;0,"Item Already Calculated in "&amp;_xlfn.XLOOKUP(N47,OUTPUT!$A$9:$A$145,OUTPUT!$G$9:$G$145,0,0),IF(AND(H47="Input Cost Here",ISBLANK(I47),G47="Input Unit"),"Input Unit, Cost, &amp; Quantity",IF(AND(H47="Input Cost Here",ISBLANK(I47)),"Input Cost and Quantity",IF(H47="Input Cost Here","Input Unit Cost",IF(ISBLANK(I47),"Input Quantity","No error"))))),"")</f>
        <v/>
      </c>
      <c r="N47" s="456">
        <f>IF(IFERROR(VLOOKUP(D47,'ITEMS LIST'!A36:B2689,2,TRUE),0)=0,E47,IFERROR(VLOOKUP(D47,'ITEMS LIST'!A36:B2689,2,TRUE),0))</f>
        <v>0</v>
      </c>
    </row>
    <row r="48" spans="2:14">
      <c r="C48" s="807"/>
      <c r="D48" s="800"/>
      <c r="E48" s="800"/>
      <c r="F48" s="800"/>
      <c r="G48" s="801" t="str">
        <f>IF(E48&lt;&gt;"","Input Unit",IFERROR(VLOOKUP(D48,'ITEMS LIST'!$A$2:$D$2655,4,TRUE),""))</f>
        <v/>
      </c>
      <c r="H48" s="803" t="str" cm="1">
        <f t="array" ref="H48">IF(N48&lt;&gt;0,IFERROR(MAX(_xlfn.XLOOKUP(N48&amp;"All Districts",PRICES!$B$2:$B$3684&amp;PRICES!$A$2:$A$3684,PRICES!$H$2:$H$3684),(_xlfn.XLOOKUP(N48&amp;BasicProjectData!$G$18,PRICES!$B$2:$B$3684&amp;PRICES!$A$2:$A$3684,PRICES!$H$2:$H$3684))),"Input Cost Here"),"")</f>
        <v/>
      </c>
      <c r="I48" s="801"/>
      <c r="J48" s="815" t="str">
        <f>IF(N48&gt;0,IF(COUNTIF(OUTPUT!$A$9:$A$145,N48)&gt;0,"Item Already Calculated in "&amp;_xlfn.XLOOKUP(N48,OUTPUT!$A$9:$A$145,OUTPUT!$G$9:$G$145,0,0),IF(AND(H48="Input Cost Here",ISBLANK(I48),G48="Input Unit"),"Input Unit, Cost, &amp; Quantity",IF(AND(H48="Input Cost Here",ISBLANK(I48)),"Input Cost and Quantity",IF(H48="Input Cost Here","Input Unit Cost",IF(ISBLANK(I48),"Input Quantity","No error"))))),"")</f>
        <v/>
      </c>
      <c r="N48" s="456">
        <f>IF(IFERROR(VLOOKUP(D48,'ITEMS LIST'!A37:B2690,2,TRUE),0)=0,E48,IFERROR(VLOOKUP(D48,'ITEMS LIST'!A37:B2690,2,TRUE),0))</f>
        <v>0</v>
      </c>
    </row>
    <row r="49" spans="3:14">
      <c r="C49" s="807"/>
      <c r="D49" s="800"/>
      <c r="E49" s="800"/>
      <c r="F49" s="800"/>
      <c r="G49" s="801" t="str">
        <f>IF(E49&lt;&gt;"","Input Unit",IFERROR(VLOOKUP(D49,'ITEMS LIST'!$A$2:$D$2655,4,TRUE),""))</f>
        <v/>
      </c>
      <c r="H49" s="803" t="str" cm="1">
        <f t="array" ref="H49">IF(N49&lt;&gt;0,IFERROR(MAX(_xlfn.XLOOKUP(N49&amp;"All Districts",PRICES!$B$2:$B$3684&amp;PRICES!$A$2:$A$3684,PRICES!$H$2:$H$3684),(_xlfn.XLOOKUP(N49&amp;BasicProjectData!$G$18,PRICES!$B$2:$B$3684&amp;PRICES!$A$2:$A$3684,PRICES!$H$2:$H$3684))),"Input Cost Here"),"")</f>
        <v/>
      </c>
      <c r="I49" s="801"/>
      <c r="J49" s="815" t="str">
        <f>IF(N49&gt;0,IF(COUNTIF(OUTPUT!$A$9:$A$145,N49)&gt;0,"Item Already Calculated in "&amp;_xlfn.XLOOKUP(N49,OUTPUT!$A$9:$A$145,OUTPUT!$G$9:$G$145,0,0),IF(AND(H49="Input Cost Here",ISBLANK(I49),G49="Input Unit"),"Input Unit, Cost, &amp; Quantity",IF(AND(H49="Input Cost Here",ISBLANK(I49)),"Input Cost and Quantity",IF(H49="Input Cost Here","Input Unit Cost",IF(ISBLANK(I49),"Input Quantity","No error"))))),"")</f>
        <v/>
      </c>
      <c r="N49" s="456">
        <f>IF(IFERROR(VLOOKUP(D49,'ITEMS LIST'!A38:B2691,2,TRUE),0)=0,E49,IFERROR(VLOOKUP(D49,'ITEMS LIST'!A38:B2691,2,TRUE),0))</f>
        <v>0</v>
      </c>
    </row>
    <row r="50" spans="3:14">
      <c r="C50" s="807"/>
      <c r="D50" s="800"/>
      <c r="E50" s="800"/>
      <c r="F50" s="800"/>
      <c r="G50" s="801" t="str">
        <f>IF(E50&lt;&gt;"","Input Unit",IFERROR(VLOOKUP(D50,'ITEMS LIST'!$A$2:$D$2655,4,TRUE),""))</f>
        <v/>
      </c>
      <c r="H50" s="803" t="str" cm="1">
        <f t="array" ref="H50">IF(N50&lt;&gt;0,IFERROR(MAX(_xlfn.XLOOKUP(N50&amp;"All Districts",PRICES!$B$2:$B$3684&amp;PRICES!$A$2:$A$3684,PRICES!$H$2:$H$3684),(_xlfn.XLOOKUP(N50&amp;BasicProjectData!$G$18,PRICES!$B$2:$B$3684&amp;PRICES!$A$2:$A$3684,PRICES!$H$2:$H$3684))),"Input Cost Here"),"")</f>
        <v/>
      </c>
      <c r="I50" s="801"/>
      <c r="J50" s="815" t="str">
        <f>IF(N50&gt;0,IF(COUNTIF(OUTPUT!$A$9:$A$145,N50)&gt;0,"Item Already Calculated in "&amp;_xlfn.XLOOKUP(N50,OUTPUT!$A$9:$A$145,OUTPUT!$G$9:$G$145,0,0),IF(AND(H50="Input Cost Here",ISBLANK(I50),G50="Input Unit"),"Input Unit, Cost, &amp; Quantity",IF(AND(H50="Input Cost Here",ISBLANK(I50)),"Input Cost and Quantity",IF(H50="Input Cost Here","Input Unit Cost",IF(ISBLANK(I50),"Input Quantity","No error"))))),"")</f>
        <v/>
      </c>
      <c r="N50" s="456">
        <f>IF(IFERROR(VLOOKUP(D50,'ITEMS LIST'!A39:B2692,2,TRUE),0)=0,E50,IFERROR(VLOOKUP(D50,'ITEMS LIST'!A39:B2692,2,TRUE),0))</f>
        <v>0</v>
      </c>
    </row>
    <row r="51" spans="3:14">
      <c r="C51" s="807"/>
      <c r="D51" s="800"/>
      <c r="E51" s="800"/>
      <c r="F51" s="800"/>
      <c r="G51" s="801" t="str">
        <f>IF(E51&lt;&gt;"","Input Unit",IFERROR(VLOOKUP(D51,'ITEMS LIST'!$A$2:$D$2655,4,TRUE),""))</f>
        <v/>
      </c>
      <c r="H51" s="803" t="str" cm="1">
        <f t="array" ref="H51">IF(N51&lt;&gt;0,IFERROR(MAX(_xlfn.XLOOKUP(N51&amp;"All Districts",PRICES!$B$2:$B$3684&amp;PRICES!$A$2:$A$3684,PRICES!$H$2:$H$3684),(_xlfn.XLOOKUP(N51&amp;BasicProjectData!$G$18,PRICES!$B$2:$B$3684&amp;PRICES!$A$2:$A$3684,PRICES!$H$2:$H$3684))),"Input Cost Here"),"")</f>
        <v/>
      </c>
      <c r="I51" s="801"/>
      <c r="J51" s="815" t="str">
        <f>IF(N51&gt;0,IF(COUNTIF(OUTPUT!$A$9:$A$145,N51)&gt;0,"Item Already Calculated in "&amp;_xlfn.XLOOKUP(N51,OUTPUT!$A$9:$A$145,OUTPUT!$G$9:$G$145,0,0),IF(AND(H51="Input Cost Here",ISBLANK(I51),G51="Input Unit"),"Input Unit, Cost, &amp; Quantity",IF(AND(H51="Input Cost Here",ISBLANK(I51)),"Input Cost and Quantity",IF(H51="Input Cost Here","Input Unit Cost",IF(ISBLANK(I51),"Input Quantity","No error"))))),"")</f>
        <v/>
      </c>
      <c r="N51" s="456">
        <f>IF(IFERROR(VLOOKUP(D51,'ITEMS LIST'!A40:B2693,2,TRUE),0)=0,E51,IFERROR(VLOOKUP(D51,'ITEMS LIST'!A40:B2693,2,TRUE),0))</f>
        <v>0</v>
      </c>
    </row>
    <row r="52" spans="3:14">
      <c r="C52" s="807"/>
      <c r="D52" s="800"/>
      <c r="E52" s="800"/>
      <c r="F52" s="800"/>
      <c r="G52" s="801" t="str">
        <f>IF(E52&lt;&gt;"","Input Unit",IFERROR(VLOOKUP(D52,'ITEMS LIST'!$A$2:$D$2655,4,TRUE),""))</f>
        <v/>
      </c>
      <c r="H52" s="803" t="str" cm="1">
        <f t="array" ref="H52">IF(N52&lt;&gt;0,IFERROR(MAX(_xlfn.XLOOKUP(N52&amp;"All Districts",PRICES!$B$2:$B$3684&amp;PRICES!$A$2:$A$3684,PRICES!$H$2:$H$3684),(_xlfn.XLOOKUP(N52&amp;BasicProjectData!$G$18,PRICES!$B$2:$B$3684&amp;PRICES!$A$2:$A$3684,PRICES!$H$2:$H$3684))),"Input Cost Here"),"")</f>
        <v/>
      </c>
      <c r="I52" s="801"/>
      <c r="J52" s="815" t="str">
        <f>IF(N52&gt;0,IF(COUNTIF(OUTPUT!$A$9:$A$145,N52)&gt;0,"Item Already Calculated in "&amp;_xlfn.XLOOKUP(N52,OUTPUT!$A$9:$A$145,OUTPUT!$G$9:$G$145,0,0),IF(AND(H52="Input Cost Here",ISBLANK(I52),G52="Input Unit"),"Input Unit, Cost, &amp; Quantity",IF(AND(H52="Input Cost Here",ISBLANK(I52)),"Input Cost and Quantity",IF(H52="Input Cost Here","Input Unit Cost",IF(ISBLANK(I52),"Input Quantity","No error"))))),"")</f>
        <v/>
      </c>
      <c r="N52" s="456">
        <f>IF(IFERROR(VLOOKUP(D52,'ITEMS LIST'!A41:B2694,2,TRUE),0)=0,E52,IFERROR(VLOOKUP(D52,'ITEMS LIST'!A41:B2694,2,TRUE),0))</f>
        <v>0</v>
      </c>
    </row>
    <row r="53" spans="3:14">
      <c r="C53" s="807"/>
      <c r="D53" s="800"/>
      <c r="E53" s="800"/>
      <c r="F53" s="800"/>
      <c r="G53" s="801" t="str">
        <f>IF(E53&lt;&gt;"","Input Unit",IFERROR(VLOOKUP(D53,'ITEMS LIST'!$A$2:$D$2655,4,TRUE),""))</f>
        <v/>
      </c>
      <c r="H53" s="803" t="str" cm="1">
        <f t="array" ref="H53">IF(N53&lt;&gt;0,IFERROR(MAX(_xlfn.XLOOKUP(N53&amp;"All Districts",PRICES!$B$2:$B$3684&amp;PRICES!$A$2:$A$3684,PRICES!$H$2:$H$3684),(_xlfn.XLOOKUP(N53&amp;BasicProjectData!$G$18,PRICES!$B$2:$B$3684&amp;PRICES!$A$2:$A$3684,PRICES!$H$2:$H$3684))),"Input Cost Here"),"")</f>
        <v/>
      </c>
      <c r="I53" s="801"/>
      <c r="J53" s="815" t="str">
        <f>IF(N53&gt;0,IF(COUNTIF(OUTPUT!$A$9:$A$145,N53)&gt;0,"Item Already Calculated in "&amp;_xlfn.XLOOKUP(N53,OUTPUT!$A$9:$A$145,OUTPUT!$G$9:$G$145,0,0),IF(AND(H53="Input Cost Here",ISBLANK(I53),G53="Input Unit"),"Input Unit, Cost, &amp; Quantity",IF(AND(H53="Input Cost Here",ISBLANK(I53)),"Input Cost and Quantity",IF(H53="Input Cost Here","Input Unit Cost",IF(ISBLANK(I53),"Input Quantity","No error"))))),"")</f>
        <v/>
      </c>
      <c r="N53" s="456">
        <f>IF(IFERROR(VLOOKUP(D53,'ITEMS LIST'!A42:B2695,2,TRUE),0)=0,E53,IFERROR(VLOOKUP(D53,'ITEMS LIST'!A42:B2695,2,TRUE),0))</f>
        <v>0</v>
      </c>
    </row>
    <row r="54" spans="3:14">
      <c r="C54" s="807"/>
      <c r="D54" s="800"/>
      <c r="E54" s="800"/>
      <c r="F54" s="800"/>
      <c r="G54" s="801" t="str">
        <f>IF(E54&lt;&gt;"","Input Unit",IFERROR(VLOOKUP(D54,'ITEMS LIST'!$A$2:$D$2655,4,TRUE),""))</f>
        <v/>
      </c>
      <c r="H54" s="803" t="str" cm="1">
        <f t="array" ref="H54">IF(N54&lt;&gt;0,IFERROR(MAX(_xlfn.XLOOKUP(N54&amp;"All Districts",PRICES!$B$2:$B$3684&amp;PRICES!$A$2:$A$3684,PRICES!$H$2:$H$3684),(_xlfn.XLOOKUP(N54&amp;BasicProjectData!$G$18,PRICES!$B$2:$B$3684&amp;PRICES!$A$2:$A$3684,PRICES!$H$2:$H$3684))),"Input Cost Here"),"")</f>
        <v/>
      </c>
      <c r="I54" s="801"/>
      <c r="J54" s="815" t="str">
        <f>IF(N54&gt;0,IF(COUNTIF(OUTPUT!$A$9:$A$145,N54)&gt;0,"Item Already Calculated in "&amp;_xlfn.XLOOKUP(N54,OUTPUT!$A$9:$A$145,OUTPUT!$G$9:$G$145,0,0),IF(AND(H54="Input Cost Here",ISBLANK(I54),G54="Input Unit"),"Input Unit, Cost, &amp; Quantity",IF(AND(H54="Input Cost Here",ISBLANK(I54)),"Input Cost and Quantity",IF(H54="Input Cost Here","Input Unit Cost",IF(ISBLANK(I54),"Input Quantity","No error"))))),"")</f>
        <v/>
      </c>
      <c r="N54" s="456">
        <f>IF(IFERROR(VLOOKUP(D54,'ITEMS LIST'!A43:B2696,2,TRUE),0)=0,E54,IFERROR(VLOOKUP(D54,'ITEMS LIST'!A43:B2696,2,TRUE),0))</f>
        <v>0</v>
      </c>
    </row>
    <row r="55" spans="3:14">
      <c r="C55" s="807"/>
      <c r="D55" s="800"/>
      <c r="E55" s="800"/>
      <c r="F55" s="800"/>
      <c r="G55" s="801" t="str">
        <f>IF(E55&lt;&gt;"","Input Unit",IFERROR(VLOOKUP(D55,'ITEMS LIST'!$A$2:$D$2655,4,TRUE),""))</f>
        <v/>
      </c>
      <c r="H55" s="803" t="str" cm="1">
        <f t="array" ref="H55">IF(N55&lt;&gt;0,IFERROR(MAX(_xlfn.XLOOKUP(N55&amp;"All Districts",PRICES!$B$2:$B$3684&amp;PRICES!$A$2:$A$3684,PRICES!$H$2:$H$3684),(_xlfn.XLOOKUP(N55&amp;BasicProjectData!$G$18,PRICES!$B$2:$B$3684&amp;PRICES!$A$2:$A$3684,PRICES!$H$2:$H$3684))),"Input Cost Here"),"")</f>
        <v/>
      </c>
      <c r="I55" s="801"/>
      <c r="J55" s="815" t="str">
        <f>IF(N55&gt;0,IF(COUNTIF(OUTPUT!$A$9:$A$145,N55)&gt;0,"Item Already Calculated in "&amp;_xlfn.XLOOKUP(N55,OUTPUT!$A$9:$A$145,OUTPUT!$G$9:$G$145,0,0),IF(AND(H55="Input Cost Here",ISBLANK(I55),G55="Input Unit"),"Input Unit, Cost, &amp; Quantity",IF(AND(H55="Input Cost Here",ISBLANK(I55)),"Input Cost and Quantity",IF(H55="Input Cost Here","Input Unit Cost",IF(ISBLANK(I55),"Input Quantity","No error"))))),"")</f>
        <v/>
      </c>
      <c r="N55" s="456">
        <f>IF(IFERROR(VLOOKUP(D55,'ITEMS LIST'!A44:B2697,2,TRUE),0)=0,E55,IFERROR(VLOOKUP(D55,'ITEMS LIST'!A44:B2697,2,TRUE),0))</f>
        <v>0</v>
      </c>
    </row>
    <row r="56" spans="3:14">
      <c r="C56" s="807"/>
      <c r="D56" s="800"/>
      <c r="E56" s="800"/>
      <c r="F56" s="800"/>
      <c r="G56" s="801" t="str">
        <f>IF(E56&lt;&gt;"","Input Unit",IFERROR(VLOOKUP(D56,'ITEMS LIST'!$A$2:$D$2655,4,TRUE),""))</f>
        <v/>
      </c>
      <c r="H56" s="803" t="str" cm="1">
        <f t="array" ref="H56">IF(N56&lt;&gt;0,IFERROR(MAX(_xlfn.XLOOKUP(N56&amp;"All Districts",PRICES!$B$2:$B$3684&amp;PRICES!$A$2:$A$3684,PRICES!$H$2:$H$3684),(_xlfn.XLOOKUP(N56&amp;BasicProjectData!$G$18,PRICES!$B$2:$B$3684&amp;PRICES!$A$2:$A$3684,PRICES!$H$2:$H$3684))),"Input Cost Here"),"")</f>
        <v/>
      </c>
      <c r="I56" s="801"/>
      <c r="J56" s="815" t="str">
        <f>IF(N56&gt;0,IF(COUNTIF(OUTPUT!$A$9:$A$145,N56)&gt;0,"Item Already Calculated in "&amp;_xlfn.XLOOKUP(N56,OUTPUT!$A$9:$A$145,OUTPUT!$G$9:$G$145,0,0),IF(AND(H56="Input Cost Here",ISBLANK(I56),G56="Input Unit"),"Input Unit, Cost, &amp; Quantity",IF(AND(H56="Input Cost Here",ISBLANK(I56)),"Input Cost and Quantity",IF(H56="Input Cost Here","Input Unit Cost",IF(ISBLANK(I56),"Input Quantity","No error"))))),"")</f>
        <v/>
      </c>
      <c r="N56" s="456">
        <f>IF(IFERROR(VLOOKUP(D56,'ITEMS LIST'!A45:B2698,2,TRUE),0)=0,E56,IFERROR(VLOOKUP(D56,'ITEMS LIST'!A45:B2698,2,TRUE),0))</f>
        <v>0</v>
      </c>
    </row>
    <row r="57" spans="3:14">
      <c r="C57" s="807"/>
      <c r="D57" s="800"/>
      <c r="E57" s="800"/>
      <c r="F57" s="800"/>
      <c r="G57" s="801" t="str">
        <f>IF(E57&lt;&gt;"","Input Unit",IFERROR(VLOOKUP(D57,'ITEMS LIST'!$A$2:$D$2655,4,TRUE),""))</f>
        <v/>
      </c>
      <c r="H57" s="803" t="str" cm="1">
        <f t="array" ref="H57">IF(N57&lt;&gt;0,IFERROR(MAX(_xlfn.XLOOKUP(N57&amp;"All Districts",PRICES!$B$2:$B$3684&amp;PRICES!$A$2:$A$3684,PRICES!$H$2:$H$3684),(_xlfn.XLOOKUP(N57&amp;BasicProjectData!$G$18,PRICES!$B$2:$B$3684&amp;PRICES!$A$2:$A$3684,PRICES!$H$2:$H$3684))),"Input Cost Here"),"")</f>
        <v/>
      </c>
      <c r="I57" s="801"/>
      <c r="J57" s="815" t="str">
        <f>IF(N57&gt;0,IF(COUNTIF(OUTPUT!$A$9:$A$145,N57)&gt;0,"Item Already Calculated in "&amp;_xlfn.XLOOKUP(N57,OUTPUT!$A$9:$A$145,OUTPUT!$G$9:$G$145,0,0),IF(AND(H57="Input Cost Here",ISBLANK(I57),G57="Input Unit"),"Input Unit, Cost, &amp; Quantity",IF(AND(H57="Input Cost Here",ISBLANK(I57)),"Input Cost and Quantity",IF(H57="Input Cost Here","Input Unit Cost",IF(ISBLANK(I57),"Input Quantity","No error"))))),"")</f>
        <v/>
      </c>
      <c r="N57" s="456">
        <f>IF(IFERROR(VLOOKUP(D57,'ITEMS LIST'!A46:B2699,2,TRUE),0)=0,E57,IFERROR(VLOOKUP(D57,'ITEMS LIST'!A46:B2699,2,TRUE),0))</f>
        <v>0</v>
      </c>
    </row>
    <row r="58" spans="3:14">
      <c r="C58" s="807"/>
      <c r="D58" s="800"/>
      <c r="E58" s="800"/>
      <c r="F58" s="800"/>
      <c r="G58" s="801" t="str">
        <f>IF(E58&lt;&gt;"","Input Unit",IFERROR(VLOOKUP(D58,'ITEMS LIST'!$A$2:$D$2655,4,TRUE),""))</f>
        <v/>
      </c>
      <c r="H58" s="803" t="str" cm="1">
        <f t="array" ref="H58">IF(N58&lt;&gt;0,IFERROR(MAX(_xlfn.XLOOKUP(N58&amp;"All Districts",PRICES!$B$2:$B$3684&amp;PRICES!$A$2:$A$3684,PRICES!$H$2:$H$3684),(_xlfn.XLOOKUP(N58&amp;BasicProjectData!$G$18,PRICES!$B$2:$B$3684&amp;PRICES!$A$2:$A$3684,PRICES!$H$2:$H$3684))),"Input Cost Here"),"")</f>
        <v/>
      </c>
      <c r="I58" s="801"/>
      <c r="J58" s="815" t="str">
        <f>IF(N58&gt;0,IF(COUNTIF(OUTPUT!$A$9:$A$145,N58)&gt;0,"Item Already Calculated in "&amp;_xlfn.XLOOKUP(N58,OUTPUT!$A$9:$A$145,OUTPUT!$G$9:$G$145,0,0),IF(AND(H58="Input Cost Here",ISBLANK(I58),G58="Input Unit"),"Input Unit, Cost, &amp; Quantity",IF(AND(H58="Input Cost Here",ISBLANK(I58)),"Input Cost and Quantity",IF(H58="Input Cost Here","Input Unit Cost",IF(ISBLANK(I58),"Input Quantity","No error"))))),"")</f>
        <v/>
      </c>
      <c r="N58" s="456">
        <f>IF(IFERROR(VLOOKUP(D58,'ITEMS LIST'!A47:B2700,2,TRUE),0)=0,E58,IFERROR(VLOOKUP(D58,'ITEMS LIST'!A47:B2700,2,TRUE),0))</f>
        <v>0</v>
      </c>
    </row>
    <row r="59" spans="3:14">
      <c r="C59" s="807"/>
      <c r="D59" s="800"/>
      <c r="E59" s="800"/>
      <c r="F59" s="800"/>
      <c r="G59" s="801" t="str">
        <f>IF(E59&lt;&gt;"","Input Unit",IFERROR(VLOOKUP(D59,'ITEMS LIST'!$A$2:$D$2655,4,TRUE),""))</f>
        <v/>
      </c>
      <c r="H59" s="803" t="str" cm="1">
        <f t="array" ref="H59">IF(N59&lt;&gt;0,IFERROR(MAX(_xlfn.XLOOKUP(N59&amp;"All Districts",PRICES!$B$2:$B$3684&amp;PRICES!$A$2:$A$3684,PRICES!$H$2:$H$3684),(_xlfn.XLOOKUP(N59&amp;BasicProjectData!$G$18,PRICES!$B$2:$B$3684&amp;PRICES!$A$2:$A$3684,PRICES!$H$2:$H$3684))),"Input Cost Here"),"")</f>
        <v/>
      </c>
      <c r="I59" s="801"/>
      <c r="J59" s="815" t="str">
        <f>IF(N59&gt;0,IF(COUNTIF(OUTPUT!$A$9:$A$145,N59)&gt;0,"Item Already Calculated in "&amp;_xlfn.XLOOKUP(N59,OUTPUT!$A$9:$A$145,OUTPUT!$G$9:$G$145,0,0),IF(AND(H59="Input Cost Here",ISBLANK(I59),G59="Input Unit"),"Input Unit, Cost, &amp; Quantity",IF(AND(H59="Input Cost Here",ISBLANK(I59)),"Input Cost and Quantity",IF(H59="Input Cost Here","Input Unit Cost",IF(ISBLANK(I59),"Input Quantity","No error"))))),"")</f>
        <v/>
      </c>
      <c r="N59" s="456">
        <f>IF(IFERROR(VLOOKUP(D59,'ITEMS LIST'!A48:B2701,2,TRUE),0)=0,E59,IFERROR(VLOOKUP(D59,'ITEMS LIST'!A48:B2701,2,TRUE),0))</f>
        <v>0</v>
      </c>
    </row>
    <row r="60" spans="3:14">
      <c r="C60" s="807"/>
      <c r="D60" s="800"/>
      <c r="E60" s="800"/>
      <c r="F60" s="800"/>
      <c r="G60" s="801" t="str">
        <f>IF(E60&lt;&gt;"","Input Unit",IFERROR(VLOOKUP(D60,'ITEMS LIST'!$A$2:$D$2655,4,TRUE),""))</f>
        <v/>
      </c>
      <c r="H60" s="803" t="str" cm="1">
        <f t="array" ref="H60">IF(N60&lt;&gt;0,IFERROR(MAX(_xlfn.XLOOKUP(N60&amp;"All Districts",PRICES!$B$2:$B$3684&amp;PRICES!$A$2:$A$3684,PRICES!$H$2:$H$3684),(_xlfn.XLOOKUP(N60&amp;BasicProjectData!$G$18,PRICES!$B$2:$B$3684&amp;PRICES!$A$2:$A$3684,PRICES!$H$2:$H$3684))),"Input Cost Here"),"")</f>
        <v/>
      </c>
      <c r="I60" s="801"/>
      <c r="J60" s="815" t="str">
        <f>IF(N60&gt;0,IF(COUNTIF(OUTPUT!$A$9:$A$145,N60)&gt;0,"Item Already Calculated in "&amp;_xlfn.XLOOKUP(N60,OUTPUT!$A$9:$A$145,OUTPUT!$G$9:$G$145,0,0),IF(AND(H60="Input Cost Here",ISBLANK(I60),G60="Input Unit"),"Input Unit, Cost, &amp; Quantity",IF(AND(H60="Input Cost Here",ISBLANK(I60)),"Input Cost and Quantity",IF(H60="Input Cost Here","Input Unit Cost",IF(ISBLANK(I60),"Input Quantity","No error"))))),"")</f>
        <v/>
      </c>
      <c r="N60" s="456">
        <f>IF(IFERROR(VLOOKUP(D60,'ITEMS LIST'!A49:B2702,2,TRUE),0)=0,E60,IFERROR(VLOOKUP(D60,'ITEMS LIST'!A49:B2702,2,TRUE),0))</f>
        <v>0</v>
      </c>
    </row>
    <row r="61" spans="3:14">
      <c r="C61" s="807"/>
      <c r="D61" s="800"/>
      <c r="E61" s="800"/>
      <c r="F61" s="800"/>
      <c r="G61" s="801" t="str">
        <f>IF(E61&lt;&gt;"","Input Unit",IFERROR(VLOOKUP(D61,'ITEMS LIST'!$A$2:$D$2655,4,TRUE),""))</f>
        <v/>
      </c>
      <c r="H61" s="803" t="str" cm="1">
        <f t="array" ref="H61">IF(N61&lt;&gt;0,IFERROR(MAX(_xlfn.XLOOKUP(N61&amp;"All Districts",PRICES!$B$2:$B$3684&amp;PRICES!$A$2:$A$3684,PRICES!$H$2:$H$3684),(_xlfn.XLOOKUP(N61&amp;BasicProjectData!$G$18,PRICES!$B$2:$B$3684&amp;PRICES!$A$2:$A$3684,PRICES!$H$2:$H$3684))),"Input Cost Here"),"")</f>
        <v/>
      </c>
      <c r="I61" s="801"/>
      <c r="J61" s="815" t="str">
        <f>IF(N61&gt;0,IF(COUNTIF(OUTPUT!$A$9:$A$145,N61)&gt;0,"Item Already Calculated in "&amp;_xlfn.XLOOKUP(N61,OUTPUT!$A$9:$A$145,OUTPUT!$G$9:$G$145,0,0),IF(AND(H61="Input Cost Here",ISBLANK(I61),G61="Input Unit"),"Input Unit, Cost, &amp; Quantity",IF(AND(H61="Input Cost Here",ISBLANK(I61)),"Input Cost and Quantity",IF(H61="Input Cost Here","Input Unit Cost",IF(ISBLANK(I61),"Input Quantity","No error"))))),"")</f>
        <v/>
      </c>
      <c r="N61" s="456">
        <f>IF(IFERROR(VLOOKUP(D61,'ITEMS LIST'!A50:B2703,2,TRUE),0)=0,E61,IFERROR(VLOOKUP(D61,'ITEMS LIST'!A50:B2703,2,TRUE),0))</f>
        <v>0</v>
      </c>
    </row>
    <row r="62" spans="3:14">
      <c r="C62" s="807"/>
      <c r="D62" s="800"/>
      <c r="E62" s="800"/>
      <c r="F62" s="800"/>
      <c r="G62" s="801" t="str">
        <f>IF(E62&lt;&gt;"","Input Unit",IFERROR(VLOOKUP(D62,'ITEMS LIST'!$A$2:$D$2655,4,TRUE),""))</f>
        <v/>
      </c>
      <c r="H62" s="803" t="str" cm="1">
        <f t="array" ref="H62">IF(N62&lt;&gt;0,IFERROR(MAX(_xlfn.XLOOKUP(N62&amp;"All Districts",PRICES!$B$2:$B$3684&amp;PRICES!$A$2:$A$3684,PRICES!$H$2:$H$3684),(_xlfn.XLOOKUP(N62&amp;BasicProjectData!$G$18,PRICES!$B$2:$B$3684&amp;PRICES!$A$2:$A$3684,PRICES!$H$2:$H$3684))),"Input Cost Here"),"")</f>
        <v/>
      </c>
      <c r="I62" s="801"/>
      <c r="J62" s="815" t="str">
        <f>IF(N62&gt;0,IF(COUNTIF(OUTPUT!$A$9:$A$145,N62)&gt;0,"Item Already Calculated in "&amp;_xlfn.XLOOKUP(N62,OUTPUT!$A$9:$A$145,OUTPUT!$G$9:$G$145,0,0),IF(AND(H62="Input Cost Here",ISBLANK(I62),G62="Input Unit"),"Input Unit, Cost, &amp; Quantity",IF(AND(H62="Input Cost Here",ISBLANK(I62)),"Input Cost and Quantity",IF(H62="Input Cost Here","Input Unit Cost",IF(ISBLANK(I62),"Input Quantity","No error"))))),"")</f>
        <v/>
      </c>
      <c r="N62" s="456">
        <f>IF(IFERROR(VLOOKUP(D62,'ITEMS LIST'!A51:B2704,2,TRUE),0)=0,E62,IFERROR(VLOOKUP(D62,'ITEMS LIST'!A51:B2704,2,TRUE),0))</f>
        <v>0</v>
      </c>
    </row>
    <row r="63" spans="3:14">
      <c r="C63" s="807"/>
      <c r="D63" s="800"/>
      <c r="E63" s="800"/>
      <c r="F63" s="800"/>
      <c r="G63" s="801" t="str">
        <f>IF(E63&lt;&gt;"","Input Unit",IFERROR(VLOOKUP(D63,'ITEMS LIST'!$A$2:$D$2655,4,TRUE),""))</f>
        <v/>
      </c>
      <c r="H63" s="803" t="str" cm="1">
        <f t="array" ref="H63">IF(N63&lt;&gt;0,IFERROR(MAX(_xlfn.XLOOKUP(N63&amp;"All Districts",PRICES!$B$2:$B$3684&amp;PRICES!$A$2:$A$3684,PRICES!$H$2:$H$3684),(_xlfn.XLOOKUP(N63&amp;BasicProjectData!$G$18,PRICES!$B$2:$B$3684&amp;PRICES!$A$2:$A$3684,PRICES!$H$2:$H$3684))),"Input Cost Here"),"")</f>
        <v/>
      </c>
      <c r="I63" s="801"/>
      <c r="J63" s="815" t="str">
        <f>IF(N63&gt;0,IF(COUNTIF(OUTPUT!$A$9:$A$145,N63)&gt;0,"Item Already Calculated in "&amp;_xlfn.XLOOKUP(N63,OUTPUT!$A$9:$A$145,OUTPUT!$G$9:$G$145,0,0),IF(AND(H63="Input Cost Here",ISBLANK(I63),G63="Input Unit"),"Input Unit, Cost, &amp; Quantity",IF(AND(H63="Input Cost Here",ISBLANK(I63)),"Input Cost and Quantity",IF(H63="Input Cost Here","Input Unit Cost",IF(ISBLANK(I63),"Input Quantity","No error"))))),"")</f>
        <v/>
      </c>
      <c r="N63" s="456">
        <f>IF(IFERROR(VLOOKUP(D63,'ITEMS LIST'!A52:B2705,2,TRUE),0)=0,E63,IFERROR(VLOOKUP(D63,'ITEMS LIST'!A52:B2705,2,TRUE),0))</f>
        <v>0</v>
      </c>
    </row>
    <row r="64" spans="3:14">
      <c r="C64" s="807"/>
      <c r="D64" s="800"/>
      <c r="E64" s="800"/>
      <c r="F64" s="800"/>
      <c r="G64" s="801" t="str">
        <f>IF(E64&lt;&gt;"","Input Unit",IFERROR(VLOOKUP(D64,'ITEMS LIST'!$A$2:$D$2655,4,TRUE),""))</f>
        <v/>
      </c>
      <c r="H64" s="803" t="str" cm="1">
        <f t="array" ref="H64">IF(N64&lt;&gt;0,IFERROR(MAX(_xlfn.XLOOKUP(N64&amp;"All Districts",PRICES!$B$2:$B$3684&amp;PRICES!$A$2:$A$3684,PRICES!$H$2:$H$3684),(_xlfn.XLOOKUP(N64&amp;BasicProjectData!$G$18,PRICES!$B$2:$B$3684&amp;PRICES!$A$2:$A$3684,PRICES!$H$2:$H$3684))),"Input Cost Here"),"")</f>
        <v/>
      </c>
      <c r="I64" s="801"/>
      <c r="J64" s="815" t="str">
        <f>IF(N64&gt;0,IF(COUNTIF(OUTPUT!$A$9:$A$145,N64)&gt;0,"Item Already Calculated in "&amp;_xlfn.XLOOKUP(N64,OUTPUT!$A$9:$A$145,OUTPUT!$G$9:$G$145,0,0),IF(AND(H64="Input Cost Here",ISBLANK(I64),G64="Input Unit"),"Input Unit, Cost, &amp; Quantity",IF(AND(H64="Input Cost Here",ISBLANK(I64)),"Input Cost and Quantity",IF(H64="Input Cost Here","Input Unit Cost",IF(ISBLANK(I64),"Input Quantity","No error"))))),"")</f>
        <v/>
      </c>
      <c r="N64" s="456">
        <f>IF(IFERROR(VLOOKUP(D64,'ITEMS LIST'!A53:B2706,2,TRUE),0)=0,E64,IFERROR(VLOOKUP(D64,'ITEMS LIST'!A53:B2706,2,TRUE),0))</f>
        <v>0</v>
      </c>
    </row>
    <row r="65" spans="3:14">
      <c r="C65" s="807"/>
      <c r="D65" s="800"/>
      <c r="E65" s="800"/>
      <c r="F65" s="800"/>
      <c r="G65" s="801" t="str">
        <f>IF(E65&lt;&gt;"","Input Unit",IFERROR(VLOOKUP(D65,'ITEMS LIST'!$A$2:$D$2655,4,TRUE),""))</f>
        <v/>
      </c>
      <c r="H65" s="803" t="str" cm="1">
        <f t="array" ref="H65">IF(N65&lt;&gt;0,IFERROR(MAX(_xlfn.XLOOKUP(N65&amp;"All Districts",PRICES!$B$2:$B$3684&amp;PRICES!$A$2:$A$3684,PRICES!$H$2:$H$3684),(_xlfn.XLOOKUP(N65&amp;BasicProjectData!$G$18,PRICES!$B$2:$B$3684&amp;PRICES!$A$2:$A$3684,PRICES!$H$2:$H$3684))),"Input Cost Here"),"")</f>
        <v/>
      </c>
      <c r="I65" s="801"/>
      <c r="J65" s="815" t="str">
        <f>IF(N65&gt;0,IF(COUNTIF(OUTPUT!$A$9:$A$145,N65)&gt;0,"Item Already Calculated in "&amp;_xlfn.XLOOKUP(N65,OUTPUT!$A$9:$A$145,OUTPUT!$G$9:$G$145,0,0),IF(AND(H65="Input Cost Here",ISBLANK(I65),G65="Input Unit"),"Input Unit, Cost, &amp; Quantity",IF(AND(H65="Input Cost Here",ISBLANK(I65)),"Input Cost and Quantity",IF(H65="Input Cost Here","Input Unit Cost",IF(ISBLANK(I65),"Input Quantity","No error"))))),"")</f>
        <v/>
      </c>
      <c r="N65" s="456">
        <f>IF(IFERROR(VLOOKUP(D65,'ITEMS LIST'!A54:B2707,2,TRUE),0)=0,E65,IFERROR(VLOOKUP(D65,'ITEMS LIST'!A54:B2707,2,TRUE),0))</f>
        <v>0</v>
      </c>
    </row>
    <row r="66" spans="3:14">
      <c r="C66" s="807"/>
      <c r="D66" s="800"/>
      <c r="E66" s="800"/>
      <c r="F66" s="800"/>
      <c r="G66" s="801" t="str">
        <f>IF(E66&lt;&gt;"","Input Unit",IFERROR(VLOOKUP(D66,'ITEMS LIST'!$A$2:$D$2655,4,TRUE),""))</f>
        <v/>
      </c>
      <c r="H66" s="803" t="str" cm="1">
        <f t="array" ref="H66">IF(N66&lt;&gt;0,IFERROR(MAX(_xlfn.XLOOKUP(N66&amp;"All Districts",PRICES!$B$2:$B$3684&amp;PRICES!$A$2:$A$3684,PRICES!$H$2:$H$3684),(_xlfn.XLOOKUP(N66&amp;BasicProjectData!$G$18,PRICES!$B$2:$B$3684&amp;PRICES!$A$2:$A$3684,PRICES!$H$2:$H$3684))),"Input Cost Here"),"")</f>
        <v/>
      </c>
      <c r="I66" s="801"/>
      <c r="J66" s="815" t="str">
        <f>IF(N66&gt;0,IF(COUNTIF(OUTPUT!$A$9:$A$145,N66)&gt;0,"Item Already Calculated in "&amp;_xlfn.XLOOKUP(N66,OUTPUT!$A$9:$A$145,OUTPUT!$G$9:$G$145,0,0),IF(AND(H66="Input Cost Here",ISBLANK(I66),G66="Input Unit"),"Input Unit, Cost, &amp; Quantity",IF(AND(H66="Input Cost Here",ISBLANK(I66)),"Input Cost and Quantity",IF(H66="Input Cost Here","Input Unit Cost",IF(ISBLANK(I66),"Input Quantity","No error"))))),"")</f>
        <v/>
      </c>
      <c r="N66" s="456">
        <f>IF(IFERROR(VLOOKUP(D66,'ITEMS LIST'!A55:B2708,2,TRUE),0)=0,E66,IFERROR(VLOOKUP(D66,'ITEMS LIST'!A55:B2708,2,TRUE),0))</f>
        <v>0</v>
      </c>
    </row>
    <row r="67" spans="3:14">
      <c r="C67" s="807"/>
      <c r="D67" s="800"/>
      <c r="E67" s="800"/>
      <c r="F67" s="800"/>
      <c r="G67" s="801" t="str">
        <f>IF(E67&lt;&gt;"","Input Unit",IFERROR(VLOOKUP(D67,'ITEMS LIST'!$A$2:$D$2655,4,TRUE),""))</f>
        <v/>
      </c>
      <c r="H67" s="803" t="str" cm="1">
        <f t="array" ref="H67">IF(N67&lt;&gt;0,IFERROR(MAX(_xlfn.XLOOKUP(N67&amp;"All Districts",PRICES!$B$2:$B$3684&amp;PRICES!$A$2:$A$3684,PRICES!$H$2:$H$3684),(_xlfn.XLOOKUP(N67&amp;BasicProjectData!$G$18,PRICES!$B$2:$B$3684&amp;PRICES!$A$2:$A$3684,PRICES!$H$2:$H$3684))),"Input Cost Here"),"")</f>
        <v/>
      </c>
      <c r="I67" s="801"/>
      <c r="J67" s="815" t="str">
        <f>IF(N67&gt;0,IF(COUNTIF(OUTPUT!$A$9:$A$145,N67)&gt;0,"Item Already Calculated in "&amp;_xlfn.XLOOKUP(N67,OUTPUT!$A$9:$A$145,OUTPUT!$G$9:$G$145,0,0),IF(AND(H67="Input Cost Here",ISBLANK(I67),G67="Input Unit"),"Input Unit, Cost, &amp; Quantity",IF(AND(H67="Input Cost Here",ISBLANK(I67)),"Input Cost and Quantity",IF(H67="Input Cost Here","Input Unit Cost",IF(ISBLANK(I67),"Input Quantity","No error"))))),"")</f>
        <v/>
      </c>
      <c r="N67" s="456">
        <f>IF(IFERROR(VLOOKUP(D67,'ITEMS LIST'!A56:B2709,2,TRUE),0)=0,E67,IFERROR(VLOOKUP(D67,'ITEMS LIST'!A56:B2709,2,TRUE),0))</f>
        <v>0</v>
      </c>
    </row>
    <row r="68" spans="3:14">
      <c r="C68" s="807"/>
      <c r="D68" s="800"/>
      <c r="E68" s="800"/>
      <c r="F68" s="800"/>
      <c r="G68" s="801" t="str">
        <f>IF(E68&lt;&gt;"","Input Unit",IFERROR(VLOOKUP(D68,'ITEMS LIST'!$A$2:$D$2655,4,TRUE),""))</f>
        <v/>
      </c>
      <c r="H68" s="803" t="str" cm="1">
        <f t="array" ref="H68">IF(N68&lt;&gt;0,IFERROR(MAX(_xlfn.XLOOKUP(N68&amp;"All Districts",PRICES!$B$2:$B$3684&amp;PRICES!$A$2:$A$3684,PRICES!$H$2:$H$3684),(_xlfn.XLOOKUP(N68&amp;BasicProjectData!$G$18,PRICES!$B$2:$B$3684&amp;PRICES!$A$2:$A$3684,PRICES!$H$2:$H$3684))),"Input Cost Here"),"")</f>
        <v/>
      </c>
      <c r="I68" s="801"/>
      <c r="J68" s="815" t="str">
        <f>IF(N68&gt;0,IF(COUNTIF(OUTPUT!$A$9:$A$145,N68)&gt;0,"Item Already Calculated in "&amp;_xlfn.XLOOKUP(N68,OUTPUT!$A$9:$A$145,OUTPUT!$G$9:$G$145,0,0),IF(AND(H68="Input Cost Here",ISBLANK(I68),G68="Input Unit"),"Input Unit, Cost, &amp; Quantity",IF(AND(H68="Input Cost Here",ISBLANK(I68)),"Input Cost and Quantity",IF(H68="Input Cost Here","Input Unit Cost",IF(ISBLANK(I68),"Input Quantity","No error"))))),"")</f>
        <v/>
      </c>
      <c r="N68" s="456">
        <f>IF(IFERROR(VLOOKUP(D68,'ITEMS LIST'!A57:B2710,2,TRUE),0)=0,E68,IFERROR(VLOOKUP(D68,'ITEMS LIST'!A57:B2710,2,TRUE),0))</f>
        <v>0</v>
      </c>
    </row>
    <row r="69" spans="3:14">
      <c r="C69" s="807"/>
      <c r="D69" s="800"/>
      <c r="E69" s="800"/>
      <c r="F69" s="800"/>
      <c r="G69" s="801" t="str">
        <f>IF(E69&lt;&gt;"","Input Unit",IFERROR(VLOOKUP(D69,'ITEMS LIST'!$A$2:$D$2655,4,TRUE),""))</f>
        <v/>
      </c>
      <c r="H69" s="803" t="str" cm="1">
        <f t="array" ref="H69">IF(N69&lt;&gt;0,IFERROR(MAX(_xlfn.XLOOKUP(N69&amp;"All Districts",PRICES!$B$2:$B$3684&amp;PRICES!$A$2:$A$3684,PRICES!$H$2:$H$3684),(_xlfn.XLOOKUP(N69&amp;BasicProjectData!$G$18,PRICES!$B$2:$B$3684&amp;PRICES!$A$2:$A$3684,PRICES!$H$2:$H$3684))),"Input Cost Here"),"")</f>
        <v/>
      </c>
      <c r="I69" s="801"/>
      <c r="J69" s="815" t="str">
        <f>IF(N69&gt;0,IF(COUNTIF(OUTPUT!$A$9:$A$145,N69)&gt;0,"Item Already Calculated in "&amp;_xlfn.XLOOKUP(N69,OUTPUT!$A$9:$A$145,OUTPUT!$G$9:$G$145,0,0),IF(AND(H69="Input Cost Here",ISBLANK(I69),G69="Input Unit"),"Input Unit, Cost, &amp; Quantity",IF(AND(H69="Input Cost Here",ISBLANK(I69)),"Input Cost and Quantity",IF(H69="Input Cost Here","Input Unit Cost",IF(ISBLANK(I69),"Input Quantity","No error"))))),"")</f>
        <v/>
      </c>
      <c r="N69" s="456">
        <f>IF(IFERROR(VLOOKUP(D69,'ITEMS LIST'!A58:B2711,2,TRUE),0)=0,E69,IFERROR(VLOOKUP(D69,'ITEMS LIST'!A58:B2711,2,TRUE),0))</f>
        <v>0</v>
      </c>
    </row>
    <row r="70" spans="3:14">
      <c r="C70" s="807"/>
      <c r="D70" s="800"/>
      <c r="E70" s="800"/>
      <c r="F70" s="800"/>
      <c r="G70" s="801" t="str">
        <f>IF(E70&lt;&gt;"","Input Unit",IFERROR(VLOOKUP(D70,'ITEMS LIST'!$A$2:$D$2655,4,TRUE),""))</f>
        <v/>
      </c>
      <c r="H70" s="803" t="str" cm="1">
        <f t="array" ref="H70">IF(N70&lt;&gt;0,IFERROR(MAX(_xlfn.XLOOKUP(N70&amp;"All Districts",PRICES!$B$2:$B$3684&amp;PRICES!$A$2:$A$3684,PRICES!$H$2:$H$3684),(_xlfn.XLOOKUP(N70&amp;BasicProjectData!$G$18,PRICES!$B$2:$B$3684&amp;PRICES!$A$2:$A$3684,PRICES!$H$2:$H$3684))),"Input Cost Here"),"")</f>
        <v/>
      </c>
      <c r="I70" s="801"/>
      <c r="J70" s="815" t="str">
        <f>IF(N70&gt;0,IF(COUNTIF(OUTPUT!$A$9:$A$145,N70)&gt;0,"Item Already Calculated in "&amp;_xlfn.XLOOKUP(N70,OUTPUT!$A$9:$A$145,OUTPUT!$G$9:$G$145,0,0),IF(AND(H70="Input Cost Here",ISBLANK(I70),G70="Input Unit"),"Input Unit, Cost, &amp; Quantity",IF(AND(H70="Input Cost Here",ISBLANK(I70)),"Input Cost and Quantity",IF(H70="Input Cost Here","Input Unit Cost",IF(ISBLANK(I70),"Input Quantity","No error"))))),"")</f>
        <v/>
      </c>
      <c r="N70" s="456">
        <f>IF(IFERROR(VLOOKUP(D70,'ITEMS LIST'!A59:B2712,2,TRUE),0)=0,E70,IFERROR(VLOOKUP(D70,'ITEMS LIST'!A59:B2712,2,TRUE),0))</f>
        <v>0</v>
      </c>
    </row>
    <row r="71" spans="3:14">
      <c r="C71" s="807"/>
      <c r="D71" s="800"/>
      <c r="E71" s="800"/>
      <c r="F71" s="800"/>
      <c r="G71" s="801" t="str">
        <f>IF(E71&lt;&gt;"","Input Unit",IFERROR(VLOOKUP(D71,'ITEMS LIST'!$A$2:$D$2655,4,TRUE),""))</f>
        <v/>
      </c>
      <c r="H71" s="803" t="str" cm="1">
        <f t="array" ref="H71">IF(N71&lt;&gt;0,IFERROR(MAX(_xlfn.XLOOKUP(N71&amp;"All Districts",PRICES!$B$2:$B$3684&amp;PRICES!$A$2:$A$3684,PRICES!$H$2:$H$3684),(_xlfn.XLOOKUP(N71&amp;BasicProjectData!$G$18,PRICES!$B$2:$B$3684&amp;PRICES!$A$2:$A$3684,PRICES!$H$2:$H$3684))),"Input Cost Here"),"")</f>
        <v/>
      </c>
      <c r="I71" s="801"/>
      <c r="J71" s="815" t="str">
        <f>IF(N71&gt;0,IF(COUNTIF(OUTPUT!$A$9:$A$145,N71)&gt;0,"Item Already Calculated in "&amp;_xlfn.XLOOKUP(N71,OUTPUT!$A$9:$A$145,OUTPUT!$G$9:$G$145,0,0),IF(AND(H71="Input Cost Here",ISBLANK(I71),G71="Input Unit"),"Input Unit, Cost, &amp; Quantity",IF(AND(H71="Input Cost Here",ISBLANK(I71)),"Input Cost and Quantity",IF(H71="Input Cost Here","Input Unit Cost",IF(ISBLANK(I71),"Input Quantity","No error"))))),"")</f>
        <v/>
      </c>
      <c r="N71" s="456">
        <f>IF(IFERROR(VLOOKUP(D71,'ITEMS LIST'!A60:B2713,2,TRUE),0)=0,E71,IFERROR(VLOOKUP(D71,'ITEMS LIST'!A60:B2713,2,TRUE),0))</f>
        <v>0</v>
      </c>
    </row>
    <row r="72" spans="3:14">
      <c r="C72" s="807"/>
      <c r="D72" s="800"/>
      <c r="E72" s="800"/>
      <c r="F72" s="800"/>
      <c r="G72" s="801" t="str">
        <f>IF(E72&lt;&gt;"","Input Unit",IFERROR(VLOOKUP(D72,'ITEMS LIST'!$A$2:$D$2655,4,TRUE),""))</f>
        <v/>
      </c>
      <c r="H72" s="803" t="str" cm="1">
        <f t="array" ref="H72">IF(N72&lt;&gt;0,IFERROR(MAX(_xlfn.XLOOKUP(N72&amp;"All Districts",PRICES!$B$2:$B$3684&amp;PRICES!$A$2:$A$3684,PRICES!$H$2:$H$3684),(_xlfn.XLOOKUP(N72&amp;BasicProjectData!$G$18,PRICES!$B$2:$B$3684&amp;PRICES!$A$2:$A$3684,PRICES!$H$2:$H$3684))),"Input Cost Here"),"")</f>
        <v/>
      </c>
      <c r="I72" s="801"/>
      <c r="J72" s="815" t="str">
        <f>IF(N72&gt;0,IF(COUNTIF(OUTPUT!$A$9:$A$145,N72)&gt;0,"Item Already Calculated in "&amp;_xlfn.XLOOKUP(N72,OUTPUT!$A$9:$A$145,OUTPUT!$G$9:$G$145,0,0),IF(AND(H72="Input Cost Here",ISBLANK(I72),G72="Input Unit"),"Input Unit, Cost, &amp; Quantity",IF(AND(H72="Input Cost Here",ISBLANK(I72)),"Input Cost and Quantity",IF(H72="Input Cost Here","Input Unit Cost",IF(ISBLANK(I72),"Input Quantity","No error"))))),"")</f>
        <v/>
      </c>
      <c r="N72" s="456">
        <f>IF(IFERROR(VLOOKUP(D72,'ITEMS LIST'!A61:B2714,2,TRUE),0)=0,E72,IFERROR(VLOOKUP(D72,'ITEMS LIST'!A61:B2714,2,TRUE),0))</f>
        <v>0</v>
      </c>
    </row>
    <row r="73" spans="3:14">
      <c r="C73" s="807"/>
      <c r="D73" s="800"/>
      <c r="E73" s="800"/>
      <c r="F73" s="800"/>
      <c r="G73" s="801" t="str">
        <f>IF(E73&lt;&gt;"","Input Unit",IFERROR(VLOOKUP(D73,'ITEMS LIST'!$A$2:$D$2655,4,TRUE),""))</f>
        <v/>
      </c>
      <c r="H73" s="803" t="str" cm="1">
        <f t="array" ref="H73">IF(N73&lt;&gt;0,IFERROR(MAX(_xlfn.XLOOKUP(N73&amp;"All Districts",PRICES!$B$2:$B$3684&amp;PRICES!$A$2:$A$3684,PRICES!$H$2:$H$3684),(_xlfn.XLOOKUP(N73&amp;BasicProjectData!$G$18,PRICES!$B$2:$B$3684&amp;PRICES!$A$2:$A$3684,PRICES!$H$2:$H$3684))),"Input Cost Here"),"")</f>
        <v/>
      </c>
      <c r="I73" s="801"/>
      <c r="J73" s="815" t="str">
        <f>IF(N73&gt;0,IF(COUNTIF(OUTPUT!$A$9:$A$145,N73)&gt;0,"Item Already Calculated in "&amp;_xlfn.XLOOKUP(N73,OUTPUT!$A$9:$A$145,OUTPUT!$G$9:$G$145,0,0),IF(AND(H73="Input Cost Here",ISBLANK(I73),G73="Input Unit"),"Input Unit, Cost, &amp; Quantity",IF(AND(H73="Input Cost Here",ISBLANK(I73)),"Input Cost and Quantity",IF(H73="Input Cost Here","Input Unit Cost",IF(ISBLANK(I73),"Input Quantity","No error"))))),"")</f>
        <v/>
      </c>
      <c r="N73" s="456">
        <f>IF(IFERROR(VLOOKUP(D73,'ITEMS LIST'!A62:B2715,2,TRUE),0)=0,E73,IFERROR(VLOOKUP(D73,'ITEMS LIST'!A62:B2715,2,TRUE),0))</f>
        <v>0</v>
      </c>
    </row>
    <row r="74" spans="3:14">
      <c r="C74" s="807"/>
      <c r="D74" s="800"/>
      <c r="E74" s="800"/>
      <c r="F74" s="800"/>
      <c r="G74" s="801" t="str">
        <f>IF(E74&lt;&gt;"","Input Unit",IFERROR(VLOOKUP(D74,'ITEMS LIST'!$A$2:$D$2655,4,TRUE),""))</f>
        <v/>
      </c>
      <c r="H74" s="803" t="str" cm="1">
        <f t="array" ref="H74">IF(N74&lt;&gt;0,IFERROR(MAX(_xlfn.XLOOKUP(N74&amp;"All Districts",PRICES!$B$2:$B$3684&amp;PRICES!$A$2:$A$3684,PRICES!$H$2:$H$3684),(_xlfn.XLOOKUP(N74&amp;BasicProjectData!$G$18,PRICES!$B$2:$B$3684&amp;PRICES!$A$2:$A$3684,PRICES!$H$2:$H$3684))),"Input Cost Here"),"")</f>
        <v/>
      </c>
      <c r="I74" s="801"/>
      <c r="J74" s="815" t="str">
        <f>IF(N74&gt;0,IF(COUNTIF(OUTPUT!$A$9:$A$145,N74)&gt;0,"Item Already Calculated in "&amp;_xlfn.XLOOKUP(N74,OUTPUT!$A$9:$A$145,OUTPUT!$G$9:$G$145,0,0),IF(AND(H74="Input Cost Here",ISBLANK(I74),G74="Input Unit"),"Input Unit, Cost, &amp; Quantity",IF(AND(H74="Input Cost Here",ISBLANK(I74)),"Input Cost and Quantity",IF(H74="Input Cost Here","Input Unit Cost",IF(ISBLANK(I74),"Input Quantity","No error"))))),"")</f>
        <v/>
      </c>
      <c r="N74" s="456">
        <f>IF(IFERROR(VLOOKUP(D74,'ITEMS LIST'!A63:B2716,2,TRUE),0)=0,E74,IFERROR(VLOOKUP(D74,'ITEMS LIST'!A63:B2716,2,TRUE),0))</f>
        <v>0</v>
      </c>
    </row>
    <row r="75" spans="3:14">
      <c r="C75" s="807"/>
      <c r="D75" s="800"/>
      <c r="E75" s="800"/>
      <c r="F75" s="800"/>
      <c r="G75" s="801" t="str">
        <f>IF(E75&lt;&gt;"","Input Unit",IFERROR(VLOOKUP(D75,'ITEMS LIST'!$A$2:$D$2655,4,TRUE),""))</f>
        <v/>
      </c>
      <c r="H75" s="803" t="str" cm="1">
        <f t="array" ref="H75">IF(N75&lt;&gt;0,IFERROR(MAX(_xlfn.XLOOKUP(N75&amp;"All Districts",PRICES!$B$2:$B$3684&amp;PRICES!$A$2:$A$3684,PRICES!$H$2:$H$3684),(_xlfn.XLOOKUP(N75&amp;BasicProjectData!$G$18,PRICES!$B$2:$B$3684&amp;PRICES!$A$2:$A$3684,PRICES!$H$2:$H$3684))),"Input Cost Here"),"")</f>
        <v/>
      </c>
      <c r="I75" s="801"/>
      <c r="J75" s="815" t="str">
        <f>IF(N75&gt;0,IF(COUNTIF(OUTPUT!$A$9:$A$145,N75)&gt;0,"Item Already Calculated in "&amp;_xlfn.XLOOKUP(N75,OUTPUT!$A$9:$A$145,OUTPUT!$G$9:$G$145,0,0),IF(AND(H75="Input Cost Here",ISBLANK(I75),G75="Input Unit"),"Input Unit, Cost, &amp; Quantity",IF(AND(H75="Input Cost Here",ISBLANK(I75)),"Input Cost and Quantity",IF(H75="Input Cost Here","Input Unit Cost",IF(ISBLANK(I75),"Input Quantity","No error"))))),"")</f>
        <v/>
      </c>
      <c r="N75" s="456">
        <f>IF(IFERROR(VLOOKUP(D75,'ITEMS LIST'!A64:B2717,2,TRUE),0)=0,E75,IFERROR(VLOOKUP(D75,'ITEMS LIST'!A64:B2717,2,TRUE),0))</f>
        <v>0</v>
      </c>
    </row>
    <row r="76" spans="3:14">
      <c r="C76" s="807"/>
      <c r="D76" s="800"/>
      <c r="E76" s="800"/>
      <c r="F76" s="800"/>
      <c r="G76" s="801" t="str">
        <f>IF(E76&lt;&gt;"","Input Unit",IFERROR(VLOOKUP(D76,'ITEMS LIST'!$A$2:$D$2655,4,TRUE),""))</f>
        <v/>
      </c>
      <c r="H76" s="803" t="str" cm="1">
        <f t="array" ref="H76">IF(N76&lt;&gt;0,IFERROR(MAX(_xlfn.XLOOKUP(N76&amp;"All Districts",PRICES!$B$2:$B$3684&amp;PRICES!$A$2:$A$3684,PRICES!$H$2:$H$3684),(_xlfn.XLOOKUP(N76&amp;BasicProjectData!$G$18,PRICES!$B$2:$B$3684&amp;PRICES!$A$2:$A$3684,PRICES!$H$2:$H$3684))),"Input Cost Here"),"")</f>
        <v/>
      </c>
      <c r="I76" s="801"/>
      <c r="J76" s="815" t="str">
        <f>IF(N76&gt;0,IF(COUNTIF(OUTPUT!$A$9:$A$145,N76)&gt;0,"Item Already Calculated in "&amp;_xlfn.XLOOKUP(N76,OUTPUT!$A$9:$A$145,OUTPUT!$G$9:$G$145,0,0),IF(AND(H76="Input Cost Here",ISBLANK(I76),G76="Input Unit"),"Input Unit, Cost, &amp; Quantity",IF(AND(H76="Input Cost Here",ISBLANK(I76)),"Input Cost and Quantity",IF(H76="Input Cost Here","Input Unit Cost",IF(ISBLANK(I76),"Input Quantity","No error"))))),"")</f>
        <v/>
      </c>
      <c r="N76" s="456">
        <f>IF(IFERROR(VLOOKUP(D76,'ITEMS LIST'!A65:B2718,2,TRUE),0)=0,E76,IFERROR(VLOOKUP(D76,'ITEMS LIST'!A65:B2718,2,TRUE),0))</f>
        <v>0</v>
      </c>
    </row>
    <row r="77" spans="3:14">
      <c r="C77" s="807"/>
      <c r="D77" s="800"/>
      <c r="E77" s="800"/>
      <c r="F77" s="800"/>
      <c r="G77" s="801" t="str">
        <f>IF(E77&lt;&gt;"","Input Unit",IFERROR(VLOOKUP(D77,'ITEMS LIST'!$A$2:$D$2655,4,TRUE),""))</f>
        <v/>
      </c>
      <c r="H77" s="803" t="str" cm="1">
        <f t="array" ref="H77">IF(N77&lt;&gt;0,IFERROR(MAX(_xlfn.XLOOKUP(N77&amp;"All Districts",PRICES!$B$2:$B$3684&amp;PRICES!$A$2:$A$3684,PRICES!$H$2:$H$3684),(_xlfn.XLOOKUP(N77&amp;BasicProjectData!$G$18,PRICES!$B$2:$B$3684&amp;PRICES!$A$2:$A$3684,PRICES!$H$2:$H$3684))),"Input Cost Here"),"")</f>
        <v/>
      </c>
      <c r="I77" s="801"/>
      <c r="J77" s="815" t="str">
        <f>IF(N77&gt;0,IF(COUNTIF(OUTPUT!$A$9:$A$145,N77)&gt;0,"Item Already Calculated in "&amp;_xlfn.XLOOKUP(N77,OUTPUT!$A$9:$A$145,OUTPUT!$G$9:$G$145,0,0),IF(AND(H77="Input Cost Here",ISBLANK(I77),G77="Input Unit"),"Input Unit, Cost, &amp; Quantity",IF(AND(H77="Input Cost Here",ISBLANK(I77)),"Input Cost and Quantity",IF(H77="Input Cost Here","Input Unit Cost",IF(ISBLANK(I77),"Input Quantity","No error"))))),"")</f>
        <v/>
      </c>
      <c r="N77" s="456">
        <f>IF(IFERROR(VLOOKUP(D77,'ITEMS LIST'!A66:B2719,2,TRUE),0)=0,E77,IFERROR(VLOOKUP(D77,'ITEMS LIST'!A66:B2719,2,TRUE),0))</f>
        <v>0</v>
      </c>
    </row>
    <row r="78" spans="3:14">
      <c r="C78" s="807"/>
      <c r="D78" s="800"/>
      <c r="E78" s="800"/>
      <c r="F78" s="800"/>
      <c r="G78" s="801" t="str">
        <f>IF(E78&lt;&gt;"","Input Unit",IFERROR(VLOOKUP(D78,'ITEMS LIST'!$A$2:$D$2655,4,TRUE),""))</f>
        <v/>
      </c>
      <c r="H78" s="803" t="str" cm="1">
        <f t="array" ref="H78">IF(N78&lt;&gt;0,IFERROR(MAX(_xlfn.XLOOKUP(N78&amp;"All Districts",PRICES!$B$2:$B$3684&amp;PRICES!$A$2:$A$3684,PRICES!$H$2:$H$3684),(_xlfn.XLOOKUP(N78&amp;BasicProjectData!$G$18,PRICES!$B$2:$B$3684&amp;PRICES!$A$2:$A$3684,PRICES!$H$2:$H$3684))),"Input Cost Here"),"")</f>
        <v/>
      </c>
      <c r="I78" s="801"/>
      <c r="J78" s="815" t="str">
        <f>IF(N78&gt;0,IF(COUNTIF(OUTPUT!$A$9:$A$145,N78)&gt;0,"Item Already Calculated in "&amp;_xlfn.XLOOKUP(N78,OUTPUT!$A$9:$A$145,OUTPUT!$G$9:$G$145,0,0),IF(AND(H78="Input Cost Here",ISBLANK(I78),G78="Input Unit"),"Input Unit, Cost, &amp; Quantity",IF(AND(H78="Input Cost Here",ISBLANK(I78)),"Input Cost and Quantity",IF(H78="Input Cost Here","Input Unit Cost",IF(ISBLANK(I78),"Input Quantity","No error"))))),"")</f>
        <v/>
      </c>
      <c r="N78" s="456">
        <f>IF(IFERROR(VLOOKUP(D78,'ITEMS LIST'!A67:B2720,2,TRUE),0)=0,E78,IFERROR(VLOOKUP(D78,'ITEMS LIST'!A67:B2720,2,TRUE),0))</f>
        <v>0</v>
      </c>
    </row>
    <row r="79" spans="3:14">
      <c r="C79" s="807"/>
      <c r="D79" s="800"/>
      <c r="E79" s="800"/>
      <c r="F79" s="800"/>
      <c r="G79" s="801" t="str">
        <f>IF(E79&lt;&gt;"","Input Unit",IFERROR(VLOOKUP(D79,'ITEMS LIST'!$A$2:$D$2655,4,TRUE),""))</f>
        <v/>
      </c>
      <c r="H79" s="803" t="str" cm="1">
        <f t="array" ref="H79">IF(N79&lt;&gt;0,IFERROR(MAX(_xlfn.XLOOKUP(N79&amp;"All Districts",PRICES!$B$2:$B$3684&amp;PRICES!$A$2:$A$3684,PRICES!$H$2:$H$3684),(_xlfn.XLOOKUP(N79&amp;BasicProjectData!$G$18,PRICES!$B$2:$B$3684&amp;PRICES!$A$2:$A$3684,PRICES!$H$2:$H$3684))),"Input Cost Here"),"")</f>
        <v/>
      </c>
      <c r="I79" s="801"/>
      <c r="J79" s="815" t="str">
        <f>IF(N79&gt;0,IF(COUNTIF(OUTPUT!$A$9:$A$145,N79)&gt;0,"Item Already Calculated in "&amp;_xlfn.XLOOKUP(N79,OUTPUT!$A$9:$A$145,OUTPUT!$G$9:$G$145,0,0),IF(AND(H79="Input Cost Here",ISBLANK(I79),G79="Input Unit"),"Input Unit, Cost, &amp; Quantity",IF(AND(H79="Input Cost Here",ISBLANK(I79)),"Input Cost and Quantity",IF(H79="Input Cost Here","Input Unit Cost",IF(ISBLANK(I79),"Input Quantity","No error"))))),"")</f>
        <v/>
      </c>
      <c r="N79" s="456">
        <f>IF(IFERROR(VLOOKUP(D79,'ITEMS LIST'!A68:B2721,2,TRUE),0)=0,E79,IFERROR(VLOOKUP(D79,'ITEMS LIST'!A68:B2721,2,TRUE),0))</f>
        <v>0</v>
      </c>
    </row>
    <row r="80" spans="3:14">
      <c r="C80" s="807"/>
      <c r="D80" s="800"/>
      <c r="E80" s="800"/>
      <c r="F80" s="800"/>
      <c r="G80" s="801" t="str">
        <f>IF(E80&lt;&gt;"","Input Unit",IFERROR(VLOOKUP(D80,'ITEMS LIST'!$A$2:$D$2655,4,TRUE),""))</f>
        <v/>
      </c>
      <c r="H80" s="803" t="str" cm="1">
        <f t="array" ref="H80">IF(N80&lt;&gt;0,IFERROR(MAX(_xlfn.XLOOKUP(N80&amp;"All Districts",PRICES!$B$2:$B$3684&amp;PRICES!$A$2:$A$3684,PRICES!$H$2:$H$3684),(_xlfn.XLOOKUP(N80&amp;BasicProjectData!$G$18,PRICES!$B$2:$B$3684&amp;PRICES!$A$2:$A$3684,PRICES!$H$2:$H$3684))),"Input Cost Here"),"")</f>
        <v/>
      </c>
      <c r="I80" s="801"/>
      <c r="J80" s="815" t="str">
        <f>IF(N80&gt;0,IF(COUNTIF(OUTPUT!$A$9:$A$145,N80)&gt;0,"Item Already Calculated in "&amp;_xlfn.XLOOKUP(N80,OUTPUT!$A$9:$A$145,OUTPUT!$G$9:$G$145,0,0),IF(AND(H80="Input Cost Here",ISBLANK(I80),G80="Input Unit"),"Input Unit, Cost, &amp; Quantity",IF(AND(H80="Input Cost Here",ISBLANK(I80)),"Input Cost and Quantity",IF(H80="Input Cost Here","Input Unit Cost",IF(ISBLANK(I80),"Input Quantity","No error"))))),"")</f>
        <v/>
      </c>
      <c r="N80" s="456">
        <f>IF(IFERROR(VLOOKUP(D80,'ITEMS LIST'!A69:B2722,2,TRUE),0)=0,E80,IFERROR(VLOOKUP(D80,'ITEMS LIST'!A69:B2722,2,TRUE),0))</f>
        <v>0</v>
      </c>
    </row>
    <row r="81" spans="3:14">
      <c r="C81" s="807"/>
      <c r="D81" s="800"/>
      <c r="E81" s="800"/>
      <c r="F81" s="800"/>
      <c r="G81" s="801" t="str">
        <f>IF(E81&lt;&gt;"","Input Unit",IFERROR(VLOOKUP(D81,'ITEMS LIST'!$A$2:$D$2655,4,TRUE),""))</f>
        <v/>
      </c>
      <c r="H81" s="803" t="str" cm="1">
        <f t="array" ref="H81">IF(N81&lt;&gt;0,IFERROR(MAX(_xlfn.XLOOKUP(N81&amp;"All Districts",PRICES!$B$2:$B$3684&amp;PRICES!$A$2:$A$3684,PRICES!$H$2:$H$3684),(_xlfn.XLOOKUP(N81&amp;BasicProjectData!$G$18,PRICES!$B$2:$B$3684&amp;PRICES!$A$2:$A$3684,PRICES!$H$2:$H$3684))),"Input Cost Here"),"")</f>
        <v/>
      </c>
      <c r="I81" s="801"/>
      <c r="J81" s="815" t="str">
        <f>IF(N81&gt;0,IF(COUNTIF(OUTPUT!$A$9:$A$145,N81)&gt;0,"Item Already Calculated in "&amp;_xlfn.XLOOKUP(N81,OUTPUT!$A$9:$A$145,OUTPUT!$G$9:$G$145,0,0),IF(AND(H81="Input Cost Here",ISBLANK(I81),G81="Input Unit"),"Input Unit, Cost, &amp; Quantity",IF(AND(H81="Input Cost Here",ISBLANK(I81)),"Input Cost and Quantity",IF(H81="Input Cost Here","Input Unit Cost",IF(ISBLANK(I81),"Input Quantity","No error"))))),"")</f>
        <v/>
      </c>
      <c r="N81" s="456">
        <f>IF(IFERROR(VLOOKUP(D81,'ITEMS LIST'!A70:B2723,2,TRUE),0)=0,E81,IFERROR(VLOOKUP(D81,'ITEMS LIST'!A70:B2723,2,TRUE),0))</f>
        <v>0</v>
      </c>
    </row>
    <row r="82" spans="3:14">
      <c r="C82" s="807"/>
      <c r="D82" s="800"/>
      <c r="E82" s="800"/>
      <c r="F82" s="800"/>
      <c r="G82" s="801" t="str">
        <f>IF(E82&lt;&gt;"","Input Unit",IFERROR(VLOOKUP(D82,'ITEMS LIST'!$A$2:$D$2655,4,TRUE),""))</f>
        <v/>
      </c>
      <c r="H82" s="803" t="str" cm="1">
        <f t="array" ref="H82">IF(N82&lt;&gt;0,IFERROR(MAX(_xlfn.XLOOKUP(N82&amp;"All Districts",PRICES!$B$2:$B$3684&amp;PRICES!$A$2:$A$3684,PRICES!$H$2:$H$3684),(_xlfn.XLOOKUP(N82&amp;BasicProjectData!$G$18,PRICES!$B$2:$B$3684&amp;PRICES!$A$2:$A$3684,PRICES!$H$2:$H$3684))),"Input Cost Here"),"")</f>
        <v/>
      </c>
      <c r="I82" s="801"/>
      <c r="J82" s="815" t="str">
        <f>IF(N82&gt;0,IF(COUNTIF(OUTPUT!$A$9:$A$145,N82)&gt;0,"Item Already Calculated in "&amp;_xlfn.XLOOKUP(N82,OUTPUT!$A$9:$A$145,OUTPUT!$G$9:$G$145,0,0),IF(AND(H82="Input Cost Here",ISBLANK(I82),G82="Input Unit"),"Input Unit, Cost, &amp; Quantity",IF(AND(H82="Input Cost Here",ISBLANK(I82)),"Input Cost and Quantity",IF(H82="Input Cost Here","Input Unit Cost",IF(ISBLANK(I82),"Input Quantity","No error"))))),"")</f>
        <v/>
      </c>
      <c r="N82" s="456">
        <f>IF(IFERROR(VLOOKUP(D82,'ITEMS LIST'!A71:B2724,2,TRUE),0)=0,E82,IFERROR(VLOOKUP(D82,'ITEMS LIST'!A71:B2724,2,TRUE),0))</f>
        <v>0</v>
      </c>
    </row>
    <row r="83" spans="3:14">
      <c r="C83" s="807"/>
      <c r="D83" s="800"/>
      <c r="E83" s="800"/>
      <c r="F83" s="800"/>
      <c r="G83" s="801" t="str">
        <f>IF(E83&lt;&gt;"","Input Unit",IFERROR(VLOOKUP(D83,'ITEMS LIST'!$A$2:$D$2655,4,TRUE),""))</f>
        <v/>
      </c>
      <c r="H83" s="803" t="str" cm="1">
        <f t="array" ref="H83">IF(N83&lt;&gt;0,IFERROR(MAX(_xlfn.XLOOKUP(N83&amp;"All Districts",PRICES!$B$2:$B$3684&amp;PRICES!$A$2:$A$3684,PRICES!$H$2:$H$3684),(_xlfn.XLOOKUP(N83&amp;BasicProjectData!$G$18,PRICES!$B$2:$B$3684&amp;PRICES!$A$2:$A$3684,PRICES!$H$2:$H$3684))),"Input Cost Here"),"")</f>
        <v/>
      </c>
      <c r="I83" s="801"/>
      <c r="J83" s="815" t="str">
        <f>IF(N83&gt;0,IF(COUNTIF(OUTPUT!$A$9:$A$145,N83)&gt;0,"Item Already Calculated in "&amp;_xlfn.XLOOKUP(N83,OUTPUT!$A$9:$A$145,OUTPUT!$G$9:$G$145,0,0),IF(AND(H83="Input Cost Here",ISBLANK(I83),G83="Input Unit"),"Input Unit, Cost, &amp; Quantity",IF(AND(H83="Input Cost Here",ISBLANK(I83)),"Input Cost and Quantity",IF(H83="Input Cost Here","Input Unit Cost",IF(ISBLANK(I83),"Input Quantity","No error"))))),"")</f>
        <v/>
      </c>
      <c r="N83" s="456">
        <f>IF(IFERROR(VLOOKUP(D83,'ITEMS LIST'!A72:B2725,2,TRUE),0)=0,E83,IFERROR(VLOOKUP(D83,'ITEMS LIST'!A72:B2725,2,TRUE),0))</f>
        <v>0</v>
      </c>
    </row>
    <row r="84" spans="3:14">
      <c r="C84" s="807"/>
      <c r="D84" s="800"/>
      <c r="E84" s="800"/>
      <c r="F84" s="800"/>
      <c r="G84" s="801" t="str">
        <f>IF(E84&lt;&gt;"","Input Unit",IFERROR(VLOOKUP(D84,'ITEMS LIST'!$A$2:$D$2655,4,TRUE),""))</f>
        <v/>
      </c>
      <c r="H84" s="803" t="str" cm="1">
        <f t="array" ref="H84">IF(N84&lt;&gt;0,IFERROR(MAX(_xlfn.XLOOKUP(N84&amp;"All Districts",PRICES!$B$2:$B$3684&amp;PRICES!$A$2:$A$3684,PRICES!$H$2:$H$3684),(_xlfn.XLOOKUP(N84&amp;BasicProjectData!$G$18,PRICES!$B$2:$B$3684&amp;PRICES!$A$2:$A$3684,PRICES!$H$2:$H$3684))),"Input Cost Here"),"")</f>
        <v/>
      </c>
      <c r="I84" s="801"/>
      <c r="J84" s="815" t="str">
        <f>IF(N84&gt;0,IF(COUNTIF(OUTPUT!$A$9:$A$145,N84)&gt;0,"Item Already Calculated in "&amp;_xlfn.XLOOKUP(N84,OUTPUT!$A$9:$A$145,OUTPUT!$G$9:$G$145,0,0),IF(AND(H84="Input Cost Here",ISBLANK(I84),G84="Input Unit"),"Input Unit, Cost, &amp; Quantity",IF(AND(H84="Input Cost Here",ISBLANK(I84)),"Input Cost and Quantity",IF(H84="Input Cost Here","Input Unit Cost",IF(ISBLANK(I84),"Input Quantity","No error"))))),"")</f>
        <v/>
      </c>
      <c r="N84" s="456">
        <f>IF(IFERROR(VLOOKUP(D84,'ITEMS LIST'!A73:B2726,2,TRUE),0)=0,E84,IFERROR(VLOOKUP(D84,'ITEMS LIST'!A73:B2726,2,TRUE),0))</f>
        <v>0</v>
      </c>
    </row>
    <row r="85" spans="3:14">
      <c r="C85" s="807"/>
      <c r="D85" s="800"/>
      <c r="E85" s="800"/>
      <c r="F85" s="800"/>
      <c r="G85" s="801" t="str">
        <f>IF(E85&lt;&gt;"","Input Unit",IFERROR(VLOOKUP(D85,'ITEMS LIST'!$A$2:$D$2655,4,TRUE),""))</f>
        <v/>
      </c>
      <c r="H85" s="803" t="str" cm="1">
        <f t="array" ref="H85">IF(N85&lt;&gt;0,IFERROR(MAX(_xlfn.XLOOKUP(N85&amp;"All Districts",PRICES!$B$2:$B$3684&amp;PRICES!$A$2:$A$3684,PRICES!$H$2:$H$3684),(_xlfn.XLOOKUP(N85&amp;BasicProjectData!$G$18,PRICES!$B$2:$B$3684&amp;PRICES!$A$2:$A$3684,PRICES!$H$2:$H$3684))),"Input Cost Here"),"")</f>
        <v/>
      </c>
      <c r="I85" s="801"/>
      <c r="J85" s="815" t="str">
        <f>IF(N85&gt;0,IF(COUNTIF(OUTPUT!$A$9:$A$145,N85)&gt;0,"Item Already Calculated in "&amp;_xlfn.XLOOKUP(N85,OUTPUT!$A$9:$A$145,OUTPUT!$G$9:$G$145,0,0),IF(AND(H85="Input Cost Here",ISBLANK(I85),G85="Input Unit"),"Input Unit, Cost, &amp; Quantity",IF(AND(H85="Input Cost Here",ISBLANK(I85)),"Input Cost and Quantity",IF(H85="Input Cost Here","Input Unit Cost",IF(ISBLANK(I85),"Input Quantity","No error"))))),"")</f>
        <v/>
      </c>
      <c r="N85" s="456">
        <f>IF(IFERROR(VLOOKUP(D85,'ITEMS LIST'!A74:B2727,2,TRUE),0)=0,E85,IFERROR(VLOOKUP(D85,'ITEMS LIST'!A74:B2727,2,TRUE),0))</f>
        <v>0</v>
      </c>
    </row>
    <row r="86" spans="3:14">
      <c r="C86" s="807"/>
      <c r="D86" s="800"/>
      <c r="E86" s="800"/>
      <c r="F86" s="800"/>
      <c r="G86" s="801" t="str">
        <f>IF(E86&lt;&gt;"","Input Unit",IFERROR(VLOOKUP(D86,'ITEMS LIST'!$A$2:$D$2655,4,TRUE),""))</f>
        <v/>
      </c>
      <c r="H86" s="803" t="str" cm="1">
        <f t="array" ref="H86">IF(N86&lt;&gt;0,IFERROR(MAX(_xlfn.XLOOKUP(N86&amp;"All Districts",PRICES!$B$2:$B$3684&amp;PRICES!$A$2:$A$3684,PRICES!$H$2:$H$3684),(_xlfn.XLOOKUP(N86&amp;BasicProjectData!$G$18,PRICES!$B$2:$B$3684&amp;PRICES!$A$2:$A$3684,PRICES!$H$2:$H$3684))),"Input Cost Here"),"")</f>
        <v/>
      </c>
      <c r="I86" s="801"/>
      <c r="J86" s="815" t="str">
        <f>IF(N86&gt;0,IF(COUNTIF(OUTPUT!$A$9:$A$145,N86)&gt;0,"Item Already Calculated in "&amp;_xlfn.XLOOKUP(N86,OUTPUT!$A$9:$A$145,OUTPUT!$G$9:$G$145,0,0),IF(AND(H86="Input Cost Here",ISBLANK(I86),G86="Input Unit"),"Input Unit, Cost, &amp; Quantity",IF(AND(H86="Input Cost Here",ISBLANK(I86)),"Input Cost and Quantity",IF(H86="Input Cost Here","Input Unit Cost",IF(ISBLANK(I86),"Input Quantity","No error"))))),"")</f>
        <v/>
      </c>
      <c r="N86" s="456">
        <f>IF(IFERROR(VLOOKUP(D86,'ITEMS LIST'!A75:B2728,2,TRUE),0)=0,E86,IFERROR(VLOOKUP(D86,'ITEMS LIST'!A75:B2728,2,TRUE),0))</f>
        <v>0</v>
      </c>
    </row>
    <row r="87" spans="3:14">
      <c r="C87" s="807"/>
      <c r="D87" s="800"/>
      <c r="E87" s="800"/>
      <c r="F87" s="800"/>
      <c r="G87" s="801" t="str">
        <f>IF(E87&lt;&gt;"","Input Unit",IFERROR(VLOOKUP(D87,'ITEMS LIST'!$A$2:$D$2655,4,TRUE),""))</f>
        <v/>
      </c>
      <c r="H87" s="803" t="str" cm="1">
        <f t="array" ref="H87">IF(N87&lt;&gt;0,IFERROR(MAX(_xlfn.XLOOKUP(N87&amp;"All Districts",PRICES!$B$2:$B$3684&amp;PRICES!$A$2:$A$3684,PRICES!$H$2:$H$3684),(_xlfn.XLOOKUP(N87&amp;BasicProjectData!$G$18,PRICES!$B$2:$B$3684&amp;PRICES!$A$2:$A$3684,PRICES!$H$2:$H$3684))),"Input Cost Here"),"")</f>
        <v/>
      </c>
      <c r="I87" s="801"/>
      <c r="J87" s="815" t="str">
        <f>IF(N87&gt;0,IF(COUNTIF(OUTPUT!$A$9:$A$145,N87)&gt;0,"Item Already Calculated in "&amp;_xlfn.XLOOKUP(N87,OUTPUT!$A$9:$A$145,OUTPUT!$G$9:$G$145,0,0),IF(AND(H87="Input Cost Here",ISBLANK(I87),G87="Input Unit"),"Input Unit, Cost, &amp; Quantity",IF(AND(H87="Input Cost Here",ISBLANK(I87)),"Input Cost and Quantity",IF(H87="Input Cost Here","Input Unit Cost",IF(ISBLANK(I87),"Input Quantity","No error"))))),"")</f>
        <v/>
      </c>
      <c r="N87" s="456">
        <f>IF(IFERROR(VLOOKUP(D87,'ITEMS LIST'!A76:B2729,2,TRUE),0)=0,E87,IFERROR(VLOOKUP(D87,'ITEMS LIST'!A76:B2729,2,TRUE),0))</f>
        <v>0</v>
      </c>
    </row>
    <row r="88" spans="3:14">
      <c r="C88" s="807"/>
      <c r="D88" s="800"/>
      <c r="E88" s="800"/>
      <c r="F88" s="800"/>
      <c r="G88" s="801" t="str">
        <f>IF(E88&lt;&gt;"","Input Unit",IFERROR(VLOOKUP(D88,'ITEMS LIST'!$A$2:$D$2655,4,TRUE),""))</f>
        <v/>
      </c>
      <c r="H88" s="803" t="str" cm="1">
        <f t="array" ref="H88">IF(N88&lt;&gt;0,IFERROR(MAX(_xlfn.XLOOKUP(N88&amp;"All Districts",PRICES!$B$2:$B$3684&amp;PRICES!$A$2:$A$3684,PRICES!$H$2:$H$3684),(_xlfn.XLOOKUP(N88&amp;BasicProjectData!$G$18,PRICES!$B$2:$B$3684&amp;PRICES!$A$2:$A$3684,PRICES!$H$2:$H$3684))),"Input Cost Here"),"")</f>
        <v/>
      </c>
      <c r="I88" s="801"/>
      <c r="J88" s="815" t="str">
        <f>IF(N88&gt;0,IF(COUNTIF(OUTPUT!$A$9:$A$145,N88)&gt;0,"Item Already Calculated in "&amp;_xlfn.XLOOKUP(N88,OUTPUT!$A$9:$A$145,OUTPUT!$G$9:$G$145,0,0),IF(AND(H88="Input Cost Here",ISBLANK(I88),G88="Input Unit"),"Input Unit, Cost, &amp; Quantity",IF(AND(H88="Input Cost Here",ISBLANK(I88)),"Input Cost and Quantity",IF(H88="Input Cost Here","Input Unit Cost",IF(ISBLANK(I88),"Input Quantity","No error"))))),"")</f>
        <v/>
      </c>
      <c r="N88" s="456">
        <f>IF(IFERROR(VLOOKUP(D88,'ITEMS LIST'!A77:B2730,2,TRUE),0)=0,E88,IFERROR(VLOOKUP(D88,'ITEMS LIST'!A77:B2730,2,TRUE),0))</f>
        <v>0</v>
      </c>
    </row>
    <row r="89" spans="3:14">
      <c r="C89" s="807"/>
      <c r="D89" s="800"/>
      <c r="E89" s="800"/>
      <c r="F89" s="800"/>
      <c r="G89" s="801" t="str">
        <f>IF(E89&lt;&gt;"","Input Unit",IFERROR(VLOOKUP(D89,'ITEMS LIST'!$A$2:$D$2655,4,TRUE),""))</f>
        <v/>
      </c>
      <c r="H89" s="803" t="str" cm="1">
        <f t="array" ref="H89">IF(N89&lt;&gt;0,IFERROR(MAX(_xlfn.XLOOKUP(N89&amp;"All Districts",PRICES!$B$2:$B$3684&amp;PRICES!$A$2:$A$3684,PRICES!$H$2:$H$3684),(_xlfn.XLOOKUP(N89&amp;BasicProjectData!$G$18,PRICES!$B$2:$B$3684&amp;PRICES!$A$2:$A$3684,PRICES!$H$2:$H$3684))),"Input Cost Here"),"")</f>
        <v/>
      </c>
      <c r="I89" s="801"/>
      <c r="J89" s="815" t="str">
        <f>IF(N89&gt;0,IF(COUNTIF(OUTPUT!$A$9:$A$145,N89)&gt;0,"Item Already Calculated in "&amp;_xlfn.XLOOKUP(N89,OUTPUT!$A$9:$A$145,OUTPUT!$G$9:$G$145,0,0),IF(AND(H89="Input Cost Here",ISBLANK(I89),G89="Input Unit"),"Input Unit, Cost, &amp; Quantity",IF(AND(H89="Input Cost Here",ISBLANK(I89)),"Input Cost and Quantity",IF(H89="Input Cost Here","Input Unit Cost",IF(ISBLANK(I89),"Input Quantity","No error"))))),"")</f>
        <v/>
      </c>
      <c r="N89" s="456">
        <f>IF(IFERROR(VLOOKUP(D89,'ITEMS LIST'!A78:B2731,2,TRUE),0)=0,E89,IFERROR(VLOOKUP(D89,'ITEMS LIST'!A78:B2731,2,TRUE),0))</f>
        <v>0</v>
      </c>
    </row>
    <row r="90" spans="3:14">
      <c r="C90" s="807"/>
      <c r="D90" s="800"/>
      <c r="E90" s="800"/>
      <c r="F90" s="800"/>
      <c r="G90" s="801" t="str">
        <f>IF(E90&lt;&gt;"","Input Unit",IFERROR(VLOOKUP(D90,'ITEMS LIST'!$A$2:$D$2655,4,TRUE),""))</f>
        <v/>
      </c>
      <c r="H90" s="803" t="str" cm="1">
        <f t="array" ref="H90">IF(N90&lt;&gt;0,IFERROR(MAX(_xlfn.XLOOKUP(N90&amp;"All Districts",PRICES!$B$2:$B$3684&amp;PRICES!$A$2:$A$3684,PRICES!$H$2:$H$3684),(_xlfn.XLOOKUP(N90&amp;BasicProjectData!$G$18,PRICES!$B$2:$B$3684&amp;PRICES!$A$2:$A$3684,PRICES!$H$2:$H$3684))),"Input Cost Here"),"")</f>
        <v/>
      </c>
      <c r="I90" s="801"/>
      <c r="J90" s="815" t="str">
        <f>IF(N90&gt;0,IF(COUNTIF(OUTPUT!$A$9:$A$145,N90)&gt;0,"Item Already Calculated in "&amp;_xlfn.XLOOKUP(N90,OUTPUT!$A$9:$A$145,OUTPUT!$G$9:$G$145,0,0),IF(AND(H90="Input Cost Here",ISBLANK(I90),G90="Input Unit"),"Input Unit, Cost, &amp; Quantity",IF(AND(H90="Input Cost Here",ISBLANK(I90)),"Input Cost and Quantity",IF(H90="Input Cost Here","Input Unit Cost",IF(ISBLANK(I90),"Input Quantity","No error"))))),"")</f>
        <v/>
      </c>
      <c r="N90" s="456">
        <f>IF(IFERROR(VLOOKUP(D90,'ITEMS LIST'!A79:B2732,2,TRUE),0)=0,E90,IFERROR(VLOOKUP(D90,'ITEMS LIST'!A79:B2732,2,TRUE),0))</f>
        <v>0</v>
      </c>
    </row>
    <row r="91" spans="3:14">
      <c r="C91" s="807"/>
      <c r="D91" s="800"/>
      <c r="E91" s="800"/>
      <c r="F91" s="800"/>
      <c r="G91" s="801" t="str">
        <f>IF(E91&lt;&gt;"","Input Unit",IFERROR(VLOOKUP(D91,'ITEMS LIST'!$A$2:$D$2655,4,TRUE),""))</f>
        <v/>
      </c>
      <c r="H91" s="803" t="str" cm="1">
        <f t="array" ref="H91">IF(N91&lt;&gt;0,IFERROR(MAX(_xlfn.XLOOKUP(N91&amp;"All Districts",PRICES!$B$2:$B$3684&amp;PRICES!$A$2:$A$3684,PRICES!$H$2:$H$3684),(_xlfn.XLOOKUP(N91&amp;BasicProjectData!$G$18,PRICES!$B$2:$B$3684&amp;PRICES!$A$2:$A$3684,PRICES!$H$2:$H$3684))),"Input Cost Here"),"")</f>
        <v/>
      </c>
      <c r="I91" s="801"/>
      <c r="J91" s="815" t="str">
        <f>IF(N91&gt;0,IF(COUNTIF(OUTPUT!$A$9:$A$145,N91)&gt;0,"Item Already Calculated in "&amp;_xlfn.XLOOKUP(N91,OUTPUT!$A$9:$A$145,OUTPUT!$G$9:$G$145,0,0),IF(AND(H91="Input Cost Here",ISBLANK(I91),G91="Input Unit"),"Input Unit, Cost, &amp; Quantity",IF(AND(H91="Input Cost Here",ISBLANK(I91)),"Input Cost and Quantity",IF(H91="Input Cost Here","Input Unit Cost",IF(ISBLANK(I91),"Input Quantity","No error"))))),"")</f>
        <v/>
      </c>
      <c r="N91" s="456">
        <f>IF(IFERROR(VLOOKUP(D91,'ITEMS LIST'!A80:B2733,2,TRUE),0)=0,E91,IFERROR(VLOOKUP(D91,'ITEMS LIST'!A80:B2733,2,TRUE),0))</f>
        <v>0</v>
      </c>
    </row>
    <row r="92" spans="3:14">
      <c r="C92" s="807"/>
      <c r="D92" s="800"/>
      <c r="E92" s="800"/>
      <c r="F92" s="800"/>
      <c r="G92" s="801" t="str">
        <f>IF(E92&lt;&gt;"","Input Unit",IFERROR(VLOOKUP(D92,'ITEMS LIST'!$A$2:$D$2655,4,TRUE),""))</f>
        <v/>
      </c>
      <c r="H92" s="803" t="str" cm="1">
        <f t="array" ref="H92">IF(N92&lt;&gt;0,IFERROR(MAX(_xlfn.XLOOKUP(N92&amp;"All Districts",PRICES!$B$2:$B$3684&amp;PRICES!$A$2:$A$3684,PRICES!$H$2:$H$3684),(_xlfn.XLOOKUP(N92&amp;BasicProjectData!$G$18,PRICES!$B$2:$B$3684&amp;PRICES!$A$2:$A$3684,PRICES!$H$2:$H$3684))),"Input Cost Here"),"")</f>
        <v/>
      </c>
      <c r="I92" s="801"/>
      <c r="J92" s="815" t="str">
        <f>IF(N92&gt;0,IF(COUNTIF(OUTPUT!$A$9:$A$145,N92)&gt;0,"Item Already Calculated in "&amp;_xlfn.XLOOKUP(N92,OUTPUT!$A$9:$A$145,OUTPUT!$G$9:$G$145,0,0),IF(AND(H92="Input Cost Here",ISBLANK(I92),G92="Input Unit"),"Input Unit, Cost, &amp; Quantity",IF(AND(H92="Input Cost Here",ISBLANK(I92)),"Input Cost and Quantity",IF(H92="Input Cost Here","Input Unit Cost",IF(ISBLANK(I92),"Input Quantity","No error"))))),"")</f>
        <v/>
      </c>
      <c r="N92" s="456">
        <f>IF(IFERROR(VLOOKUP(D92,'ITEMS LIST'!A81:B2734,2,TRUE),0)=0,E92,IFERROR(VLOOKUP(D92,'ITEMS LIST'!A81:B2734,2,TRUE),0))</f>
        <v>0</v>
      </c>
    </row>
    <row r="93" spans="3:14">
      <c r="C93" s="807"/>
      <c r="D93" s="800"/>
      <c r="E93" s="800"/>
      <c r="F93" s="800"/>
      <c r="G93" s="801" t="str">
        <f>IF(E93&lt;&gt;"","Input Unit",IFERROR(VLOOKUP(D93,'ITEMS LIST'!$A$2:$D$2655,4,TRUE),""))</f>
        <v/>
      </c>
      <c r="H93" s="803" t="str" cm="1">
        <f t="array" ref="H93">IF(N93&lt;&gt;0,IFERROR(MAX(_xlfn.XLOOKUP(N93&amp;"All Districts",PRICES!$B$2:$B$3684&amp;PRICES!$A$2:$A$3684,PRICES!$H$2:$H$3684),(_xlfn.XLOOKUP(N93&amp;BasicProjectData!$G$18,PRICES!$B$2:$B$3684&amp;PRICES!$A$2:$A$3684,PRICES!$H$2:$H$3684))),"Input Cost Here"),"")</f>
        <v/>
      </c>
      <c r="I93" s="801"/>
      <c r="J93" s="815" t="str">
        <f>IF(N93&gt;0,IF(COUNTIF(OUTPUT!$A$9:$A$145,N93)&gt;0,"Item Already Calculated in "&amp;_xlfn.XLOOKUP(N93,OUTPUT!$A$9:$A$145,OUTPUT!$G$9:$G$145,0,0),IF(AND(H93="Input Cost Here",ISBLANK(I93),G93="Input Unit"),"Input Unit, Cost, &amp; Quantity",IF(AND(H93="Input Cost Here",ISBLANK(I93)),"Input Cost and Quantity",IF(H93="Input Cost Here","Input Unit Cost",IF(ISBLANK(I93),"Input Quantity","No error"))))),"")</f>
        <v/>
      </c>
      <c r="N93" s="456">
        <f>IF(IFERROR(VLOOKUP(D93,'ITEMS LIST'!A82:B2735,2,TRUE),0)=0,E93,IFERROR(VLOOKUP(D93,'ITEMS LIST'!A82:B2735,2,TRUE),0))</f>
        <v>0</v>
      </c>
    </row>
    <row r="94" spans="3:14">
      <c r="C94" s="807"/>
      <c r="D94" s="800"/>
      <c r="E94" s="800"/>
      <c r="F94" s="800"/>
      <c r="G94" s="801" t="str">
        <f>IF(E94&lt;&gt;"","Input Unit",IFERROR(VLOOKUP(D94,'ITEMS LIST'!$A$2:$D$2655,4,TRUE),""))</f>
        <v/>
      </c>
      <c r="H94" s="803" t="str" cm="1">
        <f t="array" ref="H94">IF(N94&lt;&gt;0,IFERROR(MAX(_xlfn.XLOOKUP(N94&amp;"All Districts",PRICES!$B$2:$B$3684&amp;PRICES!$A$2:$A$3684,PRICES!$H$2:$H$3684),(_xlfn.XLOOKUP(N94&amp;BasicProjectData!$G$18,PRICES!$B$2:$B$3684&amp;PRICES!$A$2:$A$3684,PRICES!$H$2:$H$3684))),"Input Cost Here"),"")</f>
        <v/>
      </c>
      <c r="I94" s="801"/>
      <c r="J94" s="815" t="str">
        <f>IF(N94&gt;0,IF(COUNTIF(OUTPUT!$A$9:$A$145,N94)&gt;0,"Item Already Calculated in "&amp;_xlfn.XLOOKUP(N94,OUTPUT!$A$9:$A$145,OUTPUT!$G$9:$G$145,0,0),IF(AND(H94="Input Cost Here",ISBLANK(I94),G94="Input Unit"),"Input Unit, Cost, &amp; Quantity",IF(AND(H94="Input Cost Here",ISBLANK(I94)),"Input Cost and Quantity",IF(H94="Input Cost Here","Input Unit Cost",IF(ISBLANK(I94),"Input Quantity","No error"))))),"")</f>
        <v/>
      </c>
      <c r="N94" s="456">
        <f>IF(IFERROR(VLOOKUP(D94,'ITEMS LIST'!A83:B2736,2,TRUE),0)=0,E94,IFERROR(VLOOKUP(D94,'ITEMS LIST'!A83:B2736,2,TRUE),0))</f>
        <v>0</v>
      </c>
    </row>
    <row r="95" spans="3:14">
      <c r="C95" s="807"/>
      <c r="D95" s="800"/>
      <c r="E95" s="800"/>
      <c r="F95" s="800"/>
      <c r="G95" s="801" t="str">
        <f>IF(E95&lt;&gt;"","Input Unit",IFERROR(VLOOKUP(D95,'ITEMS LIST'!$A$2:$D$2655,4,TRUE),""))</f>
        <v/>
      </c>
      <c r="H95" s="803" t="str" cm="1">
        <f t="array" ref="H95">IF(N95&lt;&gt;0,IFERROR(MAX(_xlfn.XLOOKUP(N95&amp;"All Districts",PRICES!$B$2:$B$3684&amp;PRICES!$A$2:$A$3684,PRICES!$H$2:$H$3684),(_xlfn.XLOOKUP(N95&amp;BasicProjectData!$G$18,PRICES!$B$2:$B$3684&amp;PRICES!$A$2:$A$3684,PRICES!$H$2:$H$3684))),"Input Cost Here"),"")</f>
        <v/>
      </c>
      <c r="I95" s="801"/>
      <c r="J95" s="815" t="str">
        <f>IF(N95&gt;0,IF(COUNTIF(OUTPUT!$A$9:$A$145,N95)&gt;0,"Item Already Calculated in "&amp;_xlfn.XLOOKUP(N95,OUTPUT!$A$9:$A$145,OUTPUT!$G$9:$G$145,0,0),IF(AND(H95="Input Cost Here",ISBLANK(I95),G95="Input Unit"),"Input Unit, Cost, &amp; Quantity",IF(AND(H95="Input Cost Here",ISBLANK(I95)),"Input Cost and Quantity",IF(H95="Input Cost Here","Input Unit Cost",IF(ISBLANK(I95),"Input Quantity","No error"))))),"")</f>
        <v/>
      </c>
      <c r="N95" s="456">
        <f>IF(IFERROR(VLOOKUP(D95,'ITEMS LIST'!A84:B2737,2,TRUE),0)=0,E95,IFERROR(VLOOKUP(D95,'ITEMS LIST'!A84:B2737,2,TRUE),0))</f>
        <v>0</v>
      </c>
    </row>
    <row r="96" spans="3:14">
      <c r="C96" s="807"/>
      <c r="D96" s="800"/>
      <c r="E96" s="800"/>
      <c r="F96" s="800"/>
      <c r="G96" s="801" t="str">
        <f>IF(E96&lt;&gt;"","Input Unit",IFERROR(VLOOKUP(D96,'ITEMS LIST'!$A$2:$D$2655,4,TRUE),""))</f>
        <v/>
      </c>
      <c r="H96" s="803" t="str" cm="1">
        <f t="array" ref="H96">IF(N96&lt;&gt;0,IFERROR(MAX(_xlfn.XLOOKUP(N96&amp;"All Districts",PRICES!$B$2:$B$3684&amp;PRICES!$A$2:$A$3684,PRICES!$H$2:$H$3684),(_xlfn.XLOOKUP(N96&amp;BasicProjectData!$G$18,PRICES!$B$2:$B$3684&amp;PRICES!$A$2:$A$3684,PRICES!$H$2:$H$3684))),"Input Cost Here"),"")</f>
        <v/>
      </c>
      <c r="I96" s="801"/>
      <c r="J96" s="815" t="str">
        <f>IF(N96&gt;0,IF(COUNTIF(OUTPUT!$A$9:$A$145,N96)&gt;0,"Item Already Calculated in "&amp;_xlfn.XLOOKUP(N96,OUTPUT!$A$9:$A$145,OUTPUT!$G$9:$G$145,0,0),IF(AND(H96="Input Cost Here",ISBLANK(I96),G96="Input Unit"),"Input Unit, Cost, &amp; Quantity",IF(AND(H96="Input Cost Here",ISBLANK(I96)),"Input Cost and Quantity",IF(H96="Input Cost Here","Input Unit Cost",IF(ISBLANK(I96),"Input Quantity","No error"))))),"")</f>
        <v/>
      </c>
      <c r="N96" s="456">
        <f>IF(IFERROR(VLOOKUP(D96,'ITEMS LIST'!A85:B2738,2,TRUE),0)=0,E96,IFERROR(VLOOKUP(D96,'ITEMS LIST'!A85:B2738,2,TRUE),0))</f>
        <v>0</v>
      </c>
    </row>
    <row r="97" spans="3:14">
      <c r="C97" s="807"/>
      <c r="D97" s="800"/>
      <c r="E97" s="800"/>
      <c r="F97" s="800"/>
      <c r="G97" s="801" t="str">
        <f>IF(E97&lt;&gt;"","Input Unit",IFERROR(VLOOKUP(D97,'ITEMS LIST'!$A$2:$D$2655,4,TRUE),""))</f>
        <v/>
      </c>
      <c r="H97" s="803" t="str" cm="1">
        <f t="array" ref="H97">IF(N97&lt;&gt;0,IFERROR(MAX(_xlfn.XLOOKUP(N97&amp;"All Districts",PRICES!$B$2:$B$3684&amp;PRICES!$A$2:$A$3684,PRICES!$H$2:$H$3684),(_xlfn.XLOOKUP(N97&amp;BasicProjectData!$G$18,PRICES!$B$2:$B$3684&amp;PRICES!$A$2:$A$3684,PRICES!$H$2:$H$3684))),"Input Cost Here"),"")</f>
        <v/>
      </c>
      <c r="I97" s="801"/>
      <c r="J97" s="815" t="str">
        <f>IF(N97&gt;0,IF(COUNTIF(OUTPUT!$A$9:$A$145,N97)&gt;0,"Item Already Calculated in "&amp;_xlfn.XLOOKUP(N97,OUTPUT!$A$9:$A$145,OUTPUT!$G$9:$G$145,0,0),IF(AND(H97="Input Cost Here",ISBLANK(I97),G97="Input Unit"),"Input Unit, Cost, &amp; Quantity",IF(AND(H97="Input Cost Here",ISBLANK(I97)),"Input Cost and Quantity",IF(H97="Input Cost Here","Input Unit Cost",IF(ISBLANK(I97),"Input Quantity","No error"))))),"")</f>
        <v/>
      </c>
      <c r="N97" s="456">
        <f>IF(IFERROR(VLOOKUP(D97,'ITEMS LIST'!A86:B2739,2,TRUE),0)=0,E97,IFERROR(VLOOKUP(D97,'ITEMS LIST'!A86:B2739,2,TRUE),0))</f>
        <v>0</v>
      </c>
    </row>
    <row r="98" spans="3:14">
      <c r="C98" s="807"/>
      <c r="D98" s="800"/>
      <c r="E98" s="800"/>
      <c r="F98" s="800"/>
      <c r="G98" s="801" t="str">
        <f>IF(E98&lt;&gt;"","Input Unit",IFERROR(VLOOKUP(D98,'ITEMS LIST'!$A$2:$D$2655,4,TRUE),""))</f>
        <v/>
      </c>
      <c r="H98" s="803" t="str" cm="1">
        <f t="array" ref="H98">IF(N98&lt;&gt;0,IFERROR(MAX(_xlfn.XLOOKUP(N98&amp;"All Districts",PRICES!$B$2:$B$3684&amp;PRICES!$A$2:$A$3684,PRICES!$H$2:$H$3684),(_xlfn.XLOOKUP(N98&amp;BasicProjectData!$G$18,PRICES!$B$2:$B$3684&amp;PRICES!$A$2:$A$3684,PRICES!$H$2:$H$3684))),"Input Cost Here"),"")</f>
        <v/>
      </c>
      <c r="I98" s="801"/>
      <c r="J98" s="815" t="str">
        <f>IF(N98&gt;0,IF(COUNTIF(OUTPUT!$A$9:$A$145,N98)&gt;0,"Item Already Calculated in "&amp;_xlfn.XLOOKUP(N98,OUTPUT!$A$9:$A$145,OUTPUT!$G$9:$G$145,0,0),IF(AND(H98="Input Cost Here",ISBLANK(I98),G98="Input Unit"),"Input Unit, Cost, &amp; Quantity",IF(AND(H98="Input Cost Here",ISBLANK(I98)),"Input Cost and Quantity",IF(H98="Input Cost Here","Input Unit Cost",IF(ISBLANK(I98),"Input Quantity","No error"))))),"")</f>
        <v/>
      </c>
      <c r="N98" s="456">
        <f>IF(IFERROR(VLOOKUP(D98,'ITEMS LIST'!A87:B2740,2,TRUE),0)=0,E98,IFERROR(VLOOKUP(D98,'ITEMS LIST'!A87:B2740,2,TRUE),0))</f>
        <v>0</v>
      </c>
    </row>
    <row r="99" spans="3:14">
      <c r="C99" s="807"/>
      <c r="D99" s="800"/>
      <c r="E99" s="800"/>
      <c r="F99" s="800"/>
      <c r="G99" s="801" t="str">
        <f>IF(E99&lt;&gt;"","Input Unit",IFERROR(VLOOKUP(D99,'ITEMS LIST'!$A$2:$D$2655,4,TRUE),""))</f>
        <v/>
      </c>
      <c r="H99" s="803" t="str" cm="1">
        <f t="array" ref="H99">IF(N99&lt;&gt;0,IFERROR(MAX(_xlfn.XLOOKUP(N99&amp;"All Districts",PRICES!$B$2:$B$3684&amp;PRICES!$A$2:$A$3684,PRICES!$H$2:$H$3684),(_xlfn.XLOOKUP(N99&amp;BasicProjectData!$G$18,PRICES!$B$2:$B$3684&amp;PRICES!$A$2:$A$3684,PRICES!$H$2:$H$3684))),"Input Cost Here"),"")</f>
        <v/>
      </c>
      <c r="I99" s="801"/>
      <c r="J99" s="815" t="str">
        <f>IF(N99&gt;0,IF(COUNTIF(OUTPUT!$A$9:$A$145,N99)&gt;0,"Item Already Calculated in "&amp;_xlfn.XLOOKUP(N99,OUTPUT!$A$9:$A$145,OUTPUT!$G$9:$G$145,0,0),IF(AND(H99="Input Cost Here",ISBLANK(I99),G99="Input Unit"),"Input Unit, Cost, &amp; Quantity",IF(AND(H99="Input Cost Here",ISBLANK(I99)),"Input Cost and Quantity",IF(H99="Input Cost Here","Input Unit Cost",IF(ISBLANK(I99),"Input Quantity","No error"))))),"")</f>
        <v/>
      </c>
      <c r="N99" s="456">
        <f>IF(IFERROR(VLOOKUP(D99,'ITEMS LIST'!A88:B2741,2,TRUE),0)=0,E99,IFERROR(VLOOKUP(D99,'ITEMS LIST'!A88:B2741,2,TRUE),0))</f>
        <v>0</v>
      </c>
    </row>
    <row r="100" spans="3:14">
      <c r="C100" s="807"/>
      <c r="D100" s="800"/>
      <c r="E100" s="800"/>
      <c r="F100" s="800"/>
      <c r="G100" s="801" t="str">
        <f>IF(E100&lt;&gt;"","Input Unit",IFERROR(VLOOKUP(D100,'ITEMS LIST'!$A$2:$D$2655,4,TRUE),""))</f>
        <v/>
      </c>
      <c r="H100" s="803" t="str" cm="1">
        <f t="array" ref="H100">IF(N100&lt;&gt;0,IFERROR(MAX(_xlfn.XLOOKUP(N100&amp;"All Districts",PRICES!$B$2:$B$3684&amp;PRICES!$A$2:$A$3684,PRICES!$H$2:$H$3684),(_xlfn.XLOOKUP(N100&amp;BasicProjectData!$G$18,PRICES!$B$2:$B$3684&amp;PRICES!$A$2:$A$3684,PRICES!$H$2:$H$3684))),"Input Cost Here"),"")</f>
        <v/>
      </c>
      <c r="I100" s="801"/>
      <c r="J100" s="815" t="str">
        <f>IF(N100&gt;0,IF(COUNTIF(OUTPUT!$A$9:$A$145,N100)&gt;0,"Item Already Calculated in "&amp;_xlfn.XLOOKUP(N100,OUTPUT!$A$9:$A$145,OUTPUT!$G$9:$G$145,0,0),IF(AND(H100="Input Cost Here",ISBLANK(I100),G100="Input Unit"),"Input Unit, Cost, &amp; Quantity",IF(AND(H100="Input Cost Here",ISBLANK(I100)),"Input Cost and Quantity",IF(H100="Input Cost Here","Input Unit Cost",IF(ISBLANK(I100),"Input Quantity","No error"))))),"")</f>
        <v/>
      </c>
      <c r="N100" s="456">
        <f>IF(IFERROR(VLOOKUP(D100,'ITEMS LIST'!A89:B2742,2,TRUE),0)=0,E100,IFERROR(VLOOKUP(D100,'ITEMS LIST'!A89:B2742,2,TRUE),0))</f>
        <v>0</v>
      </c>
    </row>
    <row r="101" spans="3:14">
      <c r="C101" s="807"/>
      <c r="D101" s="800"/>
      <c r="E101" s="800"/>
      <c r="F101" s="800"/>
      <c r="G101" s="801" t="str">
        <f>IF(E101&lt;&gt;"","Input Unit",IFERROR(VLOOKUP(D101,'ITEMS LIST'!$A$2:$D$2655,4,TRUE),""))</f>
        <v/>
      </c>
      <c r="H101" s="803" t="str" cm="1">
        <f t="array" ref="H101">IF(N101&lt;&gt;0,IFERROR(MAX(_xlfn.XLOOKUP(N101&amp;"All Districts",PRICES!$B$2:$B$3684&amp;PRICES!$A$2:$A$3684,PRICES!$H$2:$H$3684),(_xlfn.XLOOKUP(N101&amp;BasicProjectData!$G$18,PRICES!$B$2:$B$3684&amp;PRICES!$A$2:$A$3684,PRICES!$H$2:$H$3684))),"Input Cost Here"),"")</f>
        <v/>
      </c>
      <c r="I101" s="801"/>
      <c r="J101" s="815" t="str">
        <f>IF(N101&gt;0,IF(COUNTIF(OUTPUT!$A$9:$A$145,N101)&gt;0,"Item Already Calculated in "&amp;_xlfn.XLOOKUP(N101,OUTPUT!$A$9:$A$145,OUTPUT!$G$9:$G$145,0,0),IF(AND(H101="Input Cost Here",ISBLANK(I101),G101="Input Unit"),"Input Unit, Cost, &amp; Quantity",IF(AND(H101="Input Cost Here",ISBLANK(I101)),"Input Cost and Quantity",IF(H101="Input Cost Here","Input Unit Cost",IF(ISBLANK(I101),"Input Quantity","No error"))))),"")</f>
        <v/>
      </c>
      <c r="N101" s="456">
        <f>IF(IFERROR(VLOOKUP(D101,'ITEMS LIST'!A90:B2743,2,TRUE),0)=0,E101,IFERROR(VLOOKUP(D101,'ITEMS LIST'!A90:B2743,2,TRUE),0))</f>
        <v>0</v>
      </c>
    </row>
    <row r="102" spans="3:14">
      <c r="C102" s="807"/>
      <c r="D102" s="800"/>
      <c r="E102" s="800"/>
      <c r="F102" s="800"/>
      <c r="G102" s="801" t="str">
        <f>IF(E102&lt;&gt;"","Input Unit",IFERROR(VLOOKUP(D102,'ITEMS LIST'!$A$2:$D$2655,4,TRUE),""))</f>
        <v/>
      </c>
      <c r="H102" s="803" t="str" cm="1">
        <f t="array" ref="H102">IF(N102&lt;&gt;0,IFERROR(MAX(_xlfn.XLOOKUP(N102&amp;"All Districts",PRICES!$B$2:$B$3684&amp;PRICES!$A$2:$A$3684,PRICES!$H$2:$H$3684),(_xlfn.XLOOKUP(N102&amp;BasicProjectData!$G$18,PRICES!$B$2:$B$3684&amp;PRICES!$A$2:$A$3684,PRICES!$H$2:$H$3684))),"Input Cost Here"),"")</f>
        <v/>
      </c>
      <c r="I102" s="801"/>
      <c r="J102" s="815" t="str">
        <f>IF(N102&gt;0,IF(COUNTIF(OUTPUT!$A$9:$A$145,N102)&gt;0,"Item Already Calculated in "&amp;_xlfn.XLOOKUP(N102,OUTPUT!$A$9:$A$145,OUTPUT!$G$9:$G$145,0,0),IF(AND(H102="Input Cost Here",ISBLANK(I102),G102="Input Unit"),"Input Unit, Cost, &amp; Quantity",IF(AND(H102="Input Cost Here",ISBLANK(I102)),"Input Cost and Quantity",IF(H102="Input Cost Here","Input Unit Cost",IF(ISBLANK(I102),"Input Quantity","No error"))))),"")</f>
        <v/>
      </c>
      <c r="N102" s="456">
        <f>IF(IFERROR(VLOOKUP(D102,'ITEMS LIST'!A91:B2744,2,TRUE),0)=0,E102,IFERROR(VLOOKUP(D102,'ITEMS LIST'!A91:B2744,2,TRUE),0))</f>
        <v>0</v>
      </c>
    </row>
    <row r="103" spans="3:14">
      <c r="C103" s="807"/>
      <c r="D103" s="800"/>
      <c r="E103" s="800"/>
      <c r="F103" s="800"/>
      <c r="G103" s="801" t="str">
        <f>IF(E103&lt;&gt;"","Input Unit",IFERROR(VLOOKUP(D103,'ITEMS LIST'!$A$2:$D$2655,4,TRUE),""))</f>
        <v/>
      </c>
      <c r="H103" s="803" t="str" cm="1">
        <f t="array" ref="H103">IF(N103&lt;&gt;0,IFERROR(MAX(_xlfn.XLOOKUP(N103&amp;"All Districts",PRICES!$B$2:$B$3684&amp;PRICES!$A$2:$A$3684,PRICES!$H$2:$H$3684),(_xlfn.XLOOKUP(N103&amp;BasicProjectData!$G$18,PRICES!$B$2:$B$3684&amp;PRICES!$A$2:$A$3684,PRICES!$H$2:$H$3684))),"Input Cost Here"),"")</f>
        <v/>
      </c>
      <c r="I103" s="801"/>
      <c r="J103" s="815" t="str">
        <f>IF(N103&gt;0,IF(COUNTIF(OUTPUT!$A$9:$A$145,N103)&gt;0,"Item Already Calculated in "&amp;_xlfn.XLOOKUP(N103,OUTPUT!$A$9:$A$145,OUTPUT!$G$9:$G$145,0,0),IF(AND(H103="Input Cost Here",ISBLANK(I103),G103="Input Unit"),"Input Unit, Cost, &amp; Quantity",IF(AND(H103="Input Cost Here",ISBLANK(I103)),"Input Cost and Quantity",IF(H103="Input Cost Here","Input Unit Cost",IF(ISBLANK(I103),"Input Quantity","No error"))))),"")</f>
        <v/>
      </c>
      <c r="N103" s="456">
        <f>IF(IFERROR(VLOOKUP(D103,'ITEMS LIST'!A92:B2745,2,TRUE),0)=0,E103,IFERROR(VLOOKUP(D103,'ITEMS LIST'!A92:B2745,2,TRUE),0))</f>
        <v>0</v>
      </c>
    </row>
    <row r="104" spans="3:14">
      <c r="C104" s="807"/>
      <c r="D104" s="800"/>
      <c r="E104" s="800"/>
      <c r="F104" s="800"/>
      <c r="G104" s="801" t="str">
        <f>IF(E104&lt;&gt;"","Input Unit",IFERROR(VLOOKUP(D104,'ITEMS LIST'!$A$2:$D$2655,4,TRUE),""))</f>
        <v/>
      </c>
      <c r="H104" s="803" t="str" cm="1">
        <f t="array" ref="H104">IF(N104&lt;&gt;0,IFERROR(MAX(_xlfn.XLOOKUP(N104&amp;"All Districts",PRICES!$B$2:$B$3684&amp;PRICES!$A$2:$A$3684,PRICES!$H$2:$H$3684),(_xlfn.XLOOKUP(N104&amp;BasicProjectData!$G$18,PRICES!$B$2:$B$3684&amp;PRICES!$A$2:$A$3684,PRICES!$H$2:$H$3684))),"Input Cost Here"),"")</f>
        <v/>
      </c>
      <c r="I104" s="801"/>
      <c r="J104" s="815" t="str">
        <f>IF(N104&gt;0,IF(COUNTIF(OUTPUT!$A$9:$A$145,N104)&gt;0,"Item Already Calculated in "&amp;_xlfn.XLOOKUP(N104,OUTPUT!$A$9:$A$145,OUTPUT!$G$9:$G$145,0,0),IF(AND(H104="Input Cost Here",ISBLANK(I104),G104="Input Unit"),"Input Unit, Cost, &amp; Quantity",IF(AND(H104="Input Cost Here",ISBLANK(I104)),"Input Cost and Quantity",IF(H104="Input Cost Here","Input Unit Cost",IF(ISBLANK(I104),"Input Quantity","No error"))))),"")</f>
        <v/>
      </c>
      <c r="N104" s="456">
        <f>IF(IFERROR(VLOOKUP(D104,'ITEMS LIST'!A93:B2746,2,TRUE),0)=0,E104,IFERROR(VLOOKUP(D104,'ITEMS LIST'!A93:B2746,2,TRUE),0))</f>
        <v>0</v>
      </c>
    </row>
    <row r="105" spans="3:14">
      <c r="C105" s="807"/>
      <c r="D105" s="800"/>
      <c r="E105" s="800"/>
      <c r="F105" s="800"/>
      <c r="G105" s="801" t="str">
        <f>IF(E105&lt;&gt;"","Input Unit",IFERROR(VLOOKUP(D105,'ITEMS LIST'!$A$2:$D$2655,4,TRUE),""))</f>
        <v/>
      </c>
      <c r="H105" s="803" t="str" cm="1">
        <f t="array" ref="H105">IF(N105&lt;&gt;0,IFERROR(MAX(_xlfn.XLOOKUP(N105&amp;"All Districts",PRICES!$B$2:$B$3684&amp;PRICES!$A$2:$A$3684,PRICES!$H$2:$H$3684),(_xlfn.XLOOKUP(N105&amp;BasicProjectData!$G$18,PRICES!$B$2:$B$3684&amp;PRICES!$A$2:$A$3684,PRICES!$H$2:$H$3684))),"Input Cost Here"),"")</f>
        <v/>
      </c>
      <c r="I105" s="801"/>
      <c r="J105" s="815" t="str">
        <f>IF(N105&gt;0,IF(COUNTIF(OUTPUT!$A$9:$A$145,N105)&gt;0,"Item Already Calculated in "&amp;_xlfn.XLOOKUP(N105,OUTPUT!$A$9:$A$145,OUTPUT!$G$9:$G$145,0,0),IF(AND(H105="Input Cost Here",ISBLANK(I105),G105="Input Unit"),"Input Unit, Cost, &amp; Quantity",IF(AND(H105="Input Cost Here",ISBLANK(I105)),"Input Cost and Quantity",IF(H105="Input Cost Here","Input Unit Cost",IF(ISBLANK(I105),"Input Quantity","No error"))))),"")</f>
        <v/>
      </c>
      <c r="N105" s="456">
        <f>IF(IFERROR(VLOOKUP(D105,'ITEMS LIST'!A94:B2747,2,TRUE),0)=0,E105,IFERROR(VLOOKUP(D105,'ITEMS LIST'!A94:B2747,2,TRUE),0))</f>
        <v>0</v>
      </c>
    </row>
    <row r="106" spans="3:14">
      <c r="C106" s="807"/>
      <c r="D106" s="800"/>
      <c r="E106" s="800"/>
      <c r="F106" s="800"/>
      <c r="G106" s="801" t="str">
        <f>IF(E106&lt;&gt;"","Input Unit",IFERROR(VLOOKUP(D106,'ITEMS LIST'!$A$2:$D$2655,4,TRUE),""))</f>
        <v/>
      </c>
      <c r="H106" s="803" t="str" cm="1">
        <f t="array" ref="H106">IF(N106&lt;&gt;0,IFERROR(MAX(_xlfn.XLOOKUP(N106&amp;"All Districts",PRICES!$B$2:$B$3684&amp;PRICES!$A$2:$A$3684,PRICES!$H$2:$H$3684),(_xlfn.XLOOKUP(N106&amp;BasicProjectData!$G$18,PRICES!$B$2:$B$3684&amp;PRICES!$A$2:$A$3684,PRICES!$H$2:$H$3684))),"Input Cost Here"),"")</f>
        <v/>
      </c>
      <c r="I106" s="801"/>
      <c r="J106" s="815" t="str">
        <f>IF(N106&gt;0,IF(COUNTIF(OUTPUT!$A$9:$A$145,N106)&gt;0,"Item Already Calculated in "&amp;_xlfn.XLOOKUP(N106,OUTPUT!$A$9:$A$145,OUTPUT!$G$9:$G$145,0,0),IF(AND(H106="Input Cost Here",ISBLANK(I106),G106="Input Unit"),"Input Unit, Cost, &amp; Quantity",IF(AND(H106="Input Cost Here",ISBLANK(I106)),"Input Cost and Quantity",IF(H106="Input Cost Here","Input Unit Cost",IF(ISBLANK(I106),"Input Quantity","No error"))))),"")</f>
        <v/>
      </c>
      <c r="N106" s="456">
        <f>IF(IFERROR(VLOOKUP(D106,'ITEMS LIST'!A95:B2748,2,TRUE),0)=0,E106,IFERROR(VLOOKUP(D106,'ITEMS LIST'!A95:B2748,2,TRUE),0))</f>
        <v>0</v>
      </c>
    </row>
    <row r="107" spans="3:14">
      <c r="C107" s="807"/>
      <c r="D107" s="800"/>
      <c r="E107" s="800"/>
      <c r="F107" s="800"/>
      <c r="G107" s="801" t="str">
        <f>IF(E107&lt;&gt;"","Input Unit",IFERROR(VLOOKUP(D107,'ITEMS LIST'!$A$2:$D$2655,4,TRUE),""))</f>
        <v/>
      </c>
      <c r="H107" s="803" t="str" cm="1">
        <f t="array" ref="H107">IF(N107&lt;&gt;0,IFERROR(MAX(_xlfn.XLOOKUP(N107&amp;"All Districts",PRICES!$B$2:$B$3684&amp;PRICES!$A$2:$A$3684,PRICES!$H$2:$H$3684),(_xlfn.XLOOKUP(N107&amp;BasicProjectData!$G$18,PRICES!$B$2:$B$3684&amp;PRICES!$A$2:$A$3684,PRICES!$H$2:$H$3684))),"Input Cost Here"),"")</f>
        <v/>
      </c>
      <c r="I107" s="801"/>
      <c r="J107" s="815" t="str">
        <f>IF(N107&gt;0,IF(COUNTIF(OUTPUT!$A$9:$A$145,N107)&gt;0,"Item Already Calculated in "&amp;_xlfn.XLOOKUP(N107,OUTPUT!$A$9:$A$145,OUTPUT!$G$9:$G$145,0,0),IF(AND(H107="Input Cost Here",ISBLANK(I107),G107="Input Unit"),"Input Unit, Cost, &amp; Quantity",IF(AND(H107="Input Cost Here",ISBLANK(I107)),"Input Cost and Quantity",IF(H107="Input Cost Here","Input Unit Cost",IF(ISBLANK(I107),"Input Quantity","No error"))))),"")</f>
        <v/>
      </c>
      <c r="N107" s="456">
        <f>IF(IFERROR(VLOOKUP(D107,'ITEMS LIST'!A96:B2749,2,TRUE),0)=0,E107,IFERROR(VLOOKUP(D107,'ITEMS LIST'!A96:B2749,2,TRUE),0))</f>
        <v>0</v>
      </c>
    </row>
    <row r="108" spans="3:14">
      <c r="C108" s="807"/>
      <c r="D108" s="800"/>
      <c r="E108" s="800"/>
      <c r="F108" s="800"/>
      <c r="G108" s="801" t="str">
        <f>IF(E108&lt;&gt;"","Input Unit",IFERROR(VLOOKUP(D108,'ITEMS LIST'!$A$2:$D$2655,4,TRUE),""))</f>
        <v/>
      </c>
      <c r="H108" s="803" t="str" cm="1">
        <f t="array" ref="H108">IF(N108&lt;&gt;0,IFERROR(MAX(_xlfn.XLOOKUP(N108&amp;"All Districts",PRICES!$B$2:$B$3684&amp;PRICES!$A$2:$A$3684,PRICES!$H$2:$H$3684),(_xlfn.XLOOKUP(N108&amp;BasicProjectData!$G$18,PRICES!$B$2:$B$3684&amp;PRICES!$A$2:$A$3684,PRICES!$H$2:$H$3684))),"Input Cost Here"),"")</f>
        <v/>
      </c>
      <c r="I108" s="801"/>
      <c r="J108" s="815" t="str">
        <f>IF(N108&gt;0,IF(COUNTIF(OUTPUT!$A$9:$A$145,N108)&gt;0,"Item Already Calculated in "&amp;_xlfn.XLOOKUP(N108,OUTPUT!$A$9:$A$145,OUTPUT!$G$9:$G$145,0,0),IF(AND(H108="Input Cost Here",ISBLANK(I108),G108="Input Unit"),"Input Unit, Cost, &amp; Quantity",IF(AND(H108="Input Cost Here",ISBLANK(I108)),"Input Cost and Quantity",IF(H108="Input Cost Here","Input Unit Cost",IF(ISBLANK(I108),"Input Quantity","No error"))))),"")</f>
        <v/>
      </c>
      <c r="N108" s="456">
        <f>IF(IFERROR(VLOOKUP(D108,'ITEMS LIST'!A97:B2750,2,TRUE),0)=0,E108,IFERROR(VLOOKUP(D108,'ITEMS LIST'!A97:B2750,2,TRUE),0))</f>
        <v>0</v>
      </c>
    </row>
    <row r="109" spans="3:14">
      <c r="C109" s="807"/>
      <c r="D109" s="800"/>
      <c r="E109" s="800"/>
      <c r="F109" s="800"/>
      <c r="G109" s="801" t="str">
        <f>IF(E109&lt;&gt;"","Input Unit",IFERROR(VLOOKUP(D109,'ITEMS LIST'!$A$2:$D$2655,4,TRUE),""))</f>
        <v/>
      </c>
      <c r="H109" s="803" t="str" cm="1">
        <f t="array" ref="H109">IF(N109&lt;&gt;0,IFERROR(MAX(_xlfn.XLOOKUP(N109&amp;"All Districts",PRICES!$B$2:$B$3684&amp;PRICES!$A$2:$A$3684,PRICES!$H$2:$H$3684),(_xlfn.XLOOKUP(N109&amp;BasicProjectData!$G$18,PRICES!$B$2:$B$3684&amp;PRICES!$A$2:$A$3684,PRICES!$H$2:$H$3684))),"Input Cost Here"),"")</f>
        <v/>
      </c>
      <c r="I109" s="801"/>
      <c r="J109" s="815" t="str">
        <f>IF(N109&gt;0,IF(COUNTIF(OUTPUT!$A$9:$A$145,N109)&gt;0,"Item Already Calculated in "&amp;_xlfn.XLOOKUP(N109,OUTPUT!$A$9:$A$145,OUTPUT!$G$9:$G$145,0,0),IF(AND(H109="Input Cost Here",ISBLANK(I109),G109="Input Unit"),"Input Unit, Cost, &amp; Quantity",IF(AND(H109="Input Cost Here",ISBLANK(I109)),"Input Cost and Quantity",IF(H109="Input Cost Here","Input Unit Cost",IF(ISBLANK(I109),"Input Quantity","No error"))))),"")</f>
        <v/>
      </c>
      <c r="N109" s="456">
        <f>IF(IFERROR(VLOOKUP(D109,'ITEMS LIST'!A98:B2751,2,TRUE),0)=0,E109,IFERROR(VLOOKUP(D109,'ITEMS LIST'!A98:B2751,2,TRUE),0))</f>
        <v>0</v>
      </c>
    </row>
    <row r="110" spans="3:14">
      <c r="C110" s="807"/>
      <c r="D110" s="800"/>
      <c r="E110" s="800"/>
      <c r="F110" s="800"/>
      <c r="G110" s="801" t="str">
        <f>IF(E110&lt;&gt;"","Input Unit",IFERROR(VLOOKUP(D110,'ITEMS LIST'!$A$2:$D$2655,4,TRUE),""))</f>
        <v/>
      </c>
      <c r="H110" s="803" t="str" cm="1">
        <f t="array" ref="H110">IF(N110&lt;&gt;0,IFERROR(MAX(_xlfn.XLOOKUP(N110&amp;"All Districts",PRICES!$B$2:$B$3684&amp;PRICES!$A$2:$A$3684,PRICES!$H$2:$H$3684),(_xlfn.XLOOKUP(N110&amp;BasicProjectData!$G$18,PRICES!$B$2:$B$3684&amp;PRICES!$A$2:$A$3684,PRICES!$H$2:$H$3684))),"Input Cost Here"),"")</f>
        <v/>
      </c>
      <c r="I110" s="801"/>
      <c r="J110" s="815" t="str">
        <f>IF(N110&gt;0,IF(COUNTIF(OUTPUT!$A$9:$A$145,N110)&gt;0,"Item Already Calculated in "&amp;_xlfn.XLOOKUP(N110,OUTPUT!$A$9:$A$145,OUTPUT!$G$9:$G$145,0,0),IF(AND(H110="Input Cost Here",ISBLANK(I110),G110="Input Unit"),"Input Unit, Cost, &amp; Quantity",IF(AND(H110="Input Cost Here",ISBLANK(I110)),"Input Cost and Quantity",IF(H110="Input Cost Here","Input Unit Cost",IF(ISBLANK(I110),"Input Quantity","No error"))))),"")</f>
        <v/>
      </c>
      <c r="N110" s="456">
        <f>IF(IFERROR(VLOOKUP(D110,'ITEMS LIST'!A99:B2752,2,TRUE),0)=0,E110,IFERROR(VLOOKUP(D110,'ITEMS LIST'!A99:B2752,2,TRUE),0))</f>
        <v>0</v>
      </c>
    </row>
    <row r="111" spans="3:14">
      <c r="C111" s="807"/>
      <c r="D111" s="800"/>
      <c r="E111" s="800"/>
      <c r="F111" s="800"/>
      <c r="G111" s="801" t="str">
        <f>IF(E111&lt;&gt;"","Input Unit",IFERROR(VLOOKUP(D111,'ITEMS LIST'!$A$2:$D$2655,4,TRUE),""))</f>
        <v/>
      </c>
      <c r="H111" s="803" t="str" cm="1">
        <f t="array" ref="H111">IF(N111&lt;&gt;0,IFERROR(MAX(_xlfn.XLOOKUP(N111&amp;"All Districts",PRICES!$B$2:$B$3684&amp;PRICES!$A$2:$A$3684,PRICES!$H$2:$H$3684),(_xlfn.XLOOKUP(N111&amp;BasicProjectData!$G$18,PRICES!$B$2:$B$3684&amp;PRICES!$A$2:$A$3684,PRICES!$H$2:$H$3684))),"Input Cost Here"),"")</f>
        <v/>
      </c>
      <c r="I111" s="801"/>
      <c r="J111" s="815" t="str">
        <f>IF(N111&gt;0,IF(COUNTIF(OUTPUT!$A$9:$A$145,N111)&gt;0,"Item Already Calculated in "&amp;_xlfn.XLOOKUP(N111,OUTPUT!$A$9:$A$145,OUTPUT!$G$9:$G$145,0,0),IF(AND(H111="Input Cost Here",ISBLANK(I111),G111="Input Unit"),"Input Unit, Cost, &amp; Quantity",IF(AND(H111="Input Cost Here",ISBLANK(I111)),"Input Cost and Quantity",IF(H111="Input Cost Here","Input Unit Cost",IF(ISBLANK(I111),"Input Quantity","No error"))))),"")</f>
        <v/>
      </c>
      <c r="N111" s="456">
        <f>IF(IFERROR(VLOOKUP(D111,'ITEMS LIST'!A100:B2753,2,TRUE),0)=0,E111,IFERROR(VLOOKUP(D111,'ITEMS LIST'!A100:B2753,2,TRUE),0))</f>
        <v>0</v>
      </c>
    </row>
    <row r="112" spans="3:14">
      <c r="C112" s="807"/>
      <c r="D112" s="800"/>
      <c r="E112" s="800"/>
      <c r="F112" s="800"/>
      <c r="G112" s="801" t="str">
        <f>IF(E112&lt;&gt;"","Input Unit",IFERROR(VLOOKUP(D112,'ITEMS LIST'!$A$2:$D$2655,4,TRUE),""))</f>
        <v/>
      </c>
      <c r="H112" s="803" t="str" cm="1">
        <f t="array" ref="H112">IF(N112&lt;&gt;0,IFERROR(MAX(_xlfn.XLOOKUP(N112&amp;"All Districts",PRICES!$B$2:$B$3684&amp;PRICES!$A$2:$A$3684,PRICES!$H$2:$H$3684),(_xlfn.XLOOKUP(N112&amp;BasicProjectData!$G$18,PRICES!$B$2:$B$3684&amp;PRICES!$A$2:$A$3684,PRICES!$H$2:$H$3684))),"Input Cost Here"),"")</f>
        <v/>
      </c>
      <c r="I112" s="801"/>
      <c r="J112" s="815" t="str">
        <f>IF(N112&gt;0,IF(COUNTIF(OUTPUT!$A$9:$A$145,N112)&gt;0,"Item Already Calculated in "&amp;_xlfn.XLOOKUP(N112,OUTPUT!$A$9:$A$145,OUTPUT!$G$9:$G$145,0,0),IF(AND(H112="Input Cost Here",ISBLANK(I112),G112="Input Unit"),"Input Unit, Cost, &amp; Quantity",IF(AND(H112="Input Cost Here",ISBLANK(I112)),"Input Cost and Quantity",IF(H112="Input Cost Here","Input Unit Cost",IF(ISBLANK(I112),"Input Quantity","No error"))))),"")</f>
        <v/>
      </c>
      <c r="N112" s="456">
        <f>IF(IFERROR(VLOOKUP(D112,'ITEMS LIST'!A101:B2754,2,TRUE),0)=0,E112,IFERROR(VLOOKUP(D112,'ITEMS LIST'!A101:B2754,2,TRUE),0))</f>
        <v>0</v>
      </c>
    </row>
    <row r="113" spans="2:14">
      <c r="C113" s="807"/>
      <c r="D113" s="800"/>
      <c r="E113" s="800"/>
      <c r="F113" s="800"/>
      <c r="G113" s="801" t="str">
        <f>IF(E113&lt;&gt;"","Input Unit",IFERROR(VLOOKUP(D113,'ITEMS LIST'!$A$2:$D$2655,4,TRUE),""))</f>
        <v/>
      </c>
      <c r="H113" s="803" t="str" cm="1">
        <f t="array" ref="H113">IF(N113&lt;&gt;0,IFERROR(MAX(_xlfn.XLOOKUP(N113&amp;"All Districts",PRICES!$B$2:$B$3684&amp;PRICES!$A$2:$A$3684,PRICES!$H$2:$H$3684),(_xlfn.XLOOKUP(N113&amp;BasicProjectData!$G$18,PRICES!$B$2:$B$3684&amp;PRICES!$A$2:$A$3684,PRICES!$H$2:$H$3684))),"Input Cost Here"),"")</f>
        <v/>
      </c>
      <c r="I113" s="801"/>
      <c r="J113" s="815" t="str">
        <f>IF(N113&gt;0,IF(COUNTIF(OUTPUT!$A$9:$A$145,N113)&gt;0,"Item Already Calculated in "&amp;_xlfn.XLOOKUP(N113,OUTPUT!$A$9:$A$145,OUTPUT!$G$9:$G$145,0,0),IF(AND(H113="Input Cost Here",ISBLANK(I113),G113="Input Unit"),"Input Unit, Cost, &amp; Quantity",IF(AND(H113="Input Cost Here",ISBLANK(I113)),"Input Cost and Quantity",IF(H113="Input Cost Here","Input Unit Cost",IF(ISBLANK(I113),"Input Quantity","No error"))))),"")</f>
        <v/>
      </c>
      <c r="N113" s="456">
        <f>IF(IFERROR(VLOOKUP(D113,'ITEMS LIST'!A102:B2755,2,TRUE),0)=0,E113,IFERROR(VLOOKUP(D113,'ITEMS LIST'!A102:B2755,2,TRUE),0))</f>
        <v>0</v>
      </c>
    </row>
    <row r="114" spans="2:14" s="463" customFormat="1">
      <c r="B114" s="464"/>
      <c r="C114" s="1056" t="s">
        <v>3725</v>
      </c>
      <c r="D114" s="1056"/>
      <c r="E114" s="1056"/>
      <c r="F114" s="1056"/>
      <c r="G114" s="1056"/>
      <c r="H114" s="1056"/>
      <c r="I114" s="1056"/>
      <c r="J114" s="1056"/>
      <c r="N114" s="465"/>
    </row>
    <row r="115" spans="2:14" s="467" customFormat="1">
      <c r="B115" s="466"/>
      <c r="N115" s="468"/>
    </row>
    <row r="116" spans="2:14" s="467" customFormat="1">
      <c r="B116" s="466"/>
      <c r="N116" s="468"/>
    </row>
    <row r="117" spans="2:14" s="467" customFormat="1">
      <c r="B117" s="466"/>
      <c r="N117" s="468"/>
    </row>
    <row r="118" spans="2:14" s="467" customFormat="1">
      <c r="B118" s="466"/>
      <c r="N118" s="468"/>
    </row>
    <row r="119" spans="2:14" s="467" customFormat="1">
      <c r="B119" s="466"/>
      <c r="N119" s="468"/>
    </row>
    <row r="120" spans="2:14" s="467" customFormat="1">
      <c r="B120" s="466"/>
      <c r="N120" s="468"/>
    </row>
    <row r="121" spans="2:14" s="467" customFormat="1">
      <c r="B121" s="466"/>
      <c r="N121" s="468"/>
    </row>
    <row r="122" spans="2:14" s="467" customFormat="1">
      <c r="B122" s="466"/>
      <c r="N122" s="468"/>
    </row>
    <row r="123" spans="2:14" s="467" customFormat="1">
      <c r="B123" s="466"/>
      <c r="N123" s="468"/>
    </row>
    <row r="124" spans="2:14" s="467" customFormat="1">
      <c r="B124" s="466"/>
      <c r="N124" s="468"/>
    </row>
    <row r="125" spans="2:14" s="467" customFormat="1">
      <c r="B125" s="466"/>
      <c r="N125" s="468"/>
    </row>
    <row r="126" spans="2:14" s="467" customFormat="1">
      <c r="B126" s="466"/>
      <c r="N126" s="468"/>
    </row>
    <row r="127" spans="2:14" s="467" customFormat="1">
      <c r="B127" s="466"/>
      <c r="N127" s="468"/>
    </row>
    <row r="128" spans="2:14" s="467" customFormat="1">
      <c r="B128" s="466"/>
      <c r="N128" s="468"/>
    </row>
    <row r="129" spans="2:14" s="467" customFormat="1">
      <c r="B129" s="466"/>
      <c r="N129" s="468"/>
    </row>
    <row r="130" spans="2:14" s="467" customFormat="1">
      <c r="B130" s="466"/>
      <c r="N130" s="468"/>
    </row>
    <row r="131" spans="2:14" s="467" customFormat="1">
      <c r="B131" s="466"/>
      <c r="N131" s="468"/>
    </row>
    <row r="132" spans="2:14" s="467" customFormat="1">
      <c r="B132" s="466"/>
      <c r="N132" s="468"/>
    </row>
    <row r="133" spans="2:14" s="467" customFormat="1">
      <c r="B133" s="466"/>
      <c r="N133" s="468"/>
    </row>
    <row r="134" spans="2:14" s="467" customFormat="1">
      <c r="B134" s="466"/>
      <c r="N134" s="468"/>
    </row>
    <row r="135" spans="2:14" s="467" customFormat="1">
      <c r="B135" s="466"/>
      <c r="N135" s="468"/>
    </row>
    <row r="136" spans="2:14" s="467" customFormat="1">
      <c r="B136" s="466"/>
      <c r="N136" s="468"/>
    </row>
    <row r="137" spans="2:14" s="467" customFormat="1">
      <c r="B137" s="466"/>
      <c r="N137" s="468"/>
    </row>
    <row r="138" spans="2:14" s="467" customFormat="1">
      <c r="B138" s="466"/>
      <c r="N138" s="468"/>
    </row>
    <row r="139" spans="2:14" s="467" customFormat="1">
      <c r="B139" s="466"/>
      <c r="N139" s="468"/>
    </row>
    <row r="140" spans="2:14" s="467" customFormat="1">
      <c r="B140" s="466"/>
      <c r="N140" s="468"/>
    </row>
    <row r="141" spans="2:14" s="467" customFormat="1">
      <c r="B141" s="466"/>
      <c r="N141" s="468"/>
    </row>
    <row r="142" spans="2:14" s="467" customFormat="1">
      <c r="B142" s="466"/>
      <c r="N142" s="468"/>
    </row>
    <row r="143" spans="2:14" s="467" customFormat="1">
      <c r="B143" s="466"/>
      <c r="N143" s="468"/>
    </row>
    <row r="144" spans="2:14" s="467" customFormat="1">
      <c r="B144" s="466"/>
      <c r="N144" s="468"/>
    </row>
    <row r="145" spans="2:14" s="467" customFormat="1">
      <c r="B145" s="466"/>
      <c r="N145" s="468"/>
    </row>
    <row r="146" spans="2:14" s="467" customFormat="1">
      <c r="B146" s="466"/>
      <c r="N146" s="468"/>
    </row>
    <row r="147" spans="2:14" s="467" customFormat="1">
      <c r="B147" s="466"/>
      <c r="N147" s="468"/>
    </row>
    <row r="148" spans="2:14" s="467" customFormat="1">
      <c r="B148" s="466"/>
      <c r="N148" s="468"/>
    </row>
    <row r="149" spans="2:14" s="467" customFormat="1">
      <c r="B149" s="466"/>
      <c r="N149" s="468"/>
    </row>
    <row r="150" spans="2:14" s="467" customFormat="1">
      <c r="B150" s="466"/>
      <c r="N150" s="468"/>
    </row>
    <row r="151" spans="2:14" s="467" customFormat="1">
      <c r="B151" s="466"/>
      <c r="N151" s="468"/>
    </row>
    <row r="152" spans="2:14" s="467" customFormat="1">
      <c r="B152" s="466"/>
      <c r="N152" s="468"/>
    </row>
  </sheetData>
  <sheetProtection algorithmName="SHA-512" hashValue="JEUqqYAOYPdL5/LtGRroRhs56Iqogut3Y+YoFM/0/g4cZY3p+2rkLhc7PZVLunUM1dZMNStd8AJDDQvABKLDJQ==" saltValue="A2sZ5Pv+J9/bea8szp+t4Q==" spinCount="100000" sheet="1"/>
  <mergeCells count="4">
    <mergeCell ref="B2:K3"/>
    <mergeCell ref="E12:F12"/>
    <mergeCell ref="D8:F8"/>
    <mergeCell ref="D9:F9"/>
  </mergeCells>
  <phoneticPr fontId="7" type="noConversion"/>
  <conditionalFormatting sqref="E13:F113">
    <cfRule type="expression" dxfId="44" priority="2">
      <formula>NOT(ISBLANK($D13))</formula>
    </cfRule>
  </conditionalFormatting>
  <conditionalFormatting sqref="G13:G113">
    <cfRule type="containsText" dxfId="43" priority="3" operator="containsText" text="Input Unit">
      <formula>NOT(ISERROR(SEARCH("Input Unit",G13)))</formula>
    </cfRule>
  </conditionalFormatting>
  <conditionalFormatting sqref="H13:I113">
    <cfRule type="containsText" dxfId="42" priority="9" operator="containsText" text="Input Cost Here">
      <formula>NOT(ISERROR(SEARCH("Input Cost Here",H13)))</formula>
    </cfRule>
  </conditionalFormatting>
  <conditionalFormatting sqref="I13:I113">
    <cfRule type="expression" dxfId="41" priority="10">
      <formula>N13&gt;0</formula>
    </cfRule>
  </conditionalFormatting>
  <dataValidations count="3">
    <dataValidation type="list" allowBlank="1" showInputMessage="1" showErrorMessage="1" sqref="D13:D113" xr:uid="{52246CD6-83A7-40B8-AC9F-00C15E200CB2}">
      <formula1>INDIRECT(C13)</formula1>
    </dataValidation>
    <dataValidation allowBlank="1" showInputMessage="1" showErrorMessage="1" promptTitle="User-Input Category" prompt="For the item that you hope to enter, either select the category of Standard MassDOT Items that it falls within (i.e. Section 200 Drainage for Item 204.1) or select &quot;Other - Non-Standard Bid Item&quot; if a MassDOT Number does not exist for this item." sqref="C12" xr:uid="{12DADAD2-9E0A-4BCB-A4E6-F7679A2FA6A4}"/>
    <dataValidation allowBlank="1" showInputMessage="1" showErrorMessage="1" promptTitle="User-Input Standard Item" prompt="Based on the category selected in the first column, options for MassDOT Standard Items can be chosen in this drop-down to be added to your estimate. If &quot;Other&quot; was chosen, proceed to the next column." sqref="D12" xr:uid="{FC012DED-AF90-4F01-AFD2-E986060A39A4}"/>
  </dataValidations>
  <hyperlinks>
    <hyperlink ref="G8" r:id="rId1" xr:uid="{B71CD9C6-E229-43A3-811A-46851B4DA7FF}"/>
  </hyperlinks>
  <pageMargins left="0.75" right="0.75" top="1" bottom="1" header="0.5" footer="0.5"/>
  <pageSetup scale="53" fitToHeight="0" orientation="portrait" r:id="rId2"/>
  <headerFooter alignWithMargins="0">
    <oddHeader>&amp;C&amp;"Arial,Bold Italic"&amp;20DRAFT - TOOL STILL IN PRODUCTION</oddHeader>
    <oddFooter>&amp;C&amp;"Futura Bk BT,Book"Page &amp;P</oddFooter>
  </headerFooter>
  <ignoredErrors>
    <ignoredError sqref="G13" unlockedFormula="1"/>
  </ignoredErrors>
  <drawing r:id="rId3"/>
  <legacyDrawingHF r:id="rId4"/>
  <extLst>
    <ext xmlns:x14="http://schemas.microsoft.com/office/spreadsheetml/2009/9/main" uri="{78C0D931-6437-407d-A8EE-F0AAD7539E65}">
      <x14:conditionalFormattings>
        <x14:conditionalFormatting xmlns:xm="http://schemas.microsoft.com/office/excel/2006/main">
          <x14:cfRule type="expression" priority="1" id="{799D084E-B82F-4A50-AFD6-7B9E32E5D8D3}">
            <xm:f>C13='ITEMS LIST'!$E$10</xm:f>
            <x14:dxf>
              <fill>
                <patternFill>
                  <bgColor theme="1"/>
                </patternFill>
              </fill>
            </x14:dxf>
          </x14:cfRule>
          <xm:sqref>D13:D113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225839-27F6-46EB-B19D-3C3198DF9033}">
          <x14:formula1>
            <xm:f>'ITEMS LIST'!$E$1:$E$10</xm:f>
          </x14:formula1>
          <xm:sqref>C13:C113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D6267-ECD9-40A8-8D18-DABF749D9533}">
  <sheetPr codeName="Sheet5">
    <tabColor theme="1"/>
    <pageSetUpPr fitToPage="1"/>
  </sheetPr>
  <dimension ref="B1:S38"/>
  <sheetViews>
    <sheetView workbookViewId="0">
      <selection activeCell="O29" sqref="O29"/>
    </sheetView>
  </sheetViews>
  <sheetFormatPr defaultColWidth="9.140625" defaultRowHeight="15"/>
  <cols>
    <col min="1" max="1" width="9" style="40" customWidth="1"/>
    <col min="2" max="2" width="1.7109375" style="40" customWidth="1"/>
    <col min="3" max="3" width="20" style="40" customWidth="1"/>
    <col min="4" max="4" width="8.85546875" style="40" customWidth="1"/>
    <col min="5" max="5" width="10.42578125" style="40" customWidth="1"/>
    <col min="6" max="6" width="11.140625" style="40" customWidth="1"/>
    <col min="7" max="7" width="11.28515625" style="40" customWidth="1"/>
    <col min="8" max="8" width="12.140625" style="40" customWidth="1"/>
    <col min="9" max="9" width="19.7109375" style="40" customWidth="1"/>
    <col min="10" max="10" width="2.28515625" style="40" customWidth="1"/>
    <col min="11" max="11" width="1.7109375" style="40" customWidth="1"/>
    <col min="12" max="16384" width="9.140625" style="40"/>
  </cols>
  <sheetData>
    <row r="1" spans="2:19" ht="15.75" thickBot="1"/>
    <row r="2" spans="2:19" ht="15" customHeight="1" thickBot="1">
      <c r="B2" s="1144" t="s">
        <v>3959</v>
      </c>
      <c r="C2" s="1144"/>
      <c r="D2" s="1144"/>
      <c r="E2" s="1144"/>
      <c r="F2" s="1144"/>
      <c r="G2" s="1144"/>
      <c r="H2" s="1144"/>
      <c r="I2" s="1144"/>
      <c r="J2" s="1144"/>
      <c r="K2" s="1145"/>
    </row>
    <row r="3" spans="2:19" ht="15" customHeight="1" thickBot="1">
      <c r="B3" s="1144"/>
      <c r="C3" s="1144"/>
      <c r="D3" s="1144"/>
      <c r="E3" s="1144"/>
      <c r="F3" s="1144"/>
      <c r="G3" s="1144"/>
      <c r="H3" s="1144"/>
      <c r="I3" s="1144"/>
      <c r="J3" s="1144"/>
      <c r="K3" s="1145"/>
    </row>
    <row r="4" spans="2:19">
      <c r="B4" s="46"/>
      <c r="C4" s="46"/>
      <c r="D4" s="46"/>
      <c r="E4" s="46"/>
      <c r="F4" s="46"/>
      <c r="G4" s="46"/>
      <c r="H4" s="46"/>
      <c r="I4" s="46"/>
      <c r="J4" s="46"/>
      <c r="K4" s="46"/>
    </row>
    <row r="5" spans="2:19" ht="15.75">
      <c r="B5" s="54"/>
      <c r="C5" s="1150" t="s">
        <v>718</v>
      </c>
      <c r="D5" s="1150"/>
      <c r="E5" s="1150"/>
      <c r="F5" s="1150"/>
      <c r="G5" s="1150"/>
      <c r="H5" s="1150"/>
      <c r="I5" s="1150"/>
      <c r="J5" s="1150"/>
      <c r="K5" s="54"/>
    </row>
    <row r="6" spans="2:19">
      <c r="B6" s="54"/>
      <c r="C6" s="55" t="s">
        <v>720</v>
      </c>
      <c r="D6" s="1192">
        <f>BasicProjectData!E7</f>
        <v>0</v>
      </c>
      <c r="E6" s="1192"/>
      <c r="F6" s="1192"/>
      <c r="G6" s="1192"/>
      <c r="H6" s="1192"/>
      <c r="I6" s="1192"/>
      <c r="K6" s="54"/>
    </row>
    <row r="7" spans="2:19">
      <c r="B7" s="54"/>
      <c r="C7" s="55" t="s">
        <v>721</v>
      </c>
      <c r="D7" s="1191">
        <f>BasicProjectData!G17</f>
        <v>0</v>
      </c>
      <c r="E7" s="1192"/>
      <c r="F7" s="1192"/>
      <c r="G7" s="1192"/>
      <c r="H7" s="1192"/>
      <c r="I7" s="1192"/>
      <c r="K7" s="54"/>
      <c r="P7" s="103"/>
      <c r="S7" s="103"/>
    </row>
    <row r="8" spans="2:19">
      <c r="B8" s="197"/>
      <c r="J8" s="38"/>
      <c r="K8" s="54"/>
    </row>
    <row r="9" spans="2:19">
      <c r="B9" s="122"/>
      <c r="C9" s="55" t="s">
        <v>3935</v>
      </c>
      <c r="D9" s="39"/>
      <c r="E9" s="39"/>
      <c r="F9" s="38"/>
      <c r="G9" s="39"/>
      <c r="H9" s="123" t="s">
        <v>3934</v>
      </c>
      <c r="I9" s="39" t="s">
        <v>435</v>
      </c>
      <c r="J9" s="38"/>
      <c r="L9" s="38"/>
    </row>
    <row r="10" spans="2:19">
      <c r="B10" s="197"/>
      <c r="C10" s="816" t="s">
        <v>3870</v>
      </c>
      <c r="D10" s="817" t="s">
        <v>722</v>
      </c>
      <c r="E10" s="818">
        <f>SUM(BasicProjectData!G22:J22)</f>
        <v>0</v>
      </c>
      <c r="F10" s="819"/>
      <c r="G10" s="820"/>
      <c r="H10" s="821" t="s">
        <v>3742</v>
      </c>
      <c r="I10" s="822">
        <f ca="1">CIVIL!K247+EDGING!K176+DRAINAGE!K241</f>
        <v>0</v>
      </c>
      <c r="J10" s="38"/>
      <c r="L10" s="38"/>
    </row>
    <row r="11" spans="2:19">
      <c r="B11" s="122"/>
      <c r="C11" s="823"/>
      <c r="D11" s="824" t="s">
        <v>719</v>
      </c>
      <c r="E11" s="825">
        <f>BasicProjectData!I20</f>
        <v>0</v>
      </c>
      <c r="H11" s="826"/>
      <c r="I11" s="827"/>
      <c r="J11" s="38"/>
      <c r="L11" s="38"/>
    </row>
    <row r="12" spans="2:19">
      <c r="B12" s="197"/>
      <c r="C12" s="828" t="s">
        <v>799</v>
      </c>
      <c r="H12" s="826" t="s">
        <v>1737</v>
      </c>
      <c r="I12" s="829">
        <f>PVMTPRES!K28</f>
        <v>0</v>
      </c>
      <c r="J12" s="38"/>
    </row>
    <row r="13" spans="2:19">
      <c r="B13" s="122"/>
      <c r="C13" s="828"/>
      <c r="H13" s="826"/>
      <c r="I13" s="827"/>
      <c r="J13" s="38"/>
    </row>
    <row r="14" spans="2:19">
      <c r="B14" s="197"/>
      <c r="C14" s="828" t="s">
        <v>700</v>
      </c>
      <c r="D14" s="824" t="s">
        <v>1269</v>
      </c>
      <c r="E14" s="825">
        <f>TrafficControl!I8</f>
        <v>0</v>
      </c>
      <c r="F14" s="824"/>
      <c r="G14" s="38"/>
      <c r="H14" s="826" t="s">
        <v>3933</v>
      </c>
      <c r="I14" s="829">
        <f ca="1">TRAFFIC!K96+SUM(SIGNAL!K9:K23)</f>
        <v>0</v>
      </c>
      <c r="L14" s="38"/>
      <c r="P14" s="103"/>
    </row>
    <row r="15" spans="2:19">
      <c r="B15" s="122"/>
      <c r="C15" s="830"/>
      <c r="D15" s="824" t="s">
        <v>1268</v>
      </c>
      <c r="E15" s="825">
        <f>TrafficControl!I7</f>
        <v>0</v>
      </c>
      <c r="H15" s="826"/>
      <c r="I15" s="827"/>
    </row>
    <row r="16" spans="2:19">
      <c r="B16" s="197"/>
      <c r="C16" s="828" t="s">
        <v>3949</v>
      </c>
      <c r="H16" s="826" t="s">
        <v>3950</v>
      </c>
      <c r="I16" s="829">
        <f ca="1">LIGHTING!K26+AMENITIES!K25</f>
        <v>0</v>
      </c>
      <c r="L16" s="38"/>
    </row>
    <row r="17" spans="2:12">
      <c r="B17" s="197"/>
      <c r="C17" s="830"/>
      <c r="I17" s="827"/>
      <c r="L17" s="64"/>
    </row>
    <row r="18" spans="2:12">
      <c r="B18" s="197"/>
      <c r="C18" s="828" t="s">
        <v>1216</v>
      </c>
      <c r="H18" s="826" t="s">
        <v>3953</v>
      </c>
      <c r="I18" s="829">
        <f>SUMIF(OUTPUT!G9:G216,"MiscItems",OUTPUT!F9:F216)</f>
        <v>0</v>
      </c>
      <c r="L18" s="38"/>
    </row>
    <row r="19" spans="2:12">
      <c r="B19" s="197"/>
      <c r="C19" s="830"/>
      <c r="I19" s="827"/>
      <c r="L19" s="64"/>
    </row>
    <row r="20" spans="2:12">
      <c r="B20" s="197"/>
      <c r="C20" s="831"/>
      <c r="D20" s="832"/>
      <c r="E20" s="833"/>
      <c r="F20" s="834"/>
      <c r="G20" s="835"/>
      <c r="H20" s="836" t="s">
        <v>691</v>
      </c>
      <c r="I20" s="837">
        <f ca="1">SUM(I10:I18)</f>
        <v>0</v>
      </c>
    </row>
    <row r="21" spans="2:12">
      <c r="B21" s="197"/>
      <c r="C21" s="838" t="s">
        <v>694</v>
      </c>
      <c r="D21" s="38"/>
      <c r="E21" s="38"/>
      <c r="F21" s="38"/>
      <c r="G21" s="38"/>
      <c r="H21" s="190"/>
      <c r="I21" s="827"/>
      <c r="J21" s="778"/>
      <c r="L21" s="197"/>
    </row>
    <row r="22" spans="2:12">
      <c r="B22" s="197"/>
      <c r="C22" s="828" t="s">
        <v>1267</v>
      </c>
      <c r="D22" s="839"/>
      <c r="E22" s="38"/>
      <c r="F22" s="38"/>
      <c r="G22" s="864">
        <v>7.0000000000000007E-2</v>
      </c>
      <c r="H22" s="840" t="s">
        <v>701</v>
      </c>
      <c r="I22" s="829">
        <f ca="1">I20*G22</f>
        <v>0</v>
      </c>
      <c r="J22" s="38"/>
      <c r="L22" s="197"/>
    </row>
    <row r="23" spans="2:12">
      <c r="B23" s="197"/>
      <c r="C23" s="714"/>
      <c r="D23" s="97"/>
      <c r="E23" s="841"/>
      <c r="F23" s="38"/>
      <c r="G23" s="865">
        <v>0.2</v>
      </c>
      <c r="H23" s="840" t="s">
        <v>3653</v>
      </c>
      <c r="I23" s="829">
        <f ca="1">I20*G23</f>
        <v>0</v>
      </c>
      <c r="J23" s="38"/>
      <c r="L23" s="102"/>
    </row>
    <row r="24" spans="2:12">
      <c r="B24" s="197"/>
      <c r="C24" s="830"/>
      <c r="I24" s="842"/>
      <c r="L24" s="38"/>
    </row>
    <row r="25" spans="2:12">
      <c r="B25" s="197"/>
      <c r="C25" s="843"/>
      <c r="D25" s="97"/>
      <c r="E25" s="841"/>
      <c r="F25" s="38"/>
      <c r="G25" s="844"/>
      <c r="H25" s="845" t="s">
        <v>3654</v>
      </c>
      <c r="I25" s="846">
        <f ca="1">SUM(I20:I23)</f>
        <v>0</v>
      </c>
      <c r="J25" s="40" t="s">
        <v>706</v>
      </c>
      <c r="L25" s="38"/>
    </row>
    <row r="26" spans="2:12">
      <c r="B26" s="197"/>
      <c r="C26" s="843"/>
      <c r="D26" s="97"/>
      <c r="E26" s="841"/>
      <c r="F26" s="38"/>
      <c r="G26" s="844"/>
      <c r="H26" s="845"/>
      <c r="I26" s="846"/>
      <c r="L26" s="38"/>
    </row>
    <row r="27" spans="2:12" ht="15.75" thickBot="1">
      <c r="B27" s="197"/>
      <c r="C27" s="828" t="s">
        <v>696</v>
      </c>
      <c r="D27" s="38"/>
      <c r="E27" s="51" t="s">
        <v>697</v>
      </c>
      <c r="F27" s="1109">
        <f ca="1">MAX(BasicProjectData!G13,YEAR(TODAY()))</f>
        <v>2024</v>
      </c>
      <c r="G27" s="847"/>
      <c r="H27" s="848"/>
      <c r="I27" s="849"/>
      <c r="J27" s="38"/>
    </row>
    <row r="28" spans="2:12" ht="16.5" thickBot="1">
      <c r="B28" s="197"/>
      <c r="C28" s="830"/>
      <c r="E28" s="51" t="s">
        <v>3991</v>
      </c>
      <c r="F28" s="1110">
        <v>4.4999999999999998E-2</v>
      </c>
      <c r="G28" s="850"/>
      <c r="H28" s="851" t="s">
        <v>725</v>
      </c>
      <c r="I28" s="852">
        <f ca="1">ROUND(I25*(1+F28)^(F27-YEAR(TODAY())),-1)</f>
        <v>0</v>
      </c>
      <c r="J28" s="38"/>
    </row>
    <row r="29" spans="2:12" ht="15.75" customHeight="1">
      <c r="B29" s="197"/>
      <c r="C29" s="853" t="s">
        <v>3992</v>
      </c>
      <c r="H29" s="854"/>
      <c r="I29" s="855"/>
    </row>
    <row r="30" spans="2:12" ht="15.75" customHeight="1">
      <c r="B30" s="197"/>
      <c r="C30" s="856" t="s">
        <v>723</v>
      </c>
      <c r="D30" s="622"/>
      <c r="E30" s="622"/>
      <c r="F30" s="622"/>
      <c r="G30" s="622"/>
      <c r="H30" s="857"/>
      <c r="I30" s="858"/>
    </row>
    <row r="31" spans="2:12">
      <c r="B31" s="122"/>
      <c r="C31" s="838" t="s">
        <v>724</v>
      </c>
      <c r="I31" s="827"/>
      <c r="L31" s="102"/>
    </row>
    <row r="32" spans="2:12">
      <c r="B32" s="197"/>
      <c r="C32" s="828" t="s">
        <v>705</v>
      </c>
      <c r="D32" s="839" t="str">
        <f>IF(DESIGN!E38="Spot Survey Only","Spot Survey Only","Full Topographical Survey Assumed")</f>
        <v>Full Topographical Survey Assumed</v>
      </c>
      <c r="E32" s="38"/>
      <c r="F32" s="38"/>
      <c r="G32" s="38"/>
      <c r="H32" s="840" t="s">
        <v>716</v>
      </c>
      <c r="I32" s="829">
        <f>ROUND(DESIGN!J35,-2)</f>
        <v>0</v>
      </c>
      <c r="J32" s="778"/>
      <c r="L32" s="102"/>
    </row>
    <row r="33" spans="2:12">
      <c r="B33" s="197"/>
      <c r="C33" s="828" t="s">
        <v>695</v>
      </c>
      <c r="D33" s="839" t="str">
        <f>IF(OR(BasicProjectData!I15=HIDDEN!H14,BasicProjectData!I15=HIDDEN!H16),"Estimated design fee based on construction cost","No design fee requested on Basic Project Data tab")</f>
        <v>No design fee requested on Basic Project Data tab</v>
      </c>
      <c r="E33" s="38"/>
      <c r="F33" s="38"/>
      <c r="G33" s="38"/>
      <c r="H33" s="840" t="s">
        <v>698</v>
      </c>
      <c r="I33" s="829">
        <f>DESIGN!J20</f>
        <v>0</v>
      </c>
      <c r="J33" s="38"/>
      <c r="L33" s="102"/>
    </row>
    <row r="34" spans="2:12" ht="15.75" thickBot="1">
      <c r="B34" s="197"/>
      <c r="C34" s="853"/>
      <c r="D34" s="76"/>
      <c r="E34" s="38"/>
      <c r="F34" s="38"/>
      <c r="G34" s="38"/>
      <c r="H34" s="840"/>
      <c r="I34" s="849"/>
      <c r="J34" s="38"/>
      <c r="L34" s="38"/>
    </row>
    <row r="35" spans="2:12" ht="16.5" thickBot="1">
      <c r="B35" s="197"/>
      <c r="C35" s="859"/>
      <c r="D35" s="834"/>
      <c r="E35" s="782"/>
      <c r="F35" s="781"/>
      <c r="G35" s="860"/>
      <c r="H35" s="861" t="s">
        <v>692</v>
      </c>
      <c r="I35" s="852">
        <f ca="1">I28+SUM(I32:I33)</f>
        <v>0</v>
      </c>
      <c r="J35" s="38"/>
    </row>
    <row r="36" spans="2:12" ht="15" customHeight="1">
      <c r="B36" s="197"/>
      <c r="I36" s="862"/>
      <c r="J36" s="778"/>
    </row>
    <row r="37" spans="2:12">
      <c r="B37" s="197"/>
      <c r="C37" s="1190" t="str">
        <f>"Pricing based on MassDOT bid prices exported on "&amp;TEXT(PRICES!M1,"mm/dd/yyyy")</f>
        <v>Pricing based on MassDOT bid prices exported on 06/12/2024</v>
      </c>
      <c r="D37" s="1190"/>
      <c r="E37" s="1190"/>
      <c r="F37" s="1190"/>
      <c r="G37" s="1190"/>
      <c r="H37" s="1190"/>
      <c r="I37" s="1190"/>
      <c r="J37" s="1190"/>
      <c r="L37" s="863"/>
    </row>
    <row r="38" spans="2:12">
      <c r="L38" s="863"/>
    </row>
  </sheetData>
  <sheetProtection algorithmName="SHA-512" hashValue="ShbOFoeBiWfxN4xUkqWYAqk6alBgdQ8eUxsxC8fH9z2Tj+6iOdETtuEbuUUJ+91/7lOTsCIscrqZ0dfs5Tvi0w==" saltValue="YiP1c/C9n0ime+Bs4DNhZg==" spinCount="100000" sheet="1" objects="1" scenarios="1"/>
  <mergeCells count="5">
    <mergeCell ref="C37:J37"/>
    <mergeCell ref="B2:K3"/>
    <mergeCell ref="D7:I7"/>
    <mergeCell ref="C5:J5"/>
    <mergeCell ref="D6:I6"/>
  </mergeCells>
  <conditionalFormatting sqref="D6:I7">
    <cfRule type="containsText" dxfId="40" priority="1" operator="containsText" text="Please Enter">
      <formula>NOT(ISERROR(SEARCH("Please Enter",D6)))</formula>
    </cfRule>
  </conditionalFormatting>
  <dataValidations disablePrompts="1" count="2">
    <dataValidation allowBlank="1" showInputMessage="1" showErrorMessage="1" promptTitle="Contingency" prompt="A contingency typically ranges from 10% - 25% depending on how detailed the cost estimate is and the stage of design. If a project is in an early stage of planning and small items were not estimated, a higher % will provide a more conservative cost." sqref="G23" xr:uid="{FC9854E5-9388-4B5A-B103-C2155FF98637}"/>
    <dataValidation allowBlank="1" showInputMessage="1" showErrorMessage="1" promptTitle="TTCP" prompt="Temporary traffic control costs typicaly range from 5 to 10% of a construction cost. Roadways with heavier traffic volumes and projects that require more significant detours will need a higher %." sqref="G22" xr:uid="{6E2ECB10-2059-4B65-894B-62FDA5EF57DC}"/>
  </dataValidations>
  <pageMargins left="0.75" right="0.75" top="1" bottom="1" header="0.5" footer="0.5"/>
  <pageSetup scale="90" fitToHeight="0" orientation="portrait" r:id="rId1"/>
  <headerFooter alignWithMargins="0">
    <oddFooter>&amp;C&amp;"Futura Bk BT,Book"Page &amp;P</oddFooter>
  </headerFooter>
  <ignoredErrors>
    <ignoredError sqref="D6:D7"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4E19E-EF9A-4A3B-9D9C-37B60C5C4545}">
  <sheetPr codeName="Sheet24">
    <tabColor theme="1"/>
    <pageSetUpPr fitToPage="1"/>
  </sheetPr>
  <dimension ref="A1:L281"/>
  <sheetViews>
    <sheetView workbookViewId="0">
      <selection activeCell="I9" sqref="I9"/>
    </sheetView>
  </sheetViews>
  <sheetFormatPr defaultColWidth="8.85546875" defaultRowHeight="12.75"/>
  <cols>
    <col min="1" max="1" width="8" customWidth="1"/>
    <col min="2" max="2" width="57.42578125" style="28" customWidth="1"/>
    <col min="3" max="3" width="9.28515625" customWidth="1"/>
    <col min="4" max="4" width="9.85546875" customWidth="1"/>
    <col min="5" max="6" width="14.42578125" customWidth="1"/>
    <col min="7" max="7" width="34.42578125" customWidth="1"/>
    <col min="8" max="8" width="14" customWidth="1"/>
    <col min="9" max="9" width="16.28515625" customWidth="1"/>
    <col min="10" max="11" width="12.28515625" customWidth="1"/>
    <col min="12" max="12" width="22.28515625" bestFit="1" customWidth="1"/>
  </cols>
  <sheetData>
    <row r="1" spans="1:12" s="40" customFormat="1" ht="15.75" thickBot="1"/>
    <row r="2" spans="1:12" s="40" customFormat="1" ht="15" customHeight="1">
      <c r="A2" s="1193" t="s">
        <v>3940</v>
      </c>
      <c r="B2" s="1194"/>
      <c r="C2" s="1194"/>
      <c r="D2" s="1194"/>
      <c r="E2" s="1194"/>
      <c r="F2" s="1194"/>
      <c r="G2" s="1195"/>
    </row>
    <row r="3" spans="1:12" s="40" customFormat="1" ht="15" customHeight="1">
      <c r="A3" s="1196"/>
      <c r="B3" s="1197"/>
      <c r="C3" s="1197"/>
      <c r="D3" s="1197"/>
      <c r="E3" s="1197"/>
      <c r="F3" s="1197"/>
      <c r="G3" s="1198"/>
    </row>
    <row r="4" spans="1:12" s="40" customFormat="1" ht="14.25" customHeight="1">
      <c r="A4" s="1199" t="s">
        <v>3941</v>
      </c>
      <c r="B4" s="1200"/>
      <c r="C4" s="1200"/>
      <c r="D4" s="1200"/>
      <c r="E4" s="1200"/>
      <c r="F4" s="1200"/>
      <c r="G4" s="1201"/>
    </row>
    <row r="5" spans="1:12" s="40" customFormat="1" ht="31.5" customHeight="1" thickBot="1">
      <c r="A5" s="1202" t="s">
        <v>3948</v>
      </c>
      <c r="B5" s="1203"/>
      <c r="C5" s="1203"/>
      <c r="D5" s="1203"/>
      <c r="E5" s="1203"/>
      <c r="F5" s="1203"/>
      <c r="G5" s="1204"/>
    </row>
    <row r="6" spans="1:12" s="40" customFormat="1" ht="15">
      <c r="B6" s="46" t="str">
        <f>ProjectSummary!C37</f>
        <v>Pricing based on MassDOT bid prices exported on 06/12/2024</v>
      </c>
      <c r="C6" s="46"/>
      <c r="D6" s="46"/>
      <c r="E6" s="46"/>
      <c r="F6" s="46"/>
      <c r="G6" s="46"/>
    </row>
    <row r="7" spans="1:12" ht="49.5" customHeight="1">
      <c r="A7" s="665" t="s">
        <v>77</v>
      </c>
      <c r="B7" s="677" t="s">
        <v>21</v>
      </c>
      <c r="C7" s="665" t="s">
        <v>57</v>
      </c>
      <c r="D7" s="678" t="s">
        <v>0</v>
      </c>
      <c r="E7" s="665" t="s">
        <v>1552</v>
      </c>
      <c r="F7" s="665" t="s">
        <v>1796</v>
      </c>
      <c r="G7" s="665" t="s">
        <v>836</v>
      </c>
      <c r="H7" s="680" t="s">
        <v>1544</v>
      </c>
      <c r="I7" s="680" t="s">
        <v>3955</v>
      </c>
      <c r="J7" s="680" t="str">
        <f>"Mean Unit Price District "&amp;BasicProjectData!G18</f>
        <v xml:space="preserve">Mean Unit Price District  </v>
      </c>
      <c r="K7" s="680" t="s">
        <v>1555</v>
      </c>
      <c r="L7" s="680" t="s">
        <v>3924</v>
      </c>
    </row>
    <row r="8" spans="1:12" ht="15.75" customHeight="1">
      <c r="A8" s="578"/>
      <c r="B8" s="579" t="s">
        <v>3960</v>
      </c>
      <c r="C8" s="578"/>
      <c r="D8" s="578"/>
      <c r="E8" s="578"/>
      <c r="F8" s="578"/>
      <c r="G8" s="578"/>
      <c r="H8" s="666"/>
      <c r="I8" s="579" t="s">
        <v>3845</v>
      </c>
      <c r="J8" s="578"/>
      <c r="K8" s="578"/>
      <c r="L8" s="679"/>
    </row>
    <row r="9" spans="1:12">
      <c r="A9" s="110" t="str" cm="1">
        <f t="array" aca="1" ref="A9" ca="1">IFERROR(INDEX(OUTPUT!$A$9:'OUTPUT'!$A$247,SMALL(IF(OUTPUT!$F$9:$F$247&lt;&gt;0,MATCH(OUTPUT!$A$9:'OUTPUT'!$A$247,OUTPUT!$A$9:'OUTPUT'!$A$247,0)),ROWS(ProjectEstimate!A$9:A9)),1),"")</f>
        <v/>
      </c>
      <c r="B9" s="111" t="str">
        <f ca="1">_xlfn.IFNA(OFFSET(INDEX(Output[Item '#],MATCH($A9,Output[Item '#],0)),0,1)," ")</f>
        <v xml:space="preserve"> </v>
      </c>
      <c r="C9" s="111" t="str">
        <f ca="1">_xlfn.IFNA(OFFSET(INDEX(Output[Item '#],MATCH($A9,Output[Item '#],0)),0,2)," ")</f>
        <v xml:space="preserve"> </v>
      </c>
      <c r="D9" s="111" t="str">
        <f ca="1">_xlfn.IFNA(OFFSET(INDEX(Output[Item '#],MATCH($A9,Output[Item '#],0)),0,3)," ")</f>
        <v xml:space="preserve"> </v>
      </c>
      <c r="E9" s="659" t="str">
        <f ca="1">_xlfn.IFNA(OFFSET(INDEX(Output[Item '#],MATCH($A9,Output[Item '#],0)),0,4)," ")</f>
        <v xml:space="preserve"> </v>
      </c>
      <c r="F9" s="659" t="str">
        <f ca="1">_xlfn.IFNA(OFFSET(INDEX(Output[Item '#],MATCH($A9,Output[Item '#],0)),0,5)," ")</f>
        <v xml:space="preserve"> </v>
      </c>
      <c r="G9" s="583"/>
      <c r="H9" s="584" t="str">
        <f ca="1">_xlfn.XLOOKUP(A9,OUTPUT!$Y$10:$Y$165,OUTPUT!$Z$10:$Z$165,"MiscItems")</f>
        <v>MiscItems</v>
      </c>
      <c r="I9" s="553" t="str">
        <f ca="1">IFERROR(IF(ISNUMBER( A9),HYPERLINK("#"&amp;$H9&amp;"!A"&amp;MATCH($A9,INDIRECT($H9&amp;"!$C$1:$C$300"),0),CONCATENATE("Go to ",$A9)),HYPERLINK("#'"&amp;$H9&amp;"'!A"&amp;MATCH($A9,INDIRECT("'"&amp;$H9&amp;"'!$C$1:$C$300"),0),CONCATENATE("Go to ",$A9)))," ")</f>
        <v xml:space="preserve"> </v>
      </c>
      <c r="J9" s="113" t="str" cm="1">
        <f t="array" aca="1" ref="J9" ca="1">IFERROR(_xlfn.XLOOKUP($A9&amp;BasicProjectData!$G$18,PRICES!$B$2:$B$3684&amp;PRICES!$A$2:$A$3684,PRICES!$H$2:$H$3684)," ")</f>
        <v xml:space="preserve"> </v>
      </c>
      <c r="K9" s="113" t="str" cm="1">
        <f t="array" aca="1" ref="K9" ca="1">IFERROR(_xlfn.XLOOKUP($A9&amp;"All Districts",PRICES!$B$2:$B$3684&amp;PRICES!$A$2:$A$3684,PRICES!$H$2:$H$3684)," ")</f>
        <v xml:space="preserve"> </v>
      </c>
      <c r="L9" s="556" t="str" cm="1">
        <f t="array" aca="1" ref="L9" ca="1">_xlfn.SWITCH(E9,J9,"District Price",K9,"State Price","Other/User Input/Override")</f>
        <v>District Price</v>
      </c>
    </row>
    <row r="10" spans="1:12">
      <c r="A10" s="110" t="str">
        <f t="array" aca="1" ref="A10" ca="1">IFERROR(INDEX(OUTPUT!$A$9:'OUTPUT'!$A$247,SMALL(IF(OUTPUT!$F$9:$F$247&lt;&gt;0,MATCH(OUTPUT!$A$9:'OUTPUT'!$A$247,OUTPUT!$A$9:'OUTPUT'!$A$247,0)),ROWS(ProjectEstimate!A$9:A10)),1),"")</f>
        <v/>
      </c>
      <c r="B10" s="111" t="str">
        <f ca="1">_xlfn.IFNA(OFFSET(INDEX(Output[Item '#],MATCH($A10,Output[Item '#],0)),0,1)," ")</f>
        <v xml:space="preserve"> </v>
      </c>
      <c r="C10" s="111" t="str">
        <f ca="1">_xlfn.IFNA(OFFSET(INDEX(Output[Item '#],MATCH($A10,Output[Item '#],0)),0,2)," ")</f>
        <v xml:space="preserve"> </v>
      </c>
      <c r="D10" s="111" t="str">
        <f ca="1">_xlfn.IFNA(OFFSET(INDEX(Output[Item '#],MATCH($A10,Output[Item '#],0)),0,3)," ")</f>
        <v xml:space="preserve"> </v>
      </c>
      <c r="E10" s="659" t="str">
        <f ca="1">_xlfn.IFNA(OFFSET(INDEX(Output[Item '#],MATCH($A10,Output[Item '#],0)),0,4)," ")</f>
        <v xml:space="preserve"> </v>
      </c>
      <c r="F10" s="659" t="str">
        <f ca="1">_xlfn.IFNA(OFFSET(INDEX(Output[Item '#],MATCH($A10,Output[Item '#],0)),0,5)," ")</f>
        <v xml:space="preserve"> </v>
      </c>
      <c r="G10" s="582"/>
      <c r="H10" s="584" t="str">
        <f ca="1">_xlfn.XLOOKUP(A10,OUTPUT!$Y$10:$Y$165,OUTPUT!$Z$10:$Z$165,"MiscItems")</f>
        <v>MiscItems</v>
      </c>
      <c r="I10" s="553" t="str">
        <f t="shared" ref="I10:I52" ca="1" si="0">IFERROR(IF(ISNUMBER( A10),HYPERLINK("#"&amp;$H10&amp;"!A"&amp;MATCH($A10,INDIRECT($H10&amp;"!$C$1:$C$300"),0),CONCATENATE("Go to ",$A10)),HYPERLINK("#'"&amp;$H10&amp;"'!A"&amp;MATCH($A10,INDIRECT("'"&amp;$H10&amp;"'!$C$1:$C$300"),0),CONCATENATE("Go to ",$A10)))," ")</f>
        <v xml:space="preserve"> </v>
      </c>
      <c r="J10" s="113" t="str" cm="1">
        <f t="array" aca="1" ref="J10" ca="1">IFERROR(_xlfn.XLOOKUP($A10&amp;BasicProjectData!$G$18,PRICES!$B$2:$B$3684&amp;PRICES!$A$2:$A$3684,PRICES!$H$2:$H$3684)," ")</f>
        <v xml:space="preserve"> </v>
      </c>
      <c r="K10" s="113" t="str" cm="1">
        <f t="array" aca="1" ref="K10" ca="1">IFERROR(_xlfn.XLOOKUP($A10&amp;"All Districts",PRICES!$B$2:$B$3684&amp;PRICES!$A$2:$A$3684,PRICES!$H$2:$H$3684)," ")</f>
        <v xml:space="preserve"> </v>
      </c>
      <c r="L10" s="556" t="str" cm="1">
        <f t="array" aca="1" ref="L10" ca="1">_xlfn.SWITCH(E10,J10,"District Price",K10,"State Price","Other/User Input/Override")</f>
        <v>District Price</v>
      </c>
    </row>
    <row r="11" spans="1:12">
      <c r="A11" s="110" t="str">
        <f t="array" aca="1" ref="A11" ca="1">IFERROR(INDEX(OUTPUT!$A$9:'OUTPUT'!$A$247,SMALL(IF(OUTPUT!$F$9:$F$247&lt;&gt;0,MATCH(OUTPUT!$A$9:'OUTPUT'!$A$247,OUTPUT!$A$9:'OUTPUT'!$A$247,0)),ROWS(ProjectEstimate!A$9:A11)),1),"")</f>
        <v/>
      </c>
      <c r="B11" s="111" t="str">
        <f ca="1">_xlfn.IFNA(OFFSET(INDEX(Output[Item '#],MATCH($A11,Output[Item '#],0)),0,1)," ")</f>
        <v xml:space="preserve"> </v>
      </c>
      <c r="C11" s="111" t="str">
        <f ca="1">_xlfn.IFNA(OFFSET(INDEX(Output[Item '#],MATCH($A11,Output[Item '#],0)),0,2)," ")</f>
        <v xml:space="preserve"> </v>
      </c>
      <c r="D11" s="111" t="str">
        <f ca="1">_xlfn.IFNA(OFFSET(INDEX(Output[Item '#],MATCH($A11,Output[Item '#],0)),0,3)," ")</f>
        <v xml:space="preserve"> </v>
      </c>
      <c r="E11" s="659" t="str">
        <f ca="1">_xlfn.IFNA(OFFSET(INDEX(Output[Item '#],MATCH($A11,Output[Item '#],0)),0,4)," ")</f>
        <v xml:space="preserve"> </v>
      </c>
      <c r="F11" s="659" t="str">
        <f ca="1">_xlfn.IFNA(OFFSET(INDEX(Output[Item '#],MATCH($A11,Output[Item '#],0)),0,5)," ")</f>
        <v xml:space="preserve"> </v>
      </c>
      <c r="G11" s="553"/>
      <c r="H11" s="584" t="str">
        <f ca="1">_xlfn.XLOOKUP(A11,OUTPUT!$Y$10:$Y$165,OUTPUT!$Z$10:$Z$165,"MiscItems")</f>
        <v>MiscItems</v>
      </c>
      <c r="I11" s="553" t="str">
        <f t="shared" ca="1" si="0"/>
        <v xml:space="preserve"> </v>
      </c>
      <c r="J11" s="113" t="str" cm="1">
        <f t="array" aca="1" ref="J11" ca="1">IFERROR(_xlfn.XLOOKUP($A11&amp;BasicProjectData!$G$18,PRICES!$B$2:$B$3684&amp;PRICES!$A$2:$A$3684,PRICES!$H$2:$H$3684)," ")</f>
        <v xml:space="preserve"> </v>
      </c>
      <c r="K11" s="113" t="str" cm="1">
        <f t="array" aca="1" ref="K11" ca="1">IFERROR(_xlfn.XLOOKUP($A11&amp;"All Districts",PRICES!$B$2:$B$3684&amp;PRICES!$A$2:$A$3684,PRICES!$H$2:$H$3684)," ")</f>
        <v xml:space="preserve"> </v>
      </c>
      <c r="L11" s="556" t="str" cm="1">
        <f t="array" aca="1" ref="L11" ca="1">_xlfn.SWITCH(E11,J11,"District Price",K11,"State Price","Other/User Input/Override")</f>
        <v>District Price</v>
      </c>
    </row>
    <row r="12" spans="1:12">
      <c r="A12" s="110" t="str">
        <f t="array" aca="1" ref="A12" ca="1">IFERROR(INDEX(OUTPUT!$A$9:'OUTPUT'!$A$247,SMALL(IF(OUTPUT!$F$9:$F$247&lt;&gt;0,MATCH(OUTPUT!$A$9:'OUTPUT'!$A$247,OUTPUT!$A$9:'OUTPUT'!$A$247,0)),ROWS(ProjectEstimate!A$9:A12)),1),"")</f>
        <v/>
      </c>
      <c r="B12" s="111" t="str">
        <f ca="1">_xlfn.IFNA(OFFSET(INDEX(Output[Item '#],MATCH($A12,Output[Item '#],0)),0,1)," ")</f>
        <v xml:space="preserve"> </v>
      </c>
      <c r="C12" s="111" t="str">
        <f ca="1">_xlfn.IFNA(OFFSET(INDEX(Output[Item '#],MATCH($A12,Output[Item '#],0)),0,2)," ")</f>
        <v xml:space="preserve"> </v>
      </c>
      <c r="D12" s="111" t="str">
        <f ca="1">_xlfn.IFNA(OFFSET(INDEX(Output[Item '#],MATCH($A12,Output[Item '#],0)),0,3)," ")</f>
        <v xml:space="preserve"> </v>
      </c>
      <c r="E12" s="659" t="str">
        <f ca="1">_xlfn.IFNA(OFFSET(INDEX(Output[Item '#],MATCH($A12,Output[Item '#],0)),0,4)," ")</f>
        <v xml:space="preserve"> </v>
      </c>
      <c r="F12" s="659" t="str">
        <f ca="1">_xlfn.IFNA(OFFSET(INDEX(Output[Item '#],MATCH($A12,Output[Item '#],0)),0,5)," ")</f>
        <v xml:space="preserve"> </v>
      </c>
      <c r="G12" s="553"/>
      <c r="H12" s="584" t="str">
        <f ca="1">_xlfn.XLOOKUP(A12,OUTPUT!$Y$10:$Y$165,OUTPUT!$Z$10:$Z$165,"MiscItems")</f>
        <v>MiscItems</v>
      </c>
      <c r="I12" s="553" t="str">
        <f t="shared" ca="1" si="0"/>
        <v xml:space="preserve"> </v>
      </c>
      <c r="J12" s="113" t="str" cm="1">
        <f t="array" aca="1" ref="J12" ca="1">IFERROR(_xlfn.XLOOKUP($A12&amp;BasicProjectData!$G$18,PRICES!$B$2:$B$3684&amp;PRICES!$A$2:$A$3684,PRICES!$H$2:$H$3684)," ")</f>
        <v xml:space="preserve"> </v>
      </c>
      <c r="K12" s="113" t="str" cm="1">
        <f t="array" aca="1" ref="K12" ca="1">IFERROR(_xlfn.XLOOKUP($A12&amp;"All Districts",PRICES!$B$2:$B$3684&amp;PRICES!$A$2:$A$3684,PRICES!$H$2:$H$3684)," ")</f>
        <v xml:space="preserve"> </v>
      </c>
      <c r="L12" s="556" t="str" cm="1">
        <f t="array" aca="1" ref="L12" ca="1">_xlfn.SWITCH(E12,J12,"District Price",K12,"State Price","Other/User Input/Override")</f>
        <v>District Price</v>
      </c>
    </row>
    <row r="13" spans="1:12">
      <c r="A13" s="110" t="str">
        <f t="array" aca="1" ref="A13" ca="1">IFERROR(INDEX(OUTPUT!$A$9:'OUTPUT'!$A$247,SMALL(IF(OUTPUT!$F$9:$F$247&lt;&gt;0,MATCH(OUTPUT!$A$9:'OUTPUT'!$A$247,OUTPUT!$A$9:'OUTPUT'!$A$247,0)),ROWS(ProjectEstimate!A$9:A13)),1),"")</f>
        <v/>
      </c>
      <c r="B13" s="111" t="str">
        <f ca="1">_xlfn.IFNA(OFFSET(INDEX(Output[Item '#],MATCH($A13,Output[Item '#],0)),0,1)," ")</f>
        <v xml:space="preserve"> </v>
      </c>
      <c r="C13" s="111" t="str">
        <f ca="1">_xlfn.IFNA(OFFSET(INDEX(Output[Item '#],MATCH($A13,Output[Item '#],0)),0,2)," ")</f>
        <v xml:space="preserve"> </v>
      </c>
      <c r="D13" s="111" t="str">
        <f ca="1">_xlfn.IFNA(OFFSET(INDEX(Output[Item '#],MATCH($A13,Output[Item '#],0)),0,3)," ")</f>
        <v xml:space="preserve"> </v>
      </c>
      <c r="E13" s="659" t="str">
        <f ca="1">_xlfn.IFNA(OFFSET(INDEX(Output[Item '#],MATCH($A13,Output[Item '#],0)),0,4)," ")</f>
        <v xml:space="preserve"> </v>
      </c>
      <c r="F13" s="659" t="str">
        <f ca="1">_xlfn.IFNA(OFFSET(INDEX(Output[Item '#],MATCH($A13,Output[Item '#],0)),0,5)," ")</f>
        <v xml:space="preserve"> </v>
      </c>
      <c r="G13" s="553"/>
      <c r="H13" s="584" t="str">
        <f ca="1">_xlfn.XLOOKUP(A13,OUTPUT!$Y$10:$Y$165,OUTPUT!$Z$10:$Z$165,"MiscItems")</f>
        <v>MiscItems</v>
      </c>
      <c r="I13" s="553" t="str">
        <f t="shared" ca="1" si="0"/>
        <v xml:space="preserve"> </v>
      </c>
      <c r="J13" s="113" t="str" cm="1">
        <f t="array" aca="1" ref="J13" ca="1">IFERROR(_xlfn.XLOOKUP($A13&amp;BasicProjectData!$G$18,PRICES!$B$2:$B$3684&amp;PRICES!$A$2:$A$3684,PRICES!$H$2:$H$3684)," ")</f>
        <v xml:space="preserve"> </v>
      </c>
      <c r="K13" s="113" t="str" cm="1">
        <f t="array" aca="1" ref="K13" ca="1">IFERROR(_xlfn.XLOOKUP($A13&amp;"All Districts",PRICES!$B$2:$B$3684&amp;PRICES!$A$2:$A$3684,PRICES!$H$2:$H$3684)," ")</f>
        <v xml:space="preserve"> </v>
      </c>
      <c r="L13" s="556" t="str" cm="1">
        <f t="array" aca="1" ref="L13" ca="1">_xlfn.SWITCH(E13,J13,"District Price",K13,"State Price","Other/User Input/Override")</f>
        <v>District Price</v>
      </c>
    </row>
    <row r="14" spans="1:12">
      <c r="A14" s="110" t="str">
        <f t="array" aca="1" ref="A14" ca="1">IFERROR(INDEX(OUTPUT!$A$9:'OUTPUT'!$A$247,SMALL(IF(OUTPUT!$F$9:$F$247&lt;&gt;0,MATCH(OUTPUT!$A$9:'OUTPUT'!$A$247,OUTPUT!$A$9:'OUTPUT'!$A$247,0)),ROWS(ProjectEstimate!A$9:A14)),1),"")</f>
        <v/>
      </c>
      <c r="B14" s="111" t="str">
        <f ca="1">_xlfn.IFNA(OFFSET(INDEX(Output[Item '#],MATCH($A14,Output[Item '#],0)),0,1)," ")</f>
        <v xml:space="preserve"> </v>
      </c>
      <c r="C14" s="111" t="str">
        <f ca="1">_xlfn.IFNA(OFFSET(INDEX(Output[Item '#],MATCH($A14,Output[Item '#],0)),0,2)," ")</f>
        <v xml:space="preserve"> </v>
      </c>
      <c r="D14" s="111" t="str">
        <f ca="1">_xlfn.IFNA(OFFSET(INDEX(Output[Item '#],MATCH($A14,Output[Item '#],0)),0,3)," ")</f>
        <v xml:space="preserve"> </v>
      </c>
      <c r="E14" s="659" t="str">
        <f ca="1">_xlfn.IFNA(OFFSET(INDEX(Output[Item '#],MATCH($A14,Output[Item '#],0)),0,4)," ")</f>
        <v xml:space="preserve"> </v>
      </c>
      <c r="F14" s="659" t="str">
        <f ca="1">_xlfn.IFNA(OFFSET(INDEX(Output[Item '#],MATCH($A14,Output[Item '#],0)),0,5)," ")</f>
        <v xml:space="preserve"> </v>
      </c>
      <c r="G14" s="553"/>
      <c r="H14" s="584" t="str">
        <f ca="1">_xlfn.XLOOKUP(A14,OUTPUT!$Y$10:$Y$165,OUTPUT!$Z$10:$Z$165,"MiscItems")</f>
        <v>MiscItems</v>
      </c>
      <c r="I14" s="553" t="str">
        <f t="shared" ca="1" si="0"/>
        <v xml:space="preserve"> </v>
      </c>
      <c r="J14" s="113" t="str" cm="1">
        <f t="array" aca="1" ref="J14" ca="1">IFERROR(_xlfn.XLOOKUP($A14&amp;BasicProjectData!$G$18,PRICES!$B$2:$B$3684&amp;PRICES!$A$2:$A$3684,PRICES!$H$2:$H$3684)," ")</f>
        <v xml:space="preserve"> </v>
      </c>
      <c r="K14" s="113" t="str" cm="1">
        <f t="array" aca="1" ref="K14" ca="1">IFERROR(_xlfn.XLOOKUP($A14&amp;"All Districts",PRICES!$B$2:$B$3684&amp;PRICES!$A$2:$A$3684,PRICES!$H$2:$H$3684)," ")</f>
        <v xml:space="preserve"> </v>
      </c>
      <c r="L14" s="556" t="str" cm="1">
        <f t="array" aca="1" ref="L14" ca="1">_xlfn.SWITCH(E14,J14,"District Price",K14,"State Price","Other/User Input/Override")</f>
        <v>District Price</v>
      </c>
    </row>
    <row r="15" spans="1:12">
      <c r="A15" s="110" t="str">
        <f t="array" aca="1" ref="A15" ca="1">IFERROR(INDEX(OUTPUT!$A$9:'OUTPUT'!$A$247,SMALL(IF(OUTPUT!$F$9:$F$247&lt;&gt;0,MATCH(OUTPUT!$A$9:'OUTPUT'!$A$247,OUTPUT!$A$9:'OUTPUT'!$A$247,0)),ROWS(ProjectEstimate!A$9:A15)),1),"")</f>
        <v/>
      </c>
      <c r="B15" s="111" t="str">
        <f ca="1">_xlfn.IFNA(OFFSET(INDEX(Output[Item '#],MATCH($A15,Output[Item '#],0)),0,1)," ")</f>
        <v xml:space="preserve"> </v>
      </c>
      <c r="C15" s="111" t="str">
        <f ca="1">_xlfn.IFNA(OFFSET(INDEX(Output[Item '#],MATCH($A15,Output[Item '#],0)),0,2)," ")</f>
        <v xml:space="preserve"> </v>
      </c>
      <c r="D15" s="111" t="str">
        <f ca="1">_xlfn.IFNA(OFFSET(INDEX(Output[Item '#],MATCH($A15,Output[Item '#],0)),0,3)," ")</f>
        <v xml:space="preserve"> </v>
      </c>
      <c r="E15" s="659" t="str">
        <f ca="1">_xlfn.IFNA(OFFSET(INDEX(Output[Item '#],MATCH($A15,Output[Item '#],0)),0,4)," ")</f>
        <v xml:space="preserve"> </v>
      </c>
      <c r="F15" s="659" t="str">
        <f ca="1">_xlfn.IFNA(OFFSET(INDEX(Output[Item '#],MATCH($A15,Output[Item '#],0)),0,5)," ")</f>
        <v xml:space="preserve"> </v>
      </c>
      <c r="G15" s="121"/>
      <c r="H15" s="584" t="str">
        <f ca="1">_xlfn.XLOOKUP(A15,OUTPUT!$Y$10:$Y$165,OUTPUT!$Z$10:$Z$165,"MiscItems")</f>
        <v>MiscItems</v>
      </c>
      <c r="I15" s="553" t="str">
        <f t="shared" ca="1" si="0"/>
        <v xml:space="preserve"> </v>
      </c>
      <c r="J15" s="113" t="str" cm="1">
        <f t="array" aca="1" ref="J15" ca="1">IFERROR(_xlfn.XLOOKUP($A15&amp;BasicProjectData!$G$18,PRICES!$B$2:$B$3684&amp;PRICES!$A$2:$A$3684,PRICES!$H$2:$H$3684)," ")</f>
        <v xml:space="preserve"> </v>
      </c>
      <c r="K15" s="113" t="str" cm="1">
        <f t="array" aca="1" ref="K15" ca="1">IFERROR(_xlfn.XLOOKUP($A15&amp;"All Districts",PRICES!$B$2:$B$3684&amp;PRICES!$A$2:$A$3684,PRICES!$H$2:$H$3684)," ")</f>
        <v xml:space="preserve"> </v>
      </c>
      <c r="L15" s="556" t="str" cm="1">
        <f t="array" aca="1" ref="L15" ca="1">_xlfn.SWITCH(E15,J15,"District Price",K15,"State Price","Other/User Input/Override")</f>
        <v>District Price</v>
      </c>
    </row>
    <row r="16" spans="1:12">
      <c r="A16" s="110" t="str">
        <f t="array" aca="1" ref="A16" ca="1">IFERROR(INDEX(OUTPUT!$A$9:'OUTPUT'!$A$247,SMALL(IF(OUTPUT!$F$9:$F$247&lt;&gt;0,MATCH(OUTPUT!$A$9:'OUTPUT'!$A$247,OUTPUT!$A$9:'OUTPUT'!$A$247,0)),ROWS(ProjectEstimate!A$9:A16)),1),"")</f>
        <v/>
      </c>
      <c r="B16" s="111" t="str">
        <f ca="1">_xlfn.IFNA(OFFSET(INDEX(Output[Item '#],MATCH($A16,Output[Item '#],0)),0,1)," ")</f>
        <v xml:space="preserve"> </v>
      </c>
      <c r="C16" s="111" t="str">
        <f ca="1">_xlfn.IFNA(OFFSET(INDEX(Output[Item '#],MATCH($A16,Output[Item '#],0)),0,2)," ")</f>
        <v xml:space="preserve"> </v>
      </c>
      <c r="D16" s="111" t="str">
        <f ca="1">_xlfn.IFNA(OFFSET(INDEX(Output[Item '#],MATCH($A16,Output[Item '#],0)),0,3)," ")</f>
        <v xml:space="preserve"> </v>
      </c>
      <c r="E16" s="659" t="str">
        <f ca="1">_xlfn.IFNA(OFFSET(INDEX(Output[Item '#],MATCH($A16,Output[Item '#],0)),0,4)," ")</f>
        <v xml:space="preserve"> </v>
      </c>
      <c r="F16" s="659" t="str">
        <f ca="1">_xlfn.IFNA(OFFSET(INDEX(Output[Item '#],MATCH($A16,Output[Item '#],0)),0,5)," ")</f>
        <v xml:space="preserve"> </v>
      </c>
      <c r="G16" s="121"/>
      <c r="H16" s="584" t="str">
        <f ca="1">_xlfn.XLOOKUP(A16,OUTPUT!$Y$10:$Y$165,OUTPUT!$Z$10:$Z$165,"MiscItems")</f>
        <v>MiscItems</v>
      </c>
      <c r="I16" s="553" t="str">
        <f t="shared" ca="1" si="0"/>
        <v xml:space="preserve"> </v>
      </c>
      <c r="J16" s="113" t="str" cm="1">
        <f t="array" aca="1" ref="J16" ca="1">IFERROR(_xlfn.XLOOKUP($A16&amp;BasicProjectData!$G$18,PRICES!$B$2:$B$3684&amp;PRICES!$A$2:$A$3684,PRICES!$H$2:$H$3684)," ")</f>
        <v xml:space="preserve"> </v>
      </c>
      <c r="K16" s="113" t="str" cm="1">
        <f t="array" aca="1" ref="K16" ca="1">IFERROR(_xlfn.XLOOKUP($A16&amp;"All Districts",PRICES!$B$2:$B$3684&amp;PRICES!$A$2:$A$3684,PRICES!$H$2:$H$3684)," ")</f>
        <v xml:space="preserve"> </v>
      </c>
      <c r="L16" s="556" t="str" cm="1">
        <f t="array" aca="1" ref="L16" ca="1">_xlfn.SWITCH(E16,J16,"District Price",K16,"State Price","Other/User Input/Override")</f>
        <v>District Price</v>
      </c>
    </row>
    <row r="17" spans="1:12">
      <c r="A17" s="110" t="str">
        <f t="array" aca="1" ref="A17" ca="1">IFERROR(INDEX(OUTPUT!$A$9:'OUTPUT'!$A$247,SMALL(IF(OUTPUT!$F$9:$F$247&lt;&gt;0,MATCH(OUTPUT!$A$9:'OUTPUT'!$A$247,OUTPUT!$A$9:'OUTPUT'!$A$247,0)),ROWS(ProjectEstimate!A$9:A17)),1),"")</f>
        <v/>
      </c>
      <c r="B17" s="111" t="str">
        <f ca="1">_xlfn.IFNA(OFFSET(INDEX(Output[Item '#],MATCH($A17,Output[Item '#],0)),0,1)," ")</f>
        <v xml:space="preserve"> </v>
      </c>
      <c r="C17" s="111" t="str">
        <f ca="1">_xlfn.IFNA(OFFSET(INDEX(Output[Item '#],MATCH($A17,Output[Item '#],0)),0,2)," ")</f>
        <v xml:space="preserve"> </v>
      </c>
      <c r="D17" s="111" t="str">
        <f ca="1">_xlfn.IFNA(OFFSET(INDEX(Output[Item '#],MATCH($A17,Output[Item '#],0)),0,3)," ")</f>
        <v xml:space="preserve"> </v>
      </c>
      <c r="E17" s="659" t="str">
        <f ca="1">_xlfn.IFNA(OFFSET(INDEX(Output[Item '#],MATCH($A17,Output[Item '#],0)),0,4)," ")</f>
        <v xml:space="preserve"> </v>
      </c>
      <c r="F17" s="659" t="str">
        <f ca="1">_xlfn.IFNA(OFFSET(INDEX(Output[Item '#],MATCH($A17,Output[Item '#],0)),0,5)," ")</f>
        <v xml:space="preserve"> </v>
      </c>
      <c r="G17" s="121"/>
      <c r="H17" s="584" t="str">
        <f ca="1">_xlfn.XLOOKUP(A17,OUTPUT!$Y$10:$Y$165,OUTPUT!$Z$10:$Z$165,"MiscItems")</f>
        <v>MiscItems</v>
      </c>
      <c r="I17" s="553" t="str">
        <f t="shared" ca="1" si="0"/>
        <v xml:space="preserve"> </v>
      </c>
      <c r="J17" s="113" t="str" cm="1">
        <f t="array" aca="1" ref="J17" ca="1">IFERROR(_xlfn.XLOOKUP($A17&amp;BasicProjectData!$G$18,PRICES!$B$2:$B$3684&amp;PRICES!$A$2:$A$3684,PRICES!$H$2:$H$3684)," ")</f>
        <v xml:space="preserve"> </v>
      </c>
      <c r="K17" s="113" t="str" cm="1">
        <f t="array" aca="1" ref="K17" ca="1">IFERROR(_xlfn.XLOOKUP($A17&amp;"All Districts",PRICES!$B$2:$B$3684&amp;PRICES!$A$2:$A$3684,PRICES!$H$2:$H$3684)," ")</f>
        <v xml:space="preserve"> </v>
      </c>
      <c r="L17" s="556" t="str" cm="1">
        <f t="array" aca="1" ref="L17" ca="1">_xlfn.SWITCH(E17,J17,"District Price",K17,"State Price","Other/User Input/Override")</f>
        <v>District Price</v>
      </c>
    </row>
    <row r="18" spans="1:12">
      <c r="A18" s="110" t="str">
        <f t="array" aca="1" ref="A18" ca="1">IFERROR(INDEX(OUTPUT!$A$9:'OUTPUT'!$A$247,SMALL(IF(OUTPUT!$F$9:$F$247&lt;&gt;0,MATCH(OUTPUT!$A$9:'OUTPUT'!$A$247,OUTPUT!$A$9:'OUTPUT'!$A$247,0)),ROWS(ProjectEstimate!A$9:A18)),1),"")</f>
        <v/>
      </c>
      <c r="B18" s="111" t="str">
        <f ca="1">_xlfn.IFNA(OFFSET(INDEX(Output[Item '#],MATCH($A18,Output[Item '#],0)),0,1)," ")</f>
        <v xml:space="preserve"> </v>
      </c>
      <c r="C18" s="111" t="str">
        <f ca="1">_xlfn.IFNA(OFFSET(INDEX(Output[Item '#],MATCH($A18,Output[Item '#],0)),0,2)," ")</f>
        <v xml:space="preserve"> </v>
      </c>
      <c r="D18" s="111" t="str">
        <f ca="1">_xlfn.IFNA(OFFSET(INDEX(Output[Item '#],MATCH($A18,Output[Item '#],0)),0,3)," ")</f>
        <v xml:space="preserve"> </v>
      </c>
      <c r="E18" s="659" t="str">
        <f ca="1">_xlfn.IFNA(OFFSET(INDEX(Output[Item '#],MATCH($A18,Output[Item '#],0)),0,4)," ")</f>
        <v xml:space="preserve"> </v>
      </c>
      <c r="F18" s="659" t="str">
        <f ca="1">_xlfn.IFNA(OFFSET(INDEX(Output[Item '#],MATCH($A18,Output[Item '#],0)),0,5)," ")</f>
        <v xml:space="preserve"> </v>
      </c>
      <c r="G18" s="121"/>
      <c r="H18" s="584" t="str">
        <f ca="1">_xlfn.XLOOKUP(A18,OUTPUT!$Y$10:$Y$165,OUTPUT!$Z$10:$Z$165,"MiscItems")</f>
        <v>MiscItems</v>
      </c>
      <c r="I18" s="553" t="str">
        <f t="shared" ca="1" si="0"/>
        <v xml:space="preserve"> </v>
      </c>
      <c r="J18" s="113" t="str" cm="1">
        <f t="array" aca="1" ref="J18" ca="1">IFERROR(_xlfn.XLOOKUP($A18&amp;BasicProjectData!$G$18,PRICES!$B$2:$B$3684&amp;PRICES!$A$2:$A$3684,PRICES!$H$2:$H$3684)," ")</f>
        <v xml:space="preserve"> </v>
      </c>
      <c r="K18" s="113" t="str" cm="1">
        <f t="array" aca="1" ref="K18" ca="1">IFERROR(_xlfn.XLOOKUP($A18&amp;"All Districts",PRICES!$B$2:$B$3684&amp;PRICES!$A$2:$A$3684,PRICES!$H$2:$H$3684)," ")</f>
        <v xml:space="preserve"> </v>
      </c>
      <c r="L18" s="556" t="str" cm="1">
        <f t="array" aca="1" ref="L18" ca="1">_xlfn.SWITCH(E18,J18,"District Price",K18,"State Price","Other/User Input/Override")</f>
        <v>District Price</v>
      </c>
    </row>
    <row r="19" spans="1:12">
      <c r="A19" s="110" t="str">
        <f t="array" aca="1" ref="A19" ca="1">IFERROR(INDEX(OUTPUT!$A$9:'OUTPUT'!$A$247,SMALL(IF(OUTPUT!$F$9:$F$247&lt;&gt;0,MATCH(OUTPUT!$A$9:'OUTPUT'!$A$247,OUTPUT!$A$9:'OUTPUT'!$A$247,0)),ROWS(ProjectEstimate!A$9:A19)),1),"")</f>
        <v/>
      </c>
      <c r="B19" s="111" t="str">
        <f ca="1">_xlfn.IFNA(OFFSET(INDEX(Output[Item '#],MATCH($A19,Output[Item '#],0)),0,1)," ")</f>
        <v xml:space="preserve"> </v>
      </c>
      <c r="C19" s="111" t="str">
        <f ca="1">_xlfn.IFNA(OFFSET(INDEX(Output[Item '#],MATCH($A19,Output[Item '#],0)),0,2)," ")</f>
        <v xml:space="preserve"> </v>
      </c>
      <c r="D19" s="111" t="str">
        <f ca="1">_xlfn.IFNA(OFFSET(INDEX(Output[Item '#],MATCH($A19,Output[Item '#],0)),0,3)," ")</f>
        <v xml:space="preserve"> </v>
      </c>
      <c r="E19" s="659" t="str">
        <f ca="1">_xlfn.IFNA(OFFSET(INDEX(Output[Item '#],MATCH($A19,Output[Item '#],0)),0,4)," ")</f>
        <v xml:space="preserve"> </v>
      </c>
      <c r="F19" s="659" t="str">
        <f ca="1">_xlfn.IFNA(OFFSET(INDEX(Output[Item '#],MATCH($A19,Output[Item '#],0)),0,5)," ")</f>
        <v xml:space="preserve"> </v>
      </c>
      <c r="G19" s="121"/>
      <c r="H19" s="584" t="str">
        <f ca="1">_xlfn.XLOOKUP(A19,OUTPUT!$Y$10:$Y$165,OUTPUT!$Z$10:$Z$165,"MiscItems")</f>
        <v>MiscItems</v>
      </c>
      <c r="I19" s="553" t="str">
        <f t="shared" ca="1" si="0"/>
        <v xml:space="preserve"> </v>
      </c>
      <c r="J19" s="113" t="str" cm="1">
        <f t="array" aca="1" ref="J19" ca="1">IFERROR(_xlfn.XLOOKUP($A19&amp;BasicProjectData!$G$18,PRICES!$B$2:$B$3684&amp;PRICES!$A$2:$A$3684,PRICES!$H$2:$H$3684)," ")</f>
        <v xml:space="preserve"> </v>
      </c>
      <c r="K19" s="113" t="str" cm="1">
        <f t="array" aca="1" ref="K19" ca="1">IFERROR(_xlfn.XLOOKUP($A19&amp;"All Districts",PRICES!$B$2:$B$3684&amp;PRICES!$A$2:$A$3684,PRICES!$H$2:$H$3684)," ")</f>
        <v xml:space="preserve"> </v>
      </c>
      <c r="L19" s="556" t="str" cm="1">
        <f t="array" aca="1" ref="L19" ca="1">_xlfn.SWITCH(E19,J19,"District Price",K19,"State Price","Other/User Input/Override")</f>
        <v>District Price</v>
      </c>
    </row>
    <row r="20" spans="1:12">
      <c r="A20" s="110" t="str">
        <f t="array" aca="1" ref="A20" ca="1">IFERROR(INDEX(OUTPUT!$A$9:'OUTPUT'!$A$247,SMALL(IF(OUTPUT!$F$9:$F$247&lt;&gt;0,MATCH(OUTPUT!$A$9:'OUTPUT'!$A$247,OUTPUT!$A$9:'OUTPUT'!$A$247,0)),ROWS(ProjectEstimate!A$9:A20)),1),"")</f>
        <v/>
      </c>
      <c r="B20" s="111" t="str">
        <f ca="1">_xlfn.IFNA(OFFSET(INDEX(Output[Item '#],MATCH($A20,Output[Item '#],0)),0,1)," ")</f>
        <v xml:space="preserve"> </v>
      </c>
      <c r="C20" s="111" t="str">
        <f ca="1">_xlfn.IFNA(OFFSET(INDEX(Output[Item '#],MATCH($A20,Output[Item '#],0)),0,2)," ")</f>
        <v xml:space="preserve"> </v>
      </c>
      <c r="D20" s="111" t="str">
        <f ca="1">_xlfn.IFNA(OFFSET(INDEX(Output[Item '#],MATCH($A20,Output[Item '#],0)),0,3)," ")</f>
        <v xml:space="preserve"> </v>
      </c>
      <c r="E20" s="659" t="str">
        <f ca="1">_xlfn.IFNA(OFFSET(INDEX(Output[Item '#],MATCH($A20,Output[Item '#],0)),0,4)," ")</f>
        <v xml:space="preserve"> </v>
      </c>
      <c r="F20" s="659" t="str">
        <f ca="1">_xlfn.IFNA(OFFSET(INDEX(Output[Item '#],MATCH($A20,Output[Item '#],0)),0,5)," ")</f>
        <v xml:space="preserve"> </v>
      </c>
      <c r="G20" s="121"/>
      <c r="H20" s="584" t="str">
        <f ca="1">_xlfn.XLOOKUP(A20,OUTPUT!$Y$10:$Y$165,OUTPUT!$Z$10:$Z$165,"MiscItems")</f>
        <v>MiscItems</v>
      </c>
      <c r="I20" s="553" t="str">
        <f t="shared" ca="1" si="0"/>
        <v xml:space="preserve"> </v>
      </c>
      <c r="J20" s="113" t="str" cm="1">
        <f t="array" aca="1" ref="J20" ca="1">IFERROR(_xlfn.XLOOKUP($A20&amp;BasicProjectData!$G$18,PRICES!$B$2:$B$3684&amp;PRICES!$A$2:$A$3684,PRICES!$H$2:$H$3684)," ")</f>
        <v xml:space="preserve"> </v>
      </c>
      <c r="K20" s="113" t="str" cm="1">
        <f t="array" aca="1" ref="K20" ca="1">IFERROR(_xlfn.XLOOKUP($A20&amp;"All Districts",PRICES!$B$2:$B$3684&amp;PRICES!$A$2:$A$3684,PRICES!$H$2:$H$3684)," ")</f>
        <v xml:space="preserve"> </v>
      </c>
      <c r="L20" s="556" t="str" cm="1">
        <f t="array" aca="1" ref="L20" ca="1">_xlfn.SWITCH(E20,J20,"District Price",K20,"State Price","Other/User Input/Override")</f>
        <v>District Price</v>
      </c>
    </row>
    <row r="21" spans="1:12">
      <c r="A21" s="110" t="str">
        <f t="array" aca="1" ref="A21" ca="1">IFERROR(INDEX(OUTPUT!$A$9:'OUTPUT'!$A$247,SMALL(IF(OUTPUT!$F$9:$F$247&lt;&gt;0,MATCH(OUTPUT!$A$9:'OUTPUT'!$A$247,OUTPUT!$A$9:'OUTPUT'!$A$247,0)),ROWS(ProjectEstimate!A$9:A21)),1),"")</f>
        <v/>
      </c>
      <c r="B21" s="111" t="str">
        <f ca="1">_xlfn.IFNA(OFFSET(INDEX(Output[Item '#],MATCH($A21,Output[Item '#],0)),0,1)," ")</f>
        <v xml:space="preserve"> </v>
      </c>
      <c r="C21" s="111" t="str">
        <f ca="1">_xlfn.IFNA(OFFSET(INDEX(Output[Item '#],MATCH($A21,Output[Item '#],0)),0,2)," ")</f>
        <v xml:space="preserve"> </v>
      </c>
      <c r="D21" s="111" t="str">
        <f ca="1">_xlfn.IFNA(OFFSET(INDEX(Output[Item '#],MATCH($A21,Output[Item '#],0)),0,3)," ")</f>
        <v xml:space="preserve"> </v>
      </c>
      <c r="E21" s="659" t="str">
        <f ca="1">_xlfn.IFNA(OFFSET(INDEX(Output[Item '#],MATCH($A21,Output[Item '#],0)),0,4)," ")</f>
        <v xml:space="preserve"> </v>
      </c>
      <c r="F21" s="659" t="str">
        <f ca="1">_xlfn.IFNA(OFFSET(INDEX(Output[Item '#],MATCH($A21,Output[Item '#],0)),0,5)," ")</f>
        <v xml:space="preserve"> </v>
      </c>
      <c r="G21" s="121"/>
      <c r="H21" s="584" t="str">
        <f ca="1">_xlfn.XLOOKUP(A21,OUTPUT!$Y$10:$Y$165,OUTPUT!$Z$10:$Z$165,"MiscItems")</f>
        <v>MiscItems</v>
      </c>
      <c r="I21" s="553" t="str">
        <f t="shared" ca="1" si="0"/>
        <v xml:space="preserve"> </v>
      </c>
      <c r="J21" s="113" t="str" cm="1">
        <f t="array" aca="1" ref="J21" ca="1">IFERROR(_xlfn.XLOOKUP($A21&amp;BasicProjectData!$G$18,PRICES!$B$2:$B$3684&amp;PRICES!$A$2:$A$3684,PRICES!$H$2:$H$3684)," ")</f>
        <v xml:space="preserve"> </v>
      </c>
      <c r="K21" s="113" t="str" cm="1">
        <f t="array" aca="1" ref="K21" ca="1">IFERROR(_xlfn.XLOOKUP($A21&amp;"All Districts",PRICES!$B$2:$B$3684&amp;PRICES!$A$2:$A$3684,PRICES!$H$2:$H$3684)," ")</f>
        <v xml:space="preserve"> </v>
      </c>
      <c r="L21" s="556" t="str" cm="1">
        <f t="array" aca="1" ref="L21" ca="1">_xlfn.SWITCH(E21,J21,"District Price",K21,"State Price","Other/User Input/Override")</f>
        <v>District Price</v>
      </c>
    </row>
    <row r="22" spans="1:12">
      <c r="A22" s="110" t="str">
        <f t="array" aca="1" ref="A22" ca="1">IFERROR(INDEX(OUTPUT!$A$9:'OUTPUT'!$A$247,SMALL(IF(OUTPUT!$F$9:$F$247&lt;&gt;0,MATCH(OUTPUT!$A$9:'OUTPUT'!$A$247,OUTPUT!$A$9:'OUTPUT'!$A$247,0)),ROWS(ProjectEstimate!A$9:A22)),1),"")</f>
        <v/>
      </c>
      <c r="B22" s="111" t="str">
        <f ca="1">_xlfn.IFNA(OFFSET(INDEX(Output[Item '#],MATCH($A22,Output[Item '#],0)),0,1)," ")</f>
        <v xml:space="preserve"> </v>
      </c>
      <c r="C22" s="111" t="str">
        <f ca="1">_xlfn.IFNA(OFFSET(INDEX(Output[Item '#],MATCH($A22,Output[Item '#],0)),0,2)," ")</f>
        <v xml:space="preserve"> </v>
      </c>
      <c r="D22" s="111" t="str">
        <f ca="1">_xlfn.IFNA(OFFSET(INDEX(Output[Item '#],MATCH($A22,Output[Item '#],0)),0,3)," ")</f>
        <v xml:space="preserve"> </v>
      </c>
      <c r="E22" s="659" t="str">
        <f ca="1">_xlfn.IFNA(OFFSET(INDEX(Output[Item '#],MATCH($A22,Output[Item '#],0)),0,4)," ")</f>
        <v xml:space="preserve"> </v>
      </c>
      <c r="F22" s="659" t="str">
        <f ca="1">_xlfn.IFNA(OFFSET(INDEX(Output[Item '#],MATCH($A22,Output[Item '#],0)),0,5)," ")</f>
        <v xml:space="preserve"> </v>
      </c>
      <c r="G22" s="553"/>
      <c r="H22" s="584" t="str">
        <f ca="1">_xlfn.XLOOKUP(A22,OUTPUT!$Y$10:$Y$165,OUTPUT!$Z$10:$Z$165,"MiscItems")</f>
        <v>MiscItems</v>
      </c>
      <c r="I22" s="553" t="str">
        <f t="shared" ca="1" si="0"/>
        <v xml:space="preserve"> </v>
      </c>
      <c r="J22" s="113" t="str" cm="1">
        <f t="array" aca="1" ref="J22" ca="1">IFERROR(_xlfn.XLOOKUP($A22&amp;BasicProjectData!$G$18,PRICES!$B$2:$B$3684&amp;PRICES!$A$2:$A$3684,PRICES!$H$2:$H$3684)," ")</f>
        <v xml:space="preserve"> </v>
      </c>
      <c r="K22" s="113" t="str" cm="1">
        <f t="array" aca="1" ref="K22" ca="1">IFERROR(_xlfn.XLOOKUP($A22&amp;"All Districts",PRICES!$B$2:$B$3684&amp;PRICES!$A$2:$A$3684,PRICES!$H$2:$H$3684)," ")</f>
        <v xml:space="preserve"> </v>
      </c>
      <c r="L22" s="556" t="str" cm="1">
        <f t="array" aca="1" ref="L22" ca="1">_xlfn.SWITCH(E22,J22,"District Price",K22,"State Price","Other/User Input/Override")</f>
        <v>District Price</v>
      </c>
    </row>
    <row r="23" spans="1:12">
      <c r="A23" s="110" t="str">
        <f t="array" aca="1" ref="A23" ca="1">IFERROR(INDEX(OUTPUT!$A$9:'OUTPUT'!$A$247,SMALL(IF(OUTPUT!$F$9:$F$247&lt;&gt;0,MATCH(OUTPUT!$A$9:'OUTPUT'!$A$247,OUTPUT!$A$9:'OUTPUT'!$A$247,0)),ROWS(ProjectEstimate!A$9:A23)),1),"")</f>
        <v/>
      </c>
      <c r="B23" s="111" t="str">
        <f ca="1">_xlfn.IFNA(OFFSET(INDEX(Output[Item '#],MATCH($A23,Output[Item '#],0)),0,1)," ")</f>
        <v xml:space="preserve"> </v>
      </c>
      <c r="C23" s="111" t="str">
        <f ca="1">_xlfn.IFNA(OFFSET(INDEX(Output[Item '#],MATCH($A23,Output[Item '#],0)),0,2)," ")</f>
        <v xml:space="preserve"> </v>
      </c>
      <c r="D23" s="111" t="str">
        <f ca="1">_xlfn.IFNA(OFFSET(INDEX(Output[Item '#],MATCH($A23,Output[Item '#],0)),0,3)," ")</f>
        <v xml:space="preserve"> </v>
      </c>
      <c r="E23" s="659" t="str">
        <f ca="1">_xlfn.IFNA(OFFSET(INDEX(Output[Item '#],MATCH($A23,Output[Item '#],0)),0,4)," ")</f>
        <v xml:space="preserve"> </v>
      </c>
      <c r="F23" s="659" t="str">
        <f ca="1">_xlfn.IFNA(OFFSET(INDEX(Output[Item '#],MATCH($A23,Output[Item '#],0)),0,5)," ")</f>
        <v xml:space="preserve"> </v>
      </c>
      <c r="G23" s="121"/>
      <c r="H23" s="584" t="str">
        <f ca="1">_xlfn.XLOOKUP(A23,OUTPUT!$Y$10:$Y$165,OUTPUT!$Z$10:$Z$165,"MiscItems")</f>
        <v>MiscItems</v>
      </c>
      <c r="I23" s="553" t="str">
        <f t="shared" ca="1" si="0"/>
        <v xml:space="preserve"> </v>
      </c>
      <c r="J23" s="113" t="str" cm="1">
        <f t="array" aca="1" ref="J23" ca="1">IFERROR(_xlfn.XLOOKUP($A23&amp;BasicProjectData!$G$18,PRICES!$B$2:$B$3684&amp;PRICES!$A$2:$A$3684,PRICES!$H$2:$H$3684)," ")</f>
        <v xml:space="preserve"> </v>
      </c>
      <c r="K23" s="113" t="str" cm="1">
        <f t="array" aca="1" ref="K23" ca="1">IFERROR(_xlfn.XLOOKUP($A23&amp;"All Districts",PRICES!$B$2:$B$3684&amp;PRICES!$A$2:$A$3684,PRICES!$H$2:$H$3684)," ")</f>
        <v xml:space="preserve"> </v>
      </c>
      <c r="L23" s="556" t="str" cm="1">
        <f t="array" aca="1" ref="L23" ca="1">_xlfn.SWITCH(E23,J23,"District Price",K23,"State Price","Other/User Input/Override")</f>
        <v>District Price</v>
      </c>
    </row>
    <row r="24" spans="1:12">
      <c r="A24" s="110" t="str">
        <f t="array" aca="1" ref="A24" ca="1">IFERROR(INDEX(OUTPUT!$A$9:'OUTPUT'!$A$247,SMALL(IF(OUTPUT!$F$9:$F$247&lt;&gt;0,MATCH(OUTPUT!$A$9:'OUTPUT'!$A$247,OUTPUT!$A$9:'OUTPUT'!$A$247,0)),ROWS(ProjectEstimate!A$9:A24)),1),"")</f>
        <v/>
      </c>
      <c r="B24" s="111" t="str">
        <f ca="1">_xlfn.IFNA(OFFSET(INDEX(Output[Item '#],MATCH($A24,Output[Item '#],0)),0,1)," ")</f>
        <v xml:space="preserve"> </v>
      </c>
      <c r="C24" s="111" t="str">
        <f ca="1">_xlfn.IFNA(OFFSET(INDEX(Output[Item '#],MATCH($A24,Output[Item '#],0)),0,2)," ")</f>
        <v xml:space="preserve"> </v>
      </c>
      <c r="D24" s="111" t="str">
        <f ca="1">_xlfn.IFNA(OFFSET(INDEX(Output[Item '#],MATCH($A24,Output[Item '#],0)),0,3)," ")</f>
        <v xml:space="preserve"> </v>
      </c>
      <c r="E24" s="659" t="str">
        <f ca="1">_xlfn.IFNA(OFFSET(INDEX(Output[Item '#],MATCH($A24,Output[Item '#],0)),0,4)," ")</f>
        <v xml:space="preserve"> </v>
      </c>
      <c r="F24" s="659" t="str">
        <f ca="1">_xlfn.IFNA(OFFSET(INDEX(Output[Item '#],MATCH($A24,Output[Item '#],0)),0,5)," ")</f>
        <v xml:space="preserve"> </v>
      </c>
      <c r="G24" s="121"/>
      <c r="H24" s="584" t="str">
        <f ca="1">_xlfn.XLOOKUP(A24,OUTPUT!$Y$10:$Y$165,OUTPUT!$Z$10:$Z$165,"MiscItems")</f>
        <v>MiscItems</v>
      </c>
      <c r="I24" s="553" t="str">
        <f t="shared" ca="1" si="0"/>
        <v xml:space="preserve"> </v>
      </c>
      <c r="J24" s="113" t="str" cm="1">
        <f t="array" aca="1" ref="J24" ca="1">IFERROR(_xlfn.XLOOKUP($A24&amp;BasicProjectData!$G$18,PRICES!$B$2:$B$3684&amp;PRICES!$A$2:$A$3684,PRICES!$H$2:$H$3684)," ")</f>
        <v xml:space="preserve"> </v>
      </c>
      <c r="K24" s="113" t="str" cm="1">
        <f t="array" aca="1" ref="K24" ca="1">IFERROR(_xlfn.XLOOKUP($A24&amp;"All Districts",PRICES!$B$2:$B$3684&amp;PRICES!$A$2:$A$3684,PRICES!$H$2:$H$3684)," ")</f>
        <v xml:space="preserve"> </v>
      </c>
      <c r="L24" s="556" t="str" cm="1">
        <f t="array" aca="1" ref="L24" ca="1">_xlfn.SWITCH(E24,J24,"District Price",K24,"State Price","Other/User Input/Override")</f>
        <v>District Price</v>
      </c>
    </row>
    <row r="25" spans="1:12">
      <c r="A25" s="110" t="str">
        <f t="array" aca="1" ref="A25" ca="1">IFERROR(INDEX(OUTPUT!$A$9:'OUTPUT'!$A$247,SMALL(IF(OUTPUT!$F$9:$F$247&lt;&gt;0,MATCH(OUTPUT!$A$9:'OUTPUT'!$A$247,OUTPUT!$A$9:'OUTPUT'!$A$247,0)),ROWS(ProjectEstimate!A$9:A25)),1),"")</f>
        <v/>
      </c>
      <c r="B25" s="111" t="str">
        <f ca="1">_xlfn.IFNA(OFFSET(INDEX(Output[Item '#],MATCH($A25,Output[Item '#],0)),0,1)," ")</f>
        <v xml:space="preserve"> </v>
      </c>
      <c r="C25" s="111" t="str">
        <f ca="1">_xlfn.IFNA(OFFSET(INDEX(Output[Item '#],MATCH($A25,Output[Item '#],0)),0,2)," ")</f>
        <v xml:space="preserve"> </v>
      </c>
      <c r="D25" s="111" t="str">
        <f ca="1">_xlfn.IFNA(OFFSET(INDEX(Output[Item '#],MATCH($A25,Output[Item '#],0)),0,3)," ")</f>
        <v xml:space="preserve"> </v>
      </c>
      <c r="E25" s="659" t="str">
        <f ca="1">_xlfn.IFNA(OFFSET(INDEX(Output[Item '#],MATCH($A25,Output[Item '#],0)),0,4)," ")</f>
        <v xml:space="preserve"> </v>
      </c>
      <c r="F25" s="659" t="str">
        <f ca="1">_xlfn.IFNA(OFFSET(INDEX(Output[Item '#],MATCH($A25,Output[Item '#],0)),0,5)," ")</f>
        <v xml:space="preserve"> </v>
      </c>
      <c r="G25" s="121"/>
      <c r="H25" s="584" t="str">
        <f ca="1">_xlfn.XLOOKUP(A25,OUTPUT!$Y$10:$Y$165,OUTPUT!$Z$10:$Z$165,"MiscItems")</f>
        <v>MiscItems</v>
      </c>
      <c r="I25" s="553" t="str">
        <f t="shared" ca="1" si="0"/>
        <v xml:space="preserve"> </v>
      </c>
      <c r="J25" s="113" t="str" cm="1">
        <f t="array" aca="1" ref="J25" ca="1">IFERROR(_xlfn.XLOOKUP($A25&amp;BasicProjectData!$G$18,PRICES!$B$2:$B$3684&amp;PRICES!$A$2:$A$3684,PRICES!$H$2:$H$3684)," ")</f>
        <v xml:space="preserve"> </v>
      </c>
      <c r="K25" s="113" t="str" cm="1">
        <f t="array" aca="1" ref="K25" ca="1">IFERROR(_xlfn.XLOOKUP($A25&amp;"All Districts",PRICES!$B$2:$B$3684&amp;PRICES!$A$2:$A$3684,PRICES!$H$2:$H$3684)," ")</f>
        <v xml:space="preserve"> </v>
      </c>
      <c r="L25" s="556" t="str" cm="1">
        <f t="array" aca="1" ref="L25" ca="1">_xlfn.SWITCH(E25,J25,"District Price",K25,"State Price","Other/User Input/Override")</f>
        <v>District Price</v>
      </c>
    </row>
    <row r="26" spans="1:12">
      <c r="A26" s="110" t="str">
        <f t="array" aca="1" ref="A26" ca="1">IFERROR(INDEX(OUTPUT!$A$9:'OUTPUT'!$A$247,SMALL(IF(OUTPUT!$F$9:$F$247&lt;&gt;0,MATCH(OUTPUT!$A$9:'OUTPUT'!$A$247,OUTPUT!$A$9:'OUTPUT'!$A$247,0)),ROWS(ProjectEstimate!A$9:A26)),1),"")</f>
        <v/>
      </c>
      <c r="B26" s="111" t="str">
        <f ca="1">_xlfn.IFNA(OFFSET(INDEX(Output[Item '#],MATCH($A26,Output[Item '#],0)),0,1)," ")</f>
        <v xml:space="preserve"> </v>
      </c>
      <c r="C26" s="111" t="str">
        <f ca="1">_xlfn.IFNA(OFFSET(INDEX(Output[Item '#],MATCH($A26,Output[Item '#],0)),0,2)," ")</f>
        <v xml:space="preserve"> </v>
      </c>
      <c r="D26" s="111" t="str">
        <f ca="1">_xlfn.IFNA(OFFSET(INDEX(Output[Item '#],MATCH($A26,Output[Item '#],0)),0,3)," ")</f>
        <v xml:space="preserve"> </v>
      </c>
      <c r="E26" s="659" t="str">
        <f ca="1">_xlfn.IFNA(OFFSET(INDEX(Output[Item '#],MATCH($A26,Output[Item '#],0)),0,4)," ")</f>
        <v xml:space="preserve"> </v>
      </c>
      <c r="F26" s="659" t="str">
        <f ca="1">_xlfn.IFNA(OFFSET(INDEX(Output[Item '#],MATCH($A26,Output[Item '#],0)),0,5)," ")</f>
        <v xml:space="preserve"> </v>
      </c>
      <c r="G26" s="121"/>
      <c r="H26" s="584" t="str">
        <f ca="1">_xlfn.XLOOKUP(A26,OUTPUT!$Y$10:$Y$165,OUTPUT!$Z$10:$Z$165,"MiscItems")</f>
        <v>MiscItems</v>
      </c>
      <c r="I26" s="553" t="str">
        <f t="shared" ca="1" si="0"/>
        <v xml:space="preserve"> </v>
      </c>
      <c r="J26" s="113" t="str" cm="1">
        <f t="array" aca="1" ref="J26" ca="1">IFERROR(_xlfn.XLOOKUP($A26&amp;BasicProjectData!$G$18,PRICES!$B$2:$B$3684&amp;PRICES!$A$2:$A$3684,PRICES!$H$2:$H$3684)," ")</f>
        <v xml:space="preserve"> </v>
      </c>
      <c r="K26" s="113" t="str" cm="1">
        <f t="array" aca="1" ref="K26" ca="1">IFERROR(_xlfn.XLOOKUP($A26&amp;"All Districts",PRICES!$B$2:$B$3684&amp;PRICES!$A$2:$A$3684,PRICES!$H$2:$H$3684)," ")</f>
        <v xml:space="preserve"> </v>
      </c>
      <c r="L26" s="556" t="str" cm="1">
        <f t="array" aca="1" ref="L26" ca="1">_xlfn.SWITCH(E26,J26,"District Price",K26,"State Price","Other/User Input/Override")</f>
        <v>District Price</v>
      </c>
    </row>
    <row r="27" spans="1:12">
      <c r="A27" s="110" t="str">
        <f t="array" aca="1" ref="A27" ca="1">IFERROR(INDEX(OUTPUT!$A$9:'OUTPUT'!$A$247,SMALL(IF(OUTPUT!$F$9:$F$247&lt;&gt;0,MATCH(OUTPUT!$A$9:'OUTPUT'!$A$247,OUTPUT!$A$9:'OUTPUT'!$A$247,0)),ROWS(ProjectEstimate!A$9:A27)),1),"")</f>
        <v/>
      </c>
      <c r="B27" s="111" t="str">
        <f ca="1">_xlfn.IFNA(OFFSET(INDEX(Output[Item '#],MATCH($A27,Output[Item '#],0)),0,1)," ")</f>
        <v xml:space="preserve"> </v>
      </c>
      <c r="C27" s="111" t="str">
        <f ca="1">_xlfn.IFNA(OFFSET(INDEX(Output[Item '#],MATCH($A27,Output[Item '#],0)),0,2)," ")</f>
        <v xml:space="preserve"> </v>
      </c>
      <c r="D27" s="111" t="str">
        <f ca="1">_xlfn.IFNA(OFFSET(INDEX(Output[Item '#],MATCH($A27,Output[Item '#],0)),0,3)," ")</f>
        <v xml:space="preserve"> </v>
      </c>
      <c r="E27" s="659" t="str">
        <f ca="1">_xlfn.IFNA(OFFSET(INDEX(Output[Item '#],MATCH($A27,Output[Item '#],0)),0,4)," ")</f>
        <v xml:space="preserve"> </v>
      </c>
      <c r="F27" s="659" t="str">
        <f ca="1">_xlfn.IFNA(OFFSET(INDEX(Output[Item '#],MATCH($A27,Output[Item '#],0)),0,5)," ")</f>
        <v xml:space="preserve"> </v>
      </c>
      <c r="G27" s="121"/>
      <c r="H27" s="584" t="str">
        <f ca="1">_xlfn.XLOOKUP(A27,OUTPUT!$Y$10:$Y$165,OUTPUT!$Z$10:$Z$165,"MiscItems")</f>
        <v>MiscItems</v>
      </c>
      <c r="I27" s="553" t="str">
        <f t="shared" ca="1" si="0"/>
        <v xml:space="preserve"> </v>
      </c>
      <c r="J27" s="113" t="str" cm="1">
        <f t="array" aca="1" ref="J27" ca="1">IFERROR(_xlfn.XLOOKUP($A27&amp;BasicProjectData!$G$18,PRICES!$B$2:$B$3684&amp;PRICES!$A$2:$A$3684,PRICES!$H$2:$H$3684)," ")</f>
        <v xml:space="preserve"> </v>
      </c>
      <c r="K27" s="113" t="str" cm="1">
        <f t="array" aca="1" ref="K27" ca="1">IFERROR(_xlfn.XLOOKUP($A27&amp;"All Districts",PRICES!$B$2:$B$3684&amp;PRICES!$A$2:$A$3684,PRICES!$H$2:$H$3684)," ")</f>
        <v xml:space="preserve"> </v>
      </c>
      <c r="L27" s="556" t="str" cm="1">
        <f t="array" aca="1" ref="L27" ca="1">_xlfn.SWITCH(E27,J27,"District Price",K27,"State Price","Other/User Input/Override")</f>
        <v>District Price</v>
      </c>
    </row>
    <row r="28" spans="1:12">
      <c r="A28" s="110" t="str">
        <f t="array" aca="1" ref="A28" ca="1">IFERROR(INDEX(OUTPUT!$A$9:'OUTPUT'!$A$247,SMALL(IF(OUTPUT!$F$9:$F$247&lt;&gt;0,MATCH(OUTPUT!$A$9:'OUTPUT'!$A$247,OUTPUT!$A$9:'OUTPUT'!$A$247,0)),ROWS(ProjectEstimate!A$9:A28)),1),"")</f>
        <v/>
      </c>
      <c r="B28" s="111" t="str">
        <f ca="1">_xlfn.IFNA(OFFSET(INDEX(Output[Item '#],MATCH($A28,Output[Item '#],0)),0,1)," ")</f>
        <v xml:space="preserve"> </v>
      </c>
      <c r="C28" s="111" t="str">
        <f ca="1">_xlfn.IFNA(OFFSET(INDEX(Output[Item '#],MATCH($A28,Output[Item '#],0)),0,2)," ")</f>
        <v xml:space="preserve"> </v>
      </c>
      <c r="D28" s="111" t="str">
        <f ca="1">_xlfn.IFNA(OFFSET(INDEX(Output[Item '#],MATCH($A28,Output[Item '#],0)),0,3)," ")</f>
        <v xml:space="preserve"> </v>
      </c>
      <c r="E28" s="659" t="str">
        <f ca="1">_xlfn.IFNA(OFFSET(INDEX(Output[Item '#],MATCH($A28,Output[Item '#],0)),0,4)," ")</f>
        <v xml:space="preserve"> </v>
      </c>
      <c r="F28" s="659" t="str">
        <f ca="1">_xlfn.IFNA(OFFSET(INDEX(Output[Item '#],MATCH($A28,Output[Item '#],0)),0,5)," ")</f>
        <v xml:space="preserve"> </v>
      </c>
      <c r="G28" s="121"/>
      <c r="H28" s="584" t="str">
        <f ca="1">_xlfn.XLOOKUP(A28,OUTPUT!$Y$10:$Y$165,OUTPUT!$Z$10:$Z$165,"MiscItems")</f>
        <v>MiscItems</v>
      </c>
      <c r="I28" s="553" t="str">
        <f t="shared" ca="1" si="0"/>
        <v xml:space="preserve"> </v>
      </c>
      <c r="J28" s="113" t="str" cm="1">
        <f t="array" aca="1" ref="J28" ca="1">IFERROR(_xlfn.XLOOKUP($A28&amp;BasicProjectData!$G$18,PRICES!$B$2:$B$3684&amp;PRICES!$A$2:$A$3684,PRICES!$H$2:$H$3684)," ")</f>
        <v xml:space="preserve"> </v>
      </c>
      <c r="K28" s="113" t="str" cm="1">
        <f t="array" aca="1" ref="K28" ca="1">IFERROR(_xlfn.XLOOKUP($A28&amp;"All Districts",PRICES!$B$2:$B$3684&amp;PRICES!$A$2:$A$3684,PRICES!$H$2:$H$3684)," ")</f>
        <v xml:space="preserve"> </v>
      </c>
      <c r="L28" s="556" t="str" cm="1">
        <f t="array" aca="1" ref="L28" ca="1">_xlfn.SWITCH(E28,J28,"District Price",K28,"State Price","Other/User Input/Override")</f>
        <v>District Price</v>
      </c>
    </row>
    <row r="29" spans="1:12">
      <c r="A29" s="110" t="str">
        <f t="array" aca="1" ref="A29" ca="1">IFERROR(INDEX(OUTPUT!$A$9:'OUTPUT'!$A$247,SMALL(IF(OUTPUT!$F$9:$F$247&lt;&gt;0,MATCH(OUTPUT!$A$9:'OUTPUT'!$A$247,OUTPUT!$A$9:'OUTPUT'!$A$247,0)),ROWS(ProjectEstimate!A$9:A29)),1),"")</f>
        <v/>
      </c>
      <c r="B29" s="111" t="str">
        <f ca="1">_xlfn.IFNA(OFFSET(INDEX(Output[Item '#],MATCH($A29,Output[Item '#],0)),0,1)," ")</f>
        <v xml:space="preserve"> </v>
      </c>
      <c r="C29" s="111" t="str">
        <f ca="1">_xlfn.IFNA(OFFSET(INDEX(Output[Item '#],MATCH($A29,Output[Item '#],0)),0,2)," ")</f>
        <v xml:space="preserve"> </v>
      </c>
      <c r="D29" s="111" t="str">
        <f ca="1">_xlfn.IFNA(OFFSET(INDEX(Output[Item '#],MATCH($A29,Output[Item '#],0)),0,3)," ")</f>
        <v xml:space="preserve"> </v>
      </c>
      <c r="E29" s="659" t="str">
        <f ca="1">_xlfn.IFNA(OFFSET(INDEX(Output[Item '#],MATCH($A29,Output[Item '#],0)),0,4)," ")</f>
        <v xml:space="preserve"> </v>
      </c>
      <c r="F29" s="659" t="str">
        <f ca="1">_xlfn.IFNA(OFFSET(INDEX(Output[Item '#],MATCH($A29,Output[Item '#],0)),0,5)," ")</f>
        <v xml:space="preserve"> </v>
      </c>
      <c r="G29" s="121"/>
      <c r="H29" s="584" t="str">
        <f ca="1">_xlfn.XLOOKUP(A29,OUTPUT!$Y$10:$Y$165,OUTPUT!$Z$10:$Z$165,"MiscItems")</f>
        <v>MiscItems</v>
      </c>
      <c r="I29" s="553" t="str">
        <f t="shared" ca="1" si="0"/>
        <v xml:space="preserve"> </v>
      </c>
      <c r="J29" s="113" t="str" cm="1">
        <f t="array" aca="1" ref="J29" ca="1">IFERROR(_xlfn.XLOOKUP($A29&amp;BasicProjectData!$G$18,PRICES!$B$2:$B$3684&amp;PRICES!$A$2:$A$3684,PRICES!$H$2:$H$3684)," ")</f>
        <v xml:space="preserve"> </v>
      </c>
      <c r="K29" s="113" t="str" cm="1">
        <f t="array" aca="1" ref="K29" ca="1">IFERROR(_xlfn.XLOOKUP($A29&amp;"All Districts",PRICES!$B$2:$B$3684&amp;PRICES!$A$2:$A$3684,PRICES!$H$2:$H$3684)," ")</f>
        <v xml:space="preserve"> </v>
      </c>
      <c r="L29" s="556" t="str" cm="1">
        <f t="array" aca="1" ref="L29" ca="1">_xlfn.SWITCH(E29,J29,"District Price",K29,"State Price","Other/User Input/Override")</f>
        <v>District Price</v>
      </c>
    </row>
    <row r="30" spans="1:12">
      <c r="A30" s="110" t="str">
        <f t="array" aca="1" ref="A30" ca="1">IFERROR(INDEX(OUTPUT!$A$9:'OUTPUT'!$A$247,SMALL(IF(OUTPUT!$F$9:$F$247&lt;&gt;0,MATCH(OUTPUT!$A$9:'OUTPUT'!$A$247,OUTPUT!$A$9:'OUTPUT'!$A$247,0)),ROWS(ProjectEstimate!A$9:A30)),1),"")</f>
        <v/>
      </c>
      <c r="B30" s="111" t="str">
        <f ca="1">_xlfn.IFNA(OFFSET(INDEX(Output[Item '#],MATCH($A30,Output[Item '#],0)),0,1)," ")</f>
        <v xml:space="preserve"> </v>
      </c>
      <c r="C30" s="111" t="str">
        <f ca="1">_xlfn.IFNA(OFFSET(INDEX(Output[Item '#],MATCH($A30,Output[Item '#],0)),0,2)," ")</f>
        <v xml:space="preserve"> </v>
      </c>
      <c r="D30" s="111" t="str">
        <f ca="1">_xlfn.IFNA(OFFSET(INDEX(Output[Item '#],MATCH($A30,Output[Item '#],0)),0,3)," ")</f>
        <v xml:space="preserve"> </v>
      </c>
      <c r="E30" s="659" t="str">
        <f ca="1">_xlfn.IFNA(OFFSET(INDEX(Output[Item '#],MATCH($A30,Output[Item '#],0)),0,4)," ")</f>
        <v xml:space="preserve"> </v>
      </c>
      <c r="F30" s="659" t="str">
        <f ca="1">_xlfn.IFNA(OFFSET(INDEX(Output[Item '#],MATCH($A30,Output[Item '#],0)),0,5)," ")</f>
        <v xml:space="preserve"> </v>
      </c>
      <c r="G30" s="121"/>
      <c r="H30" s="584" t="str">
        <f ca="1">_xlfn.XLOOKUP(A30,OUTPUT!$Y$10:$Y$165,OUTPUT!$Z$10:$Z$165,"MiscItems")</f>
        <v>MiscItems</v>
      </c>
      <c r="I30" s="553" t="str">
        <f t="shared" ca="1" si="0"/>
        <v xml:space="preserve"> </v>
      </c>
      <c r="J30" s="113" t="str" cm="1">
        <f t="array" aca="1" ref="J30" ca="1">IFERROR(_xlfn.XLOOKUP($A30&amp;BasicProjectData!$G$18,PRICES!$B$2:$B$3684&amp;PRICES!$A$2:$A$3684,PRICES!$H$2:$H$3684)," ")</f>
        <v xml:space="preserve"> </v>
      </c>
      <c r="K30" s="113" t="str" cm="1">
        <f t="array" aca="1" ref="K30" ca="1">IFERROR(_xlfn.XLOOKUP($A30&amp;"All Districts",PRICES!$B$2:$B$3684&amp;PRICES!$A$2:$A$3684,PRICES!$H$2:$H$3684)," ")</f>
        <v xml:space="preserve"> </v>
      </c>
      <c r="L30" s="556" t="str" cm="1">
        <f t="array" aca="1" ref="L30" ca="1">_xlfn.SWITCH(E30,J30,"District Price",K30,"State Price","Other/User Input/Override")</f>
        <v>District Price</v>
      </c>
    </row>
    <row r="31" spans="1:12">
      <c r="A31" s="110" t="str">
        <f t="array" aca="1" ref="A31" ca="1">IFERROR(INDEX(OUTPUT!$A$9:'OUTPUT'!$A$247,SMALL(IF(OUTPUT!$F$9:$F$247&lt;&gt;0,MATCH(OUTPUT!$A$9:'OUTPUT'!$A$247,OUTPUT!$A$9:'OUTPUT'!$A$247,0)),ROWS(ProjectEstimate!A$9:A31)),1),"")</f>
        <v/>
      </c>
      <c r="B31" s="111" t="str">
        <f ca="1">_xlfn.IFNA(OFFSET(INDEX(Output[Item '#],MATCH($A31,Output[Item '#],0)),0,1)," ")</f>
        <v xml:space="preserve"> </v>
      </c>
      <c r="C31" s="111" t="str">
        <f ca="1">_xlfn.IFNA(OFFSET(INDEX(Output[Item '#],MATCH($A31,Output[Item '#],0)),0,2)," ")</f>
        <v xml:space="preserve"> </v>
      </c>
      <c r="D31" s="111" t="str">
        <f ca="1">_xlfn.IFNA(OFFSET(INDEX(Output[Item '#],MATCH($A31,Output[Item '#],0)),0,3)," ")</f>
        <v xml:space="preserve"> </v>
      </c>
      <c r="E31" s="659" t="str">
        <f ca="1">_xlfn.IFNA(OFFSET(INDEX(Output[Item '#],MATCH($A31,Output[Item '#],0)),0,4)," ")</f>
        <v xml:space="preserve"> </v>
      </c>
      <c r="F31" s="659" t="str">
        <f ca="1">_xlfn.IFNA(OFFSET(INDEX(Output[Item '#],MATCH($A31,Output[Item '#],0)),0,5)," ")</f>
        <v xml:space="preserve"> </v>
      </c>
      <c r="G31" s="121"/>
      <c r="H31" s="584" t="str">
        <f ca="1">_xlfn.XLOOKUP(A31,OUTPUT!$Y$10:$Y$165,OUTPUT!$Z$10:$Z$165,"MiscItems")</f>
        <v>MiscItems</v>
      </c>
      <c r="I31" s="553" t="str">
        <f t="shared" ca="1" si="0"/>
        <v xml:space="preserve"> </v>
      </c>
      <c r="J31" s="113" t="str" cm="1">
        <f t="array" aca="1" ref="J31" ca="1">IFERROR(_xlfn.XLOOKUP($A31&amp;BasicProjectData!$G$18,PRICES!$B$2:$B$3684&amp;PRICES!$A$2:$A$3684,PRICES!$H$2:$H$3684)," ")</f>
        <v xml:space="preserve"> </v>
      </c>
      <c r="K31" s="113" t="str" cm="1">
        <f t="array" aca="1" ref="K31" ca="1">IFERROR(_xlfn.XLOOKUP($A31&amp;"All Districts",PRICES!$B$2:$B$3684&amp;PRICES!$A$2:$A$3684,PRICES!$H$2:$H$3684)," ")</f>
        <v xml:space="preserve"> </v>
      </c>
      <c r="L31" s="556" t="str" cm="1">
        <f t="array" aca="1" ref="L31" ca="1">_xlfn.SWITCH(E31,J31,"District Price",K31,"State Price","Other/User Input/Override")</f>
        <v>District Price</v>
      </c>
    </row>
    <row r="32" spans="1:12">
      <c r="A32" s="110" t="str">
        <f t="array" aca="1" ref="A32" ca="1">IFERROR(INDEX(OUTPUT!$A$9:'OUTPUT'!$A$247,SMALL(IF(OUTPUT!$F$9:$F$247&lt;&gt;0,MATCH(OUTPUT!$A$9:'OUTPUT'!$A$247,OUTPUT!$A$9:'OUTPUT'!$A$247,0)),ROWS(ProjectEstimate!A$9:A32)),1),"")</f>
        <v/>
      </c>
      <c r="B32" s="111" t="str">
        <f ca="1">_xlfn.IFNA(OFFSET(INDEX(Output[Item '#],MATCH($A32,Output[Item '#],0)),0,1)," ")</f>
        <v xml:space="preserve"> </v>
      </c>
      <c r="C32" s="111" t="str">
        <f ca="1">_xlfn.IFNA(OFFSET(INDEX(Output[Item '#],MATCH($A32,Output[Item '#],0)),0,2)," ")</f>
        <v xml:space="preserve"> </v>
      </c>
      <c r="D32" s="111" t="str">
        <f ca="1">_xlfn.IFNA(OFFSET(INDEX(Output[Item '#],MATCH($A32,Output[Item '#],0)),0,3)," ")</f>
        <v xml:space="preserve"> </v>
      </c>
      <c r="E32" s="659" t="str">
        <f ca="1">_xlfn.IFNA(OFFSET(INDEX(Output[Item '#],MATCH($A32,Output[Item '#],0)),0,4)," ")</f>
        <v xml:space="preserve"> </v>
      </c>
      <c r="F32" s="659" t="str">
        <f ca="1">_xlfn.IFNA(OFFSET(INDEX(Output[Item '#],MATCH($A32,Output[Item '#],0)),0,5)," ")</f>
        <v xml:space="preserve"> </v>
      </c>
      <c r="G32" s="121"/>
      <c r="H32" s="584" t="str">
        <f ca="1">_xlfn.XLOOKUP(A32,OUTPUT!$Y$10:$Y$165,OUTPUT!$Z$10:$Z$165,"MiscItems")</f>
        <v>MiscItems</v>
      </c>
      <c r="I32" s="553" t="str">
        <f t="shared" ca="1" si="0"/>
        <v xml:space="preserve"> </v>
      </c>
      <c r="J32" s="113" t="str" cm="1">
        <f t="array" aca="1" ref="J32" ca="1">IFERROR(_xlfn.XLOOKUP($A32&amp;BasicProjectData!$G$18,PRICES!$B$2:$B$3684&amp;PRICES!$A$2:$A$3684,PRICES!$H$2:$H$3684)," ")</f>
        <v xml:space="preserve"> </v>
      </c>
      <c r="K32" s="113" t="str" cm="1">
        <f t="array" aca="1" ref="K32" ca="1">IFERROR(_xlfn.XLOOKUP($A32&amp;"All Districts",PRICES!$B$2:$B$3684&amp;PRICES!$A$2:$A$3684,PRICES!$H$2:$H$3684)," ")</f>
        <v xml:space="preserve"> </v>
      </c>
      <c r="L32" s="556" t="str" cm="1">
        <f t="array" aca="1" ref="L32" ca="1">_xlfn.SWITCH(E32,J32,"District Price",K32,"State Price","Other/User Input/Override")</f>
        <v>District Price</v>
      </c>
    </row>
    <row r="33" spans="1:12">
      <c r="A33" s="110" t="str">
        <f t="array" aca="1" ref="A33" ca="1">IFERROR(INDEX(OUTPUT!$A$9:'OUTPUT'!$A$247,SMALL(IF(OUTPUT!$F$9:$F$247&lt;&gt;0,MATCH(OUTPUT!$A$9:'OUTPUT'!$A$247,OUTPUT!$A$9:'OUTPUT'!$A$247,0)),ROWS(ProjectEstimate!A$9:A33)),1),"")</f>
        <v/>
      </c>
      <c r="B33" s="111" t="str">
        <f ca="1">_xlfn.IFNA(OFFSET(INDEX(Output[Item '#],MATCH($A33,Output[Item '#],0)),0,1)," ")</f>
        <v xml:space="preserve"> </v>
      </c>
      <c r="C33" s="111" t="str">
        <f ca="1">_xlfn.IFNA(OFFSET(INDEX(Output[Item '#],MATCH($A33,Output[Item '#],0)),0,2)," ")</f>
        <v xml:space="preserve"> </v>
      </c>
      <c r="D33" s="111" t="str">
        <f ca="1">_xlfn.IFNA(OFFSET(INDEX(Output[Item '#],MATCH($A33,Output[Item '#],0)),0,3)," ")</f>
        <v xml:space="preserve"> </v>
      </c>
      <c r="E33" s="659" t="str">
        <f ca="1">_xlfn.IFNA(OFFSET(INDEX(Output[Item '#],MATCH($A33,Output[Item '#],0)),0,4)," ")</f>
        <v xml:space="preserve"> </v>
      </c>
      <c r="F33" s="659" t="str">
        <f ca="1">_xlfn.IFNA(OFFSET(INDEX(Output[Item '#],MATCH($A33,Output[Item '#],0)),0,5)," ")</f>
        <v xml:space="preserve"> </v>
      </c>
      <c r="G33" s="121"/>
      <c r="H33" s="584" t="str">
        <f ca="1">_xlfn.XLOOKUP(A33,OUTPUT!$Y$10:$Y$165,OUTPUT!$Z$10:$Z$165,"MiscItems")</f>
        <v>MiscItems</v>
      </c>
      <c r="I33" s="553" t="str">
        <f t="shared" ca="1" si="0"/>
        <v xml:space="preserve"> </v>
      </c>
      <c r="J33" s="113" t="str" cm="1">
        <f t="array" aca="1" ref="J33" ca="1">IFERROR(_xlfn.XLOOKUP($A33&amp;BasicProjectData!$G$18,PRICES!$B$2:$B$3684&amp;PRICES!$A$2:$A$3684,PRICES!$H$2:$H$3684)," ")</f>
        <v xml:space="preserve"> </v>
      </c>
      <c r="K33" s="113" t="str" cm="1">
        <f t="array" aca="1" ref="K33" ca="1">IFERROR(_xlfn.XLOOKUP($A33&amp;"All Districts",PRICES!$B$2:$B$3684&amp;PRICES!$A$2:$A$3684,PRICES!$H$2:$H$3684)," ")</f>
        <v xml:space="preserve"> </v>
      </c>
      <c r="L33" s="556" t="str" cm="1">
        <f t="array" aca="1" ref="L33" ca="1">_xlfn.SWITCH(E33,J33,"District Price",K33,"State Price","Other/User Input/Override")</f>
        <v>District Price</v>
      </c>
    </row>
    <row r="34" spans="1:12">
      <c r="A34" s="110" t="str">
        <f t="array" aca="1" ref="A34" ca="1">IFERROR(INDEX(OUTPUT!$A$9:'OUTPUT'!$A$247,SMALL(IF(OUTPUT!$F$9:$F$247&lt;&gt;0,MATCH(OUTPUT!$A$9:'OUTPUT'!$A$247,OUTPUT!$A$9:'OUTPUT'!$A$247,0)),ROWS(ProjectEstimate!A$9:A34)),1),"")</f>
        <v/>
      </c>
      <c r="B34" s="111" t="str">
        <f ca="1">_xlfn.IFNA(OFFSET(INDEX(Output[Item '#],MATCH($A34,Output[Item '#],0)),0,1)," ")</f>
        <v xml:space="preserve"> </v>
      </c>
      <c r="C34" s="111" t="str">
        <f ca="1">_xlfn.IFNA(OFFSET(INDEX(Output[Item '#],MATCH($A34,Output[Item '#],0)),0,2)," ")</f>
        <v xml:space="preserve"> </v>
      </c>
      <c r="D34" s="111" t="str">
        <f ca="1">_xlfn.IFNA(OFFSET(INDEX(Output[Item '#],MATCH($A34,Output[Item '#],0)),0,3)," ")</f>
        <v xml:space="preserve"> </v>
      </c>
      <c r="E34" s="659" t="str">
        <f ca="1">_xlfn.IFNA(OFFSET(INDEX(Output[Item '#],MATCH($A34,Output[Item '#],0)),0,4)," ")</f>
        <v xml:space="preserve"> </v>
      </c>
      <c r="F34" s="659" t="str">
        <f ca="1">_xlfn.IFNA(OFFSET(INDEX(Output[Item '#],MATCH($A34,Output[Item '#],0)),0,5)," ")</f>
        <v xml:space="preserve"> </v>
      </c>
      <c r="G34" s="121"/>
      <c r="H34" s="584" t="str">
        <f ca="1">_xlfn.XLOOKUP(A34,OUTPUT!$Y$10:$Y$165,OUTPUT!$Z$10:$Z$165,"MiscItems")</f>
        <v>MiscItems</v>
      </c>
      <c r="I34" s="553" t="str">
        <f t="shared" ca="1" si="0"/>
        <v xml:space="preserve"> </v>
      </c>
      <c r="J34" s="113" t="str" cm="1">
        <f t="array" aca="1" ref="J34" ca="1">IFERROR(_xlfn.XLOOKUP($A34&amp;BasicProjectData!$G$18,PRICES!$B$2:$B$3684&amp;PRICES!$A$2:$A$3684,PRICES!$H$2:$H$3684)," ")</f>
        <v xml:space="preserve"> </v>
      </c>
      <c r="K34" s="113" t="str" cm="1">
        <f t="array" aca="1" ref="K34" ca="1">IFERROR(_xlfn.XLOOKUP($A34&amp;"All Districts",PRICES!$B$2:$B$3684&amp;PRICES!$A$2:$A$3684,PRICES!$H$2:$H$3684)," ")</f>
        <v xml:space="preserve"> </v>
      </c>
      <c r="L34" s="556" t="str" cm="1">
        <f t="array" aca="1" ref="L34" ca="1">_xlfn.SWITCH(E34,J34,"District Price",K34,"State Price","Other/User Input/Override")</f>
        <v>District Price</v>
      </c>
    </row>
    <row r="35" spans="1:12">
      <c r="A35" s="110" t="str">
        <f t="array" aca="1" ref="A35" ca="1">IFERROR(INDEX(OUTPUT!$A$9:'OUTPUT'!$A$247,SMALL(IF(OUTPUT!$F$9:$F$247&lt;&gt;0,MATCH(OUTPUT!$A$9:'OUTPUT'!$A$247,OUTPUT!$A$9:'OUTPUT'!$A$247,0)),ROWS(ProjectEstimate!A$9:A35)),1),"")</f>
        <v/>
      </c>
      <c r="B35" s="111" t="str">
        <f ca="1">_xlfn.IFNA(OFFSET(INDEX(Output[Item '#],MATCH($A35,Output[Item '#],0)),0,1)," ")</f>
        <v xml:space="preserve"> </v>
      </c>
      <c r="C35" s="111" t="str">
        <f ca="1">_xlfn.IFNA(OFFSET(INDEX(Output[Item '#],MATCH($A35,Output[Item '#],0)),0,2)," ")</f>
        <v xml:space="preserve"> </v>
      </c>
      <c r="D35" s="111" t="str">
        <f ca="1">_xlfn.IFNA(OFFSET(INDEX(Output[Item '#],MATCH($A35,Output[Item '#],0)),0,3)," ")</f>
        <v xml:space="preserve"> </v>
      </c>
      <c r="E35" s="659" t="str">
        <f ca="1">_xlfn.IFNA(OFFSET(INDEX(Output[Item '#],MATCH($A35,Output[Item '#],0)),0,4)," ")</f>
        <v xml:space="preserve"> </v>
      </c>
      <c r="F35" s="659" t="str">
        <f ca="1">_xlfn.IFNA(OFFSET(INDEX(Output[Item '#],MATCH($A35,Output[Item '#],0)),0,5)," ")</f>
        <v xml:space="preserve"> </v>
      </c>
      <c r="G35" s="121"/>
      <c r="H35" s="584" t="str">
        <f ca="1">_xlfn.XLOOKUP(A35,OUTPUT!$Y$10:$Y$165,OUTPUT!$Z$10:$Z$165,"MiscItems")</f>
        <v>MiscItems</v>
      </c>
      <c r="I35" s="553" t="str">
        <f t="shared" ca="1" si="0"/>
        <v xml:space="preserve"> </v>
      </c>
      <c r="J35" s="113" t="str" cm="1">
        <f t="array" aca="1" ref="J35" ca="1">IFERROR(_xlfn.XLOOKUP($A35&amp;BasicProjectData!$G$18,PRICES!$B$2:$B$3684&amp;PRICES!$A$2:$A$3684,PRICES!$H$2:$H$3684)," ")</f>
        <v xml:space="preserve"> </v>
      </c>
      <c r="K35" s="113" t="str" cm="1">
        <f t="array" aca="1" ref="K35" ca="1">IFERROR(_xlfn.XLOOKUP($A35&amp;"All Districts",PRICES!$B$2:$B$3684&amp;PRICES!$A$2:$A$3684,PRICES!$H$2:$H$3684)," ")</f>
        <v xml:space="preserve"> </v>
      </c>
      <c r="L35" s="556" t="str" cm="1">
        <f t="array" aca="1" ref="L35" ca="1">_xlfn.SWITCH(E35,J35,"District Price",K35,"State Price","Other/User Input/Override")</f>
        <v>District Price</v>
      </c>
    </row>
    <row r="36" spans="1:12">
      <c r="A36" s="110" t="str">
        <f t="array" aca="1" ref="A36" ca="1">IFERROR(INDEX(OUTPUT!$A$9:'OUTPUT'!$A$247,SMALL(IF(OUTPUT!$F$9:$F$247&lt;&gt;0,MATCH(OUTPUT!$A$9:'OUTPUT'!$A$247,OUTPUT!$A$9:'OUTPUT'!$A$247,0)),ROWS(ProjectEstimate!A$9:A36)),1),"")</f>
        <v/>
      </c>
      <c r="B36" s="111" t="str">
        <f ca="1">_xlfn.IFNA(OFFSET(INDEX(Output[Item '#],MATCH($A36,Output[Item '#],0)),0,1)," ")</f>
        <v xml:space="preserve"> </v>
      </c>
      <c r="C36" s="111" t="str">
        <f ca="1">_xlfn.IFNA(OFFSET(INDEX(Output[Item '#],MATCH($A36,Output[Item '#],0)),0,2)," ")</f>
        <v xml:space="preserve"> </v>
      </c>
      <c r="D36" s="111" t="str">
        <f ca="1">_xlfn.IFNA(OFFSET(INDEX(Output[Item '#],MATCH($A36,Output[Item '#],0)),0,3)," ")</f>
        <v xml:space="preserve"> </v>
      </c>
      <c r="E36" s="659" t="str">
        <f ca="1">_xlfn.IFNA(OFFSET(INDEX(Output[Item '#],MATCH($A36,Output[Item '#],0)),0,4)," ")</f>
        <v xml:space="preserve"> </v>
      </c>
      <c r="F36" s="659" t="str">
        <f ca="1">_xlfn.IFNA(OFFSET(INDEX(Output[Item '#],MATCH($A36,Output[Item '#],0)),0,5)," ")</f>
        <v xml:space="preserve"> </v>
      </c>
      <c r="G36" s="121"/>
      <c r="H36" s="584" t="str">
        <f ca="1">_xlfn.XLOOKUP(A36,OUTPUT!$Y$10:$Y$165,OUTPUT!$Z$10:$Z$165,"MiscItems")</f>
        <v>MiscItems</v>
      </c>
      <c r="I36" s="553" t="str">
        <f t="shared" ca="1" si="0"/>
        <v xml:space="preserve"> </v>
      </c>
      <c r="J36" s="113" t="str" cm="1">
        <f t="array" aca="1" ref="J36" ca="1">IFERROR(_xlfn.XLOOKUP($A36&amp;BasicProjectData!$G$18,PRICES!$B$2:$B$3684&amp;PRICES!$A$2:$A$3684,PRICES!$H$2:$H$3684)," ")</f>
        <v xml:space="preserve"> </v>
      </c>
      <c r="K36" s="113" t="str" cm="1">
        <f t="array" aca="1" ref="K36" ca="1">IFERROR(_xlfn.XLOOKUP($A36&amp;"All Districts",PRICES!$B$2:$B$3684&amp;PRICES!$A$2:$A$3684,PRICES!$H$2:$H$3684)," ")</f>
        <v xml:space="preserve"> </v>
      </c>
      <c r="L36" s="556" t="str" cm="1">
        <f t="array" aca="1" ref="L36" ca="1">_xlfn.SWITCH(E36,J36,"District Price",K36,"State Price","Other/User Input/Override")</f>
        <v>District Price</v>
      </c>
    </row>
    <row r="37" spans="1:12">
      <c r="A37" s="110" t="str">
        <f t="array" aca="1" ref="A37" ca="1">IFERROR(INDEX(OUTPUT!$A$9:'OUTPUT'!$A$247,SMALL(IF(OUTPUT!$F$9:$F$247&lt;&gt;0,MATCH(OUTPUT!$A$9:'OUTPUT'!$A$247,OUTPUT!$A$9:'OUTPUT'!$A$247,0)),ROWS(ProjectEstimate!A$9:A37)),1),"")</f>
        <v/>
      </c>
      <c r="B37" s="111" t="str">
        <f ca="1">_xlfn.IFNA(OFFSET(INDEX(Output[Item '#],MATCH($A37,Output[Item '#],0)),0,1)," ")</f>
        <v xml:space="preserve"> </v>
      </c>
      <c r="C37" s="111" t="str">
        <f ca="1">_xlfn.IFNA(OFFSET(INDEX(Output[Item '#],MATCH($A37,Output[Item '#],0)),0,2)," ")</f>
        <v xml:space="preserve"> </v>
      </c>
      <c r="D37" s="111" t="str">
        <f ca="1">_xlfn.IFNA(OFFSET(INDEX(Output[Item '#],MATCH($A37,Output[Item '#],0)),0,3)," ")</f>
        <v xml:space="preserve"> </v>
      </c>
      <c r="E37" s="659" t="str">
        <f ca="1">_xlfn.IFNA(OFFSET(INDEX(Output[Item '#],MATCH($A37,Output[Item '#],0)),0,4)," ")</f>
        <v xml:space="preserve"> </v>
      </c>
      <c r="F37" s="659" t="str">
        <f ca="1">_xlfn.IFNA(OFFSET(INDEX(Output[Item '#],MATCH($A37,Output[Item '#],0)),0,5)," ")</f>
        <v xml:space="preserve"> </v>
      </c>
      <c r="G37" s="121"/>
      <c r="H37" s="584" t="str">
        <f ca="1">_xlfn.XLOOKUP(A37,OUTPUT!$Y$10:$Y$165,OUTPUT!$Z$10:$Z$165,"MiscItems")</f>
        <v>MiscItems</v>
      </c>
      <c r="I37" s="553" t="str">
        <f t="shared" ca="1" si="0"/>
        <v xml:space="preserve"> </v>
      </c>
      <c r="J37" s="113" t="str" cm="1">
        <f t="array" aca="1" ref="J37" ca="1">IFERROR(_xlfn.XLOOKUP($A37&amp;BasicProjectData!$G$18,PRICES!$B$2:$B$3684&amp;PRICES!$A$2:$A$3684,PRICES!$H$2:$H$3684)," ")</f>
        <v xml:space="preserve"> </v>
      </c>
      <c r="K37" s="113" t="str" cm="1">
        <f t="array" aca="1" ref="K37" ca="1">IFERROR(_xlfn.XLOOKUP($A37&amp;"All Districts",PRICES!$B$2:$B$3684&amp;PRICES!$A$2:$A$3684,PRICES!$H$2:$H$3684)," ")</f>
        <v xml:space="preserve"> </v>
      </c>
      <c r="L37" s="556" t="str" cm="1">
        <f t="array" aca="1" ref="L37" ca="1">_xlfn.SWITCH(E37,J37,"District Price",K37,"State Price","Other/User Input/Override")</f>
        <v>District Price</v>
      </c>
    </row>
    <row r="38" spans="1:12">
      <c r="A38" s="110" t="str">
        <f t="array" aca="1" ref="A38" ca="1">IFERROR(INDEX(OUTPUT!$A$9:'OUTPUT'!$A$247,SMALL(IF(OUTPUT!$F$9:$F$247&lt;&gt;0,MATCH(OUTPUT!$A$9:'OUTPUT'!$A$247,OUTPUT!$A$9:'OUTPUT'!$A$247,0)),ROWS(ProjectEstimate!A$9:A38)),1),"")</f>
        <v/>
      </c>
      <c r="B38" s="111" t="str">
        <f ca="1">_xlfn.IFNA(OFFSET(INDEX(Output[Item '#],MATCH($A38,Output[Item '#],0)),0,1)," ")</f>
        <v xml:space="preserve"> </v>
      </c>
      <c r="C38" s="111" t="str">
        <f ca="1">_xlfn.IFNA(OFFSET(INDEX(Output[Item '#],MATCH($A38,Output[Item '#],0)),0,2)," ")</f>
        <v xml:space="preserve"> </v>
      </c>
      <c r="D38" s="111" t="str">
        <f ca="1">_xlfn.IFNA(OFFSET(INDEX(Output[Item '#],MATCH($A38,Output[Item '#],0)),0,3)," ")</f>
        <v xml:space="preserve"> </v>
      </c>
      <c r="E38" s="659" t="str">
        <f ca="1">_xlfn.IFNA(OFFSET(INDEX(Output[Item '#],MATCH($A38,Output[Item '#],0)),0,4)," ")</f>
        <v xml:space="preserve"> </v>
      </c>
      <c r="F38" s="659" t="str">
        <f ca="1">_xlfn.IFNA(OFFSET(INDEX(Output[Item '#],MATCH($A38,Output[Item '#],0)),0,5)," ")</f>
        <v xml:space="preserve"> </v>
      </c>
      <c r="G38" s="121"/>
      <c r="H38" s="584" t="str">
        <f ca="1">_xlfn.XLOOKUP(A38,OUTPUT!$Y$10:$Y$165,OUTPUT!$Z$10:$Z$165,"MiscItems")</f>
        <v>MiscItems</v>
      </c>
      <c r="I38" s="553" t="str">
        <f t="shared" ca="1" si="0"/>
        <v xml:space="preserve"> </v>
      </c>
      <c r="J38" s="113" t="str" cm="1">
        <f t="array" aca="1" ref="J38" ca="1">IFERROR(_xlfn.XLOOKUP($A38&amp;BasicProjectData!$G$18,PRICES!$B$2:$B$3684&amp;PRICES!$A$2:$A$3684,PRICES!$H$2:$H$3684)," ")</f>
        <v xml:space="preserve"> </v>
      </c>
      <c r="K38" s="113" t="str" cm="1">
        <f t="array" aca="1" ref="K38" ca="1">IFERROR(_xlfn.XLOOKUP($A38&amp;"All Districts",PRICES!$B$2:$B$3684&amp;PRICES!$A$2:$A$3684,PRICES!$H$2:$H$3684)," ")</f>
        <v xml:space="preserve"> </v>
      </c>
      <c r="L38" s="556" t="str" cm="1">
        <f t="array" aca="1" ref="L38" ca="1">_xlfn.SWITCH(E38,J38,"District Price",K38,"State Price","Other/User Input/Override")</f>
        <v>District Price</v>
      </c>
    </row>
    <row r="39" spans="1:12">
      <c r="A39" s="110" t="str">
        <f t="array" aca="1" ref="A39" ca="1">IFERROR(INDEX(OUTPUT!$A$9:'OUTPUT'!$A$247,SMALL(IF(OUTPUT!$F$9:$F$247&lt;&gt;0,MATCH(OUTPUT!$A$9:'OUTPUT'!$A$247,OUTPUT!$A$9:'OUTPUT'!$A$247,0)),ROWS(ProjectEstimate!A$9:A39)),1),"")</f>
        <v/>
      </c>
      <c r="B39" s="111" t="str">
        <f ca="1">_xlfn.IFNA(OFFSET(INDEX(Output[Item '#],MATCH($A39,Output[Item '#],0)),0,1)," ")</f>
        <v xml:space="preserve"> </v>
      </c>
      <c r="C39" s="111" t="str">
        <f ca="1">_xlfn.IFNA(OFFSET(INDEX(Output[Item '#],MATCH($A39,Output[Item '#],0)),0,2)," ")</f>
        <v xml:space="preserve"> </v>
      </c>
      <c r="D39" s="111" t="str">
        <f ca="1">_xlfn.IFNA(OFFSET(INDEX(Output[Item '#],MATCH($A39,Output[Item '#],0)),0,3)," ")</f>
        <v xml:space="preserve"> </v>
      </c>
      <c r="E39" s="659" t="str">
        <f ca="1">_xlfn.IFNA(OFFSET(INDEX(Output[Item '#],MATCH($A39,Output[Item '#],0)),0,4)," ")</f>
        <v xml:space="preserve"> </v>
      </c>
      <c r="F39" s="659" t="str">
        <f ca="1">_xlfn.IFNA(OFFSET(INDEX(Output[Item '#],MATCH($A39,Output[Item '#],0)),0,5)," ")</f>
        <v xml:space="preserve"> </v>
      </c>
      <c r="G39" s="121"/>
      <c r="H39" s="584" t="str">
        <f ca="1">_xlfn.XLOOKUP(A39,OUTPUT!$Y$10:$Y$165,OUTPUT!$Z$10:$Z$165,"MiscItems")</f>
        <v>MiscItems</v>
      </c>
      <c r="I39" s="553" t="str">
        <f t="shared" ca="1" si="0"/>
        <v xml:space="preserve"> </v>
      </c>
      <c r="J39" s="113" t="str" cm="1">
        <f t="array" aca="1" ref="J39" ca="1">IFERROR(_xlfn.XLOOKUP($A39&amp;BasicProjectData!$G$18,PRICES!$B$2:$B$3684&amp;PRICES!$A$2:$A$3684,PRICES!$H$2:$H$3684)," ")</f>
        <v xml:space="preserve"> </v>
      </c>
      <c r="K39" s="113" t="str" cm="1">
        <f t="array" aca="1" ref="K39" ca="1">IFERROR(_xlfn.XLOOKUP($A39&amp;"All Districts",PRICES!$B$2:$B$3684&amp;PRICES!$A$2:$A$3684,PRICES!$H$2:$H$3684)," ")</f>
        <v xml:space="preserve"> </v>
      </c>
      <c r="L39" s="556" t="str" cm="1">
        <f t="array" aca="1" ref="L39" ca="1">_xlfn.SWITCH(E39,J39,"District Price",K39,"State Price","Other/User Input/Override")</f>
        <v>District Price</v>
      </c>
    </row>
    <row r="40" spans="1:12">
      <c r="A40" s="110" t="str">
        <f t="array" aca="1" ref="A40" ca="1">IFERROR(INDEX(OUTPUT!$A$9:'OUTPUT'!$A$247,SMALL(IF(OUTPUT!$F$9:$F$247&lt;&gt;0,MATCH(OUTPUT!$A$9:'OUTPUT'!$A$247,OUTPUT!$A$9:'OUTPUT'!$A$247,0)),ROWS(ProjectEstimate!A$9:A40)),1),"")</f>
        <v/>
      </c>
      <c r="B40" s="111" t="str">
        <f ca="1">_xlfn.IFNA(OFFSET(INDEX(Output[Item '#],MATCH($A40,Output[Item '#],0)),0,1)," ")</f>
        <v xml:space="preserve"> </v>
      </c>
      <c r="C40" s="111" t="str">
        <f ca="1">_xlfn.IFNA(OFFSET(INDEX(Output[Item '#],MATCH($A40,Output[Item '#],0)),0,2)," ")</f>
        <v xml:space="preserve"> </v>
      </c>
      <c r="D40" s="111" t="str">
        <f ca="1">_xlfn.IFNA(OFFSET(INDEX(Output[Item '#],MATCH($A40,Output[Item '#],0)),0,3)," ")</f>
        <v xml:space="preserve"> </v>
      </c>
      <c r="E40" s="659" t="str">
        <f ca="1">_xlfn.IFNA(OFFSET(INDEX(Output[Item '#],MATCH($A40,Output[Item '#],0)),0,4)," ")</f>
        <v xml:space="preserve"> </v>
      </c>
      <c r="F40" s="659" t="str">
        <f ca="1">_xlfn.IFNA(OFFSET(INDEX(Output[Item '#],MATCH($A40,Output[Item '#],0)),0,5)," ")</f>
        <v xml:space="preserve"> </v>
      </c>
      <c r="G40" s="121"/>
      <c r="H40" s="584" t="str">
        <f ca="1">_xlfn.XLOOKUP(A40,OUTPUT!$Y$10:$Y$165,OUTPUT!$Z$10:$Z$165,"MiscItems")</f>
        <v>MiscItems</v>
      </c>
      <c r="I40" s="553" t="str">
        <f t="shared" ca="1" si="0"/>
        <v xml:space="preserve"> </v>
      </c>
      <c r="J40" s="113" t="str" cm="1">
        <f t="array" aca="1" ref="J40" ca="1">IFERROR(_xlfn.XLOOKUP($A40&amp;BasicProjectData!$G$18,PRICES!$B$2:$B$3684&amp;PRICES!$A$2:$A$3684,PRICES!$H$2:$H$3684)," ")</f>
        <v xml:space="preserve"> </v>
      </c>
      <c r="K40" s="113" t="str" cm="1">
        <f t="array" aca="1" ref="K40" ca="1">IFERROR(_xlfn.XLOOKUP($A40&amp;"All Districts",PRICES!$B$2:$B$3684&amp;PRICES!$A$2:$A$3684,PRICES!$H$2:$H$3684)," ")</f>
        <v xml:space="preserve"> </v>
      </c>
      <c r="L40" s="556" t="str" cm="1">
        <f t="array" aca="1" ref="L40" ca="1">_xlfn.SWITCH(E40,J40,"District Price",K40,"State Price","Other/User Input/Override")</f>
        <v>District Price</v>
      </c>
    </row>
    <row r="41" spans="1:12">
      <c r="A41" s="110" t="str">
        <f t="array" aca="1" ref="A41" ca="1">IFERROR(INDEX(OUTPUT!$A$9:'OUTPUT'!$A$247,SMALL(IF(OUTPUT!$F$9:$F$247&lt;&gt;0,MATCH(OUTPUT!$A$9:'OUTPUT'!$A$247,OUTPUT!$A$9:'OUTPUT'!$A$247,0)),ROWS(ProjectEstimate!A$9:A41)),1),"")</f>
        <v/>
      </c>
      <c r="B41" s="111" t="str">
        <f ca="1">_xlfn.IFNA(OFFSET(INDEX(Output[Item '#],MATCH($A41,Output[Item '#],0)),0,1)," ")</f>
        <v xml:space="preserve"> </v>
      </c>
      <c r="C41" s="111" t="str">
        <f ca="1">_xlfn.IFNA(OFFSET(INDEX(Output[Item '#],MATCH($A41,Output[Item '#],0)),0,2)," ")</f>
        <v xml:space="preserve"> </v>
      </c>
      <c r="D41" s="111" t="str">
        <f ca="1">_xlfn.IFNA(OFFSET(INDEX(Output[Item '#],MATCH($A41,Output[Item '#],0)),0,3)," ")</f>
        <v xml:space="preserve"> </v>
      </c>
      <c r="E41" s="659" t="str">
        <f ca="1">_xlfn.IFNA(OFFSET(INDEX(Output[Item '#],MATCH($A41,Output[Item '#],0)),0,4)," ")</f>
        <v xml:space="preserve"> </v>
      </c>
      <c r="F41" s="659" t="str">
        <f ca="1">_xlfn.IFNA(OFFSET(INDEX(Output[Item '#],MATCH($A41,Output[Item '#],0)),0,5)," ")</f>
        <v xml:space="preserve"> </v>
      </c>
      <c r="G41" s="121"/>
      <c r="H41" s="584" t="str">
        <f ca="1">_xlfn.XLOOKUP(A41,OUTPUT!$Y$10:$Y$165,OUTPUT!$Z$10:$Z$165,"MiscItems")</f>
        <v>MiscItems</v>
      </c>
      <c r="I41" s="553" t="str">
        <f t="shared" ca="1" si="0"/>
        <v xml:space="preserve"> </v>
      </c>
      <c r="J41" s="113" t="str" cm="1">
        <f t="array" aca="1" ref="J41" ca="1">IFERROR(_xlfn.XLOOKUP($A41&amp;BasicProjectData!$G$18,PRICES!$B$2:$B$3684&amp;PRICES!$A$2:$A$3684,PRICES!$H$2:$H$3684)," ")</f>
        <v xml:space="preserve"> </v>
      </c>
      <c r="K41" s="113" t="str" cm="1">
        <f t="array" aca="1" ref="K41" ca="1">IFERROR(_xlfn.XLOOKUP($A41&amp;"All Districts",PRICES!$B$2:$B$3684&amp;PRICES!$A$2:$A$3684,PRICES!$H$2:$H$3684)," ")</f>
        <v xml:space="preserve"> </v>
      </c>
      <c r="L41" s="556" t="str" cm="1">
        <f t="array" aca="1" ref="L41" ca="1">_xlfn.SWITCH(E41,J41,"District Price",K41,"State Price","Other/User Input/Override")</f>
        <v>District Price</v>
      </c>
    </row>
    <row r="42" spans="1:12">
      <c r="A42" s="110" t="str">
        <f t="array" aca="1" ref="A42" ca="1">IFERROR(INDEX(OUTPUT!$A$9:'OUTPUT'!$A$247,SMALL(IF(OUTPUT!$F$9:$F$247&lt;&gt;0,MATCH(OUTPUT!$A$9:'OUTPUT'!$A$247,OUTPUT!$A$9:'OUTPUT'!$A$247,0)),ROWS(ProjectEstimate!A$9:A42)),1),"")</f>
        <v/>
      </c>
      <c r="B42" s="111" t="str">
        <f ca="1">_xlfn.IFNA(OFFSET(INDEX(Output[Item '#],MATCH($A42,Output[Item '#],0)),0,1)," ")</f>
        <v xml:space="preserve"> </v>
      </c>
      <c r="C42" s="111" t="str">
        <f ca="1">_xlfn.IFNA(OFFSET(INDEX(Output[Item '#],MATCH($A42,Output[Item '#],0)),0,2)," ")</f>
        <v xml:space="preserve"> </v>
      </c>
      <c r="D42" s="111" t="str">
        <f ca="1">_xlfn.IFNA(OFFSET(INDEX(Output[Item '#],MATCH($A42,Output[Item '#],0)),0,3)," ")</f>
        <v xml:space="preserve"> </v>
      </c>
      <c r="E42" s="659" t="str">
        <f ca="1">_xlfn.IFNA(OFFSET(INDEX(Output[Item '#],MATCH($A42,Output[Item '#],0)),0,4)," ")</f>
        <v xml:space="preserve"> </v>
      </c>
      <c r="F42" s="659" t="str">
        <f ca="1">_xlfn.IFNA(OFFSET(INDEX(Output[Item '#],MATCH($A42,Output[Item '#],0)),0,5)," ")</f>
        <v xml:space="preserve"> </v>
      </c>
      <c r="G42" s="121"/>
      <c r="H42" s="584" t="str">
        <f ca="1">_xlfn.XLOOKUP(A42,OUTPUT!$Y$10:$Y$165,OUTPUT!$Z$10:$Z$165,"MiscItems")</f>
        <v>MiscItems</v>
      </c>
      <c r="I42" s="553" t="str">
        <f t="shared" ca="1" si="0"/>
        <v xml:space="preserve"> </v>
      </c>
      <c r="J42" s="113" t="str" cm="1">
        <f t="array" aca="1" ref="J42" ca="1">IFERROR(_xlfn.XLOOKUP($A42&amp;BasicProjectData!$G$18,PRICES!$B$2:$B$3684&amp;PRICES!$A$2:$A$3684,PRICES!$H$2:$H$3684)," ")</f>
        <v xml:space="preserve"> </v>
      </c>
      <c r="K42" s="113" t="str" cm="1">
        <f t="array" aca="1" ref="K42" ca="1">IFERROR(_xlfn.XLOOKUP($A42&amp;"All Districts",PRICES!$B$2:$B$3684&amp;PRICES!$A$2:$A$3684,PRICES!$H$2:$H$3684)," ")</f>
        <v xml:space="preserve"> </v>
      </c>
      <c r="L42" s="556" t="str" cm="1">
        <f t="array" aca="1" ref="L42" ca="1">_xlfn.SWITCH(E42,J42,"District Price",K42,"State Price","Other/User Input/Override")</f>
        <v>District Price</v>
      </c>
    </row>
    <row r="43" spans="1:12">
      <c r="A43" s="110" t="str">
        <f t="array" aca="1" ref="A43" ca="1">IFERROR(INDEX(OUTPUT!$A$9:'OUTPUT'!$A$247,SMALL(IF(OUTPUT!$F$9:$F$247&lt;&gt;0,MATCH(OUTPUT!$A$9:'OUTPUT'!$A$247,OUTPUT!$A$9:'OUTPUT'!$A$247,0)),ROWS(ProjectEstimate!A$9:A43)),1),"")</f>
        <v/>
      </c>
      <c r="B43" s="111" t="str">
        <f ca="1">_xlfn.IFNA(OFFSET(INDEX(Output[Item '#],MATCH($A43,Output[Item '#],0)),0,1)," ")</f>
        <v xml:space="preserve"> </v>
      </c>
      <c r="C43" s="111" t="str">
        <f ca="1">_xlfn.IFNA(OFFSET(INDEX(Output[Item '#],MATCH($A43,Output[Item '#],0)),0,2)," ")</f>
        <v xml:space="preserve"> </v>
      </c>
      <c r="D43" s="111" t="str">
        <f ca="1">_xlfn.IFNA(OFFSET(INDEX(Output[Item '#],MATCH($A43,Output[Item '#],0)),0,3)," ")</f>
        <v xml:space="preserve"> </v>
      </c>
      <c r="E43" s="659" t="str">
        <f ca="1">_xlfn.IFNA(OFFSET(INDEX(Output[Item '#],MATCH($A43,Output[Item '#],0)),0,4)," ")</f>
        <v xml:space="preserve"> </v>
      </c>
      <c r="F43" s="659" t="str">
        <f ca="1">_xlfn.IFNA(OFFSET(INDEX(Output[Item '#],MATCH($A43,Output[Item '#],0)),0,5)," ")</f>
        <v xml:space="preserve"> </v>
      </c>
      <c r="G43" s="121"/>
      <c r="H43" s="584" t="str">
        <f ca="1">_xlfn.XLOOKUP(A43,OUTPUT!$Y$10:$Y$165,OUTPUT!$Z$10:$Z$165,"MiscItems")</f>
        <v>MiscItems</v>
      </c>
      <c r="I43" s="553" t="str">
        <f t="shared" ca="1" si="0"/>
        <v xml:space="preserve"> </v>
      </c>
      <c r="J43" s="113" t="str" cm="1">
        <f t="array" aca="1" ref="J43" ca="1">IFERROR(_xlfn.XLOOKUP($A43&amp;BasicProjectData!$G$18,PRICES!$B$2:$B$3684&amp;PRICES!$A$2:$A$3684,PRICES!$H$2:$H$3684)," ")</f>
        <v xml:space="preserve"> </v>
      </c>
      <c r="K43" s="113" t="str" cm="1">
        <f t="array" aca="1" ref="K43" ca="1">IFERROR(_xlfn.XLOOKUP($A43&amp;"All Districts",PRICES!$B$2:$B$3684&amp;PRICES!$A$2:$A$3684,PRICES!$H$2:$H$3684)," ")</f>
        <v xml:space="preserve"> </v>
      </c>
      <c r="L43" s="556" t="str" cm="1">
        <f t="array" aca="1" ref="L43" ca="1">_xlfn.SWITCH(E43,J43,"District Price",K43,"State Price","Other/User Input/Override")</f>
        <v>District Price</v>
      </c>
    </row>
    <row r="44" spans="1:12">
      <c r="A44" s="110" t="str">
        <f t="array" aca="1" ref="A44" ca="1">IFERROR(INDEX(OUTPUT!$A$9:'OUTPUT'!$A$247,SMALL(IF(OUTPUT!$F$9:$F$247&lt;&gt;0,MATCH(OUTPUT!$A$9:'OUTPUT'!$A$247,OUTPUT!$A$9:'OUTPUT'!$A$247,0)),ROWS(ProjectEstimate!A$9:A44)),1),"")</f>
        <v/>
      </c>
      <c r="B44" s="111" t="str">
        <f ca="1">_xlfn.IFNA(OFFSET(INDEX(Output[Item '#],MATCH($A44,Output[Item '#],0)),0,1)," ")</f>
        <v xml:space="preserve"> </v>
      </c>
      <c r="C44" s="111" t="str">
        <f ca="1">_xlfn.IFNA(OFFSET(INDEX(Output[Item '#],MATCH($A44,Output[Item '#],0)),0,2)," ")</f>
        <v xml:space="preserve"> </v>
      </c>
      <c r="D44" s="111" t="str">
        <f ca="1">_xlfn.IFNA(OFFSET(INDEX(Output[Item '#],MATCH($A44,Output[Item '#],0)),0,3)," ")</f>
        <v xml:space="preserve"> </v>
      </c>
      <c r="E44" s="659" t="str">
        <f ca="1">_xlfn.IFNA(OFFSET(INDEX(Output[Item '#],MATCH($A44,Output[Item '#],0)),0,4)," ")</f>
        <v xml:space="preserve"> </v>
      </c>
      <c r="F44" s="659" t="str">
        <f ca="1">_xlfn.IFNA(OFFSET(INDEX(Output[Item '#],MATCH($A44,Output[Item '#],0)),0,5)," ")</f>
        <v xml:space="preserve"> </v>
      </c>
      <c r="G44" s="121"/>
      <c r="H44" s="584" t="str">
        <f ca="1">_xlfn.XLOOKUP(A44,OUTPUT!$Y$10:$Y$165,OUTPUT!$Z$10:$Z$165,"MiscItems")</f>
        <v>MiscItems</v>
      </c>
      <c r="I44" s="553" t="str">
        <f t="shared" ca="1" si="0"/>
        <v xml:space="preserve"> </v>
      </c>
      <c r="J44" s="113" t="str" cm="1">
        <f t="array" aca="1" ref="J44" ca="1">IFERROR(_xlfn.XLOOKUP($A44&amp;BasicProjectData!$G$18,PRICES!$B$2:$B$3684&amp;PRICES!$A$2:$A$3684,PRICES!$H$2:$H$3684)," ")</f>
        <v xml:space="preserve"> </v>
      </c>
      <c r="K44" s="113" t="str" cm="1">
        <f t="array" aca="1" ref="K44" ca="1">IFERROR(_xlfn.XLOOKUP($A44&amp;"All Districts",PRICES!$B$2:$B$3684&amp;PRICES!$A$2:$A$3684,PRICES!$H$2:$H$3684)," ")</f>
        <v xml:space="preserve"> </v>
      </c>
      <c r="L44" s="556" t="str" cm="1">
        <f t="array" aca="1" ref="L44" ca="1">_xlfn.SWITCH(E44,J44,"District Price",K44,"State Price","Other/User Input/Override")</f>
        <v>District Price</v>
      </c>
    </row>
    <row r="45" spans="1:12">
      <c r="A45" s="110" t="str">
        <f t="array" aca="1" ref="A45" ca="1">IFERROR(INDEX(OUTPUT!$A$9:'OUTPUT'!$A$247,SMALL(IF(OUTPUT!$F$9:$F$247&lt;&gt;0,MATCH(OUTPUT!$A$9:'OUTPUT'!$A$247,OUTPUT!$A$9:'OUTPUT'!$A$247,0)),ROWS(ProjectEstimate!A$9:A45)),1),"")</f>
        <v/>
      </c>
      <c r="B45" s="111" t="str">
        <f ca="1">_xlfn.IFNA(OFFSET(INDEX(Output[Item '#],MATCH($A45,Output[Item '#],0)),0,1)," ")</f>
        <v xml:space="preserve"> </v>
      </c>
      <c r="C45" s="111" t="str">
        <f ca="1">_xlfn.IFNA(OFFSET(INDEX(Output[Item '#],MATCH($A45,Output[Item '#],0)),0,2)," ")</f>
        <v xml:space="preserve"> </v>
      </c>
      <c r="D45" s="111" t="str">
        <f ca="1">_xlfn.IFNA(OFFSET(INDEX(Output[Item '#],MATCH($A45,Output[Item '#],0)),0,3)," ")</f>
        <v xml:space="preserve"> </v>
      </c>
      <c r="E45" s="659" t="str">
        <f ca="1">_xlfn.IFNA(OFFSET(INDEX(Output[Item '#],MATCH($A45,Output[Item '#],0)),0,4)," ")</f>
        <v xml:space="preserve"> </v>
      </c>
      <c r="F45" s="659" t="str">
        <f ca="1">_xlfn.IFNA(OFFSET(INDEX(Output[Item '#],MATCH($A45,Output[Item '#],0)),0,5)," ")</f>
        <v xml:space="preserve"> </v>
      </c>
      <c r="G45" s="121"/>
      <c r="H45" s="584" t="str">
        <f ca="1">_xlfn.XLOOKUP(A45,OUTPUT!$Y$10:$Y$165,OUTPUT!$Z$10:$Z$165,"MiscItems")</f>
        <v>MiscItems</v>
      </c>
      <c r="I45" s="553" t="str">
        <f t="shared" ca="1" si="0"/>
        <v xml:space="preserve"> </v>
      </c>
      <c r="J45" s="113" t="str" cm="1">
        <f t="array" aca="1" ref="J45" ca="1">IFERROR(_xlfn.XLOOKUP($A45&amp;BasicProjectData!$G$18,PRICES!$B$2:$B$3684&amp;PRICES!$A$2:$A$3684,PRICES!$H$2:$H$3684)," ")</f>
        <v xml:space="preserve"> </v>
      </c>
      <c r="K45" s="113" t="str" cm="1">
        <f t="array" aca="1" ref="K45" ca="1">IFERROR(_xlfn.XLOOKUP($A45&amp;"All Districts",PRICES!$B$2:$B$3684&amp;PRICES!$A$2:$A$3684,PRICES!$H$2:$H$3684)," ")</f>
        <v xml:space="preserve"> </v>
      </c>
      <c r="L45" s="556" t="str" cm="1">
        <f t="array" aca="1" ref="L45" ca="1">_xlfn.SWITCH(E45,J45,"District Price",K45,"State Price","Other/User Input/Override")</f>
        <v>District Price</v>
      </c>
    </row>
    <row r="46" spans="1:12">
      <c r="A46" s="110" t="str">
        <f t="array" aca="1" ref="A46" ca="1">IFERROR(INDEX(OUTPUT!$A$9:'OUTPUT'!$A$247,SMALL(IF(OUTPUT!$F$9:$F$247&lt;&gt;0,MATCH(OUTPUT!$A$9:'OUTPUT'!$A$247,OUTPUT!$A$9:'OUTPUT'!$A$247,0)),ROWS(ProjectEstimate!A$9:A46)),1),"")</f>
        <v/>
      </c>
      <c r="B46" s="111" t="str">
        <f ca="1">_xlfn.IFNA(OFFSET(INDEX(Output[Item '#],MATCH($A46,Output[Item '#],0)),0,1)," ")</f>
        <v xml:space="preserve"> </v>
      </c>
      <c r="C46" s="111" t="str">
        <f ca="1">_xlfn.IFNA(OFFSET(INDEX(Output[Item '#],MATCH($A46,Output[Item '#],0)),0,2)," ")</f>
        <v xml:space="preserve"> </v>
      </c>
      <c r="D46" s="111" t="str">
        <f ca="1">_xlfn.IFNA(OFFSET(INDEX(Output[Item '#],MATCH($A46,Output[Item '#],0)),0,3)," ")</f>
        <v xml:space="preserve"> </v>
      </c>
      <c r="E46" s="659" t="str">
        <f ca="1">_xlfn.IFNA(OFFSET(INDEX(Output[Item '#],MATCH($A46,Output[Item '#],0)),0,4)," ")</f>
        <v xml:space="preserve"> </v>
      </c>
      <c r="F46" s="659" t="str">
        <f ca="1">_xlfn.IFNA(OFFSET(INDEX(Output[Item '#],MATCH($A46,Output[Item '#],0)),0,5)," ")</f>
        <v xml:space="preserve"> </v>
      </c>
      <c r="G46" s="121"/>
      <c r="H46" s="584" t="str">
        <f ca="1">_xlfn.XLOOKUP(A46,OUTPUT!$Y$10:$Y$165,OUTPUT!$Z$10:$Z$165,"MiscItems")</f>
        <v>MiscItems</v>
      </c>
      <c r="I46" s="553" t="str">
        <f t="shared" ca="1" si="0"/>
        <v xml:space="preserve"> </v>
      </c>
      <c r="J46" s="113" t="str" cm="1">
        <f t="array" aca="1" ref="J46" ca="1">IFERROR(_xlfn.XLOOKUP($A46&amp;BasicProjectData!$G$18,PRICES!$B$2:$B$3684&amp;PRICES!$A$2:$A$3684,PRICES!$H$2:$H$3684)," ")</f>
        <v xml:space="preserve"> </v>
      </c>
      <c r="K46" s="113" t="str" cm="1">
        <f t="array" aca="1" ref="K46" ca="1">IFERROR(_xlfn.XLOOKUP($A46&amp;"All Districts",PRICES!$B$2:$B$3684&amp;PRICES!$A$2:$A$3684,PRICES!$H$2:$H$3684)," ")</f>
        <v xml:space="preserve"> </v>
      </c>
      <c r="L46" s="556" t="str" cm="1">
        <f t="array" aca="1" ref="L46" ca="1">_xlfn.SWITCH(E46,J46,"District Price",K46,"State Price","Other/User Input/Override")</f>
        <v>District Price</v>
      </c>
    </row>
    <row r="47" spans="1:12">
      <c r="A47" s="110" t="str">
        <f t="array" aca="1" ref="A47" ca="1">IFERROR(INDEX(OUTPUT!$A$9:'OUTPUT'!$A$247,SMALL(IF(OUTPUT!$F$9:$F$247&lt;&gt;0,MATCH(OUTPUT!$A$9:'OUTPUT'!$A$247,OUTPUT!$A$9:'OUTPUT'!$A$247,0)),ROWS(ProjectEstimate!A$9:A47)),1),"")</f>
        <v/>
      </c>
      <c r="B47" s="111" t="str">
        <f ca="1">_xlfn.IFNA(OFFSET(INDEX(Output[Item '#],MATCH($A47,Output[Item '#],0)),0,1)," ")</f>
        <v xml:space="preserve"> </v>
      </c>
      <c r="C47" s="111" t="str">
        <f ca="1">_xlfn.IFNA(OFFSET(INDEX(Output[Item '#],MATCH($A47,Output[Item '#],0)),0,2)," ")</f>
        <v xml:space="preserve"> </v>
      </c>
      <c r="D47" s="111" t="str">
        <f ca="1">_xlfn.IFNA(OFFSET(INDEX(Output[Item '#],MATCH($A47,Output[Item '#],0)),0,3)," ")</f>
        <v xml:space="preserve"> </v>
      </c>
      <c r="E47" s="659" t="str">
        <f ca="1">_xlfn.IFNA(OFFSET(INDEX(Output[Item '#],MATCH($A47,Output[Item '#],0)),0,4)," ")</f>
        <v xml:space="preserve"> </v>
      </c>
      <c r="F47" s="659" t="str">
        <f ca="1">_xlfn.IFNA(OFFSET(INDEX(Output[Item '#],MATCH($A47,Output[Item '#],0)),0,5)," ")</f>
        <v xml:space="preserve"> </v>
      </c>
      <c r="G47" s="121"/>
      <c r="H47" s="584" t="str">
        <f ca="1">_xlfn.XLOOKUP(A47,OUTPUT!$Y$10:$Y$165,OUTPUT!$Z$10:$Z$165,"MiscItems")</f>
        <v>MiscItems</v>
      </c>
      <c r="I47" s="553" t="str">
        <f t="shared" ca="1" si="0"/>
        <v xml:space="preserve"> </v>
      </c>
      <c r="J47" s="113" t="str" cm="1">
        <f t="array" aca="1" ref="J47" ca="1">IFERROR(_xlfn.XLOOKUP($A47&amp;BasicProjectData!$G$18,PRICES!$B$2:$B$3684&amp;PRICES!$A$2:$A$3684,PRICES!$H$2:$H$3684)," ")</f>
        <v xml:space="preserve"> </v>
      </c>
      <c r="K47" s="113" t="str" cm="1">
        <f t="array" aca="1" ref="K47" ca="1">IFERROR(_xlfn.XLOOKUP($A47&amp;"All Districts",PRICES!$B$2:$B$3684&amp;PRICES!$A$2:$A$3684,PRICES!$H$2:$H$3684)," ")</f>
        <v xml:space="preserve"> </v>
      </c>
      <c r="L47" s="556" t="str" cm="1">
        <f t="array" aca="1" ref="L47" ca="1">_xlfn.SWITCH(E47,J47,"District Price",K47,"State Price","Other/User Input/Override")</f>
        <v>District Price</v>
      </c>
    </row>
    <row r="48" spans="1:12">
      <c r="A48" s="110" t="str">
        <f t="array" aca="1" ref="A48" ca="1">IFERROR(INDEX(OUTPUT!$A$9:'OUTPUT'!$A$247,SMALL(IF(OUTPUT!$F$9:$F$247&lt;&gt;0,MATCH(OUTPUT!$A$9:'OUTPUT'!$A$247,OUTPUT!$A$9:'OUTPUT'!$A$247,0)),ROWS(ProjectEstimate!A$9:A48)),1),"")</f>
        <v/>
      </c>
      <c r="B48" s="111" t="str">
        <f ca="1">_xlfn.IFNA(OFFSET(INDEX(Output[Item '#],MATCH($A48,Output[Item '#],0)),0,1)," ")</f>
        <v xml:space="preserve"> </v>
      </c>
      <c r="C48" s="111" t="str">
        <f ca="1">_xlfn.IFNA(OFFSET(INDEX(Output[Item '#],MATCH($A48,Output[Item '#],0)),0,2)," ")</f>
        <v xml:space="preserve"> </v>
      </c>
      <c r="D48" s="111" t="str">
        <f ca="1">_xlfn.IFNA(OFFSET(INDEX(Output[Item '#],MATCH($A48,Output[Item '#],0)),0,3)," ")</f>
        <v xml:space="preserve"> </v>
      </c>
      <c r="E48" s="659" t="str">
        <f ca="1">_xlfn.IFNA(OFFSET(INDEX(Output[Item '#],MATCH($A48,Output[Item '#],0)),0,4)," ")</f>
        <v xml:space="preserve"> </v>
      </c>
      <c r="F48" s="659" t="str">
        <f ca="1">_xlfn.IFNA(OFFSET(INDEX(Output[Item '#],MATCH($A48,Output[Item '#],0)),0,5)," ")</f>
        <v xml:space="preserve"> </v>
      </c>
      <c r="G48" s="121"/>
      <c r="H48" s="584" t="str">
        <f ca="1">_xlfn.XLOOKUP(A48,OUTPUT!$Y$10:$Y$165,OUTPUT!$Z$10:$Z$165,"MiscItems")</f>
        <v>MiscItems</v>
      </c>
      <c r="I48" s="553" t="str">
        <f t="shared" ca="1" si="0"/>
        <v xml:space="preserve"> </v>
      </c>
      <c r="J48" s="113" t="str" cm="1">
        <f t="array" aca="1" ref="J48" ca="1">IFERROR(_xlfn.XLOOKUP($A48&amp;BasicProjectData!$G$18,PRICES!$B$2:$B$3684&amp;PRICES!$A$2:$A$3684,PRICES!$H$2:$H$3684)," ")</f>
        <v xml:space="preserve"> </v>
      </c>
      <c r="K48" s="113" t="str" cm="1">
        <f t="array" aca="1" ref="K48" ca="1">IFERROR(_xlfn.XLOOKUP($A48&amp;"All Districts",PRICES!$B$2:$B$3684&amp;PRICES!$A$2:$A$3684,PRICES!$H$2:$H$3684)," ")</f>
        <v xml:space="preserve"> </v>
      </c>
      <c r="L48" s="556" t="str" cm="1">
        <f t="array" aca="1" ref="L48" ca="1">_xlfn.SWITCH(E48,J48,"District Price",K48,"State Price","Other/User Input/Override")</f>
        <v>District Price</v>
      </c>
    </row>
    <row r="49" spans="1:12">
      <c r="A49" s="110" t="str">
        <f t="array" aca="1" ref="A49" ca="1">IFERROR(INDEX(OUTPUT!$A$9:'OUTPUT'!$A$247,SMALL(IF(OUTPUT!$F$9:$F$247&lt;&gt;0,MATCH(OUTPUT!$A$9:'OUTPUT'!$A$247,OUTPUT!$A$9:'OUTPUT'!$A$247,0)),ROWS(ProjectEstimate!A$9:A49)),1),"")</f>
        <v/>
      </c>
      <c r="B49" s="111" t="str">
        <f ca="1">_xlfn.IFNA(OFFSET(INDEX(Output[Item '#],MATCH($A49,Output[Item '#],0)),0,1)," ")</f>
        <v xml:space="preserve"> </v>
      </c>
      <c r="C49" s="111" t="str">
        <f ca="1">_xlfn.IFNA(OFFSET(INDEX(Output[Item '#],MATCH($A49,Output[Item '#],0)),0,2)," ")</f>
        <v xml:space="preserve"> </v>
      </c>
      <c r="D49" s="111" t="str">
        <f ca="1">_xlfn.IFNA(OFFSET(INDEX(Output[Item '#],MATCH($A49,Output[Item '#],0)),0,3)," ")</f>
        <v xml:space="preserve"> </v>
      </c>
      <c r="E49" s="659" t="str">
        <f ca="1">_xlfn.IFNA(OFFSET(INDEX(Output[Item '#],MATCH($A49,Output[Item '#],0)),0,4)," ")</f>
        <v xml:space="preserve"> </v>
      </c>
      <c r="F49" s="659" t="str">
        <f ca="1">_xlfn.IFNA(OFFSET(INDEX(Output[Item '#],MATCH($A49,Output[Item '#],0)),0,5)," ")</f>
        <v xml:space="preserve"> </v>
      </c>
      <c r="G49" s="121"/>
      <c r="H49" s="584" t="str">
        <f ca="1">_xlfn.XLOOKUP(A49,OUTPUT!$Y$10:$Y$165,OUTPUT!$Z$10:$Z$165,"MiscItems")</f>
        <v>MiscItems</v>
      </c>
      <c r="I49" s="553" t="str">
        <f t="shared" ca="1" si="0"/>
        <v xml:space="preserve"> </v>
      </c>
      <c r="J49" s="113" t="str" cm="1">
        <f t="array" aca="1" ref="J49" ca="1">IFERROR(_xlfn.XLOOKUP($A49&amp;BasicProjectData!$G$18,PRICES!$B$2:$B$3684&amp;PRICES!$A$2:$A$3684,PRICES!$H$2:$H$3684)," ")</f>
        <v xml:space="preserve"> </v>
      </c>
      <c r="K49" s="113" t="str" cm="1">
        <f t="array" aca="1" ref="K49" ca="1">IFERROR(_xlfn.XLOOKUP($A49&amp;"All Districts",PRICES!$B$2:$B$3684&amp;PRICES!$A$2:$A$3684,PRICES!$H$2:$H$3684)," ")</f>
        <v xml:space="preserve"> </v>
      </c>
      <c r="L49" s="556" t="str" cm="1">
        <f t="array" aca="1" ref="L49" ca="1">_xlfn.SWITCH(E49,J49,"District Price",K49,"State Price","Other/User Input/Override")</f>
        <v>District Price</v>
      </c>
    </row>
    <row r="50" spans="1:12">
      <c r="A50" s="110" t="str">
        <f t="array" aca="1" ref="A50" ca="1">IFERROR(INDEX(OUTPUT!$A$9:'OUTPUT'!$A$247,SMALL(IF(OUTPUT!$F$9:$F$247&lt;&gt;0,MATCH(OUTPUT!$A$9:'OUTPUT'!$A$247,OUTPUT!$A$9:'OUTPUT'!$A$247,0)),ROWS(ProjectEstimate!A$9:A50)),1),"")</f>
        <v/>
      </c>
      <c r="B50" s="111" t="str">
        <f ca="1">_xlfn.IFNA(OFFSET(INDEX(Output[Item '#],MATCH($A50,Output[Item '#],0)),0,1)," ")</f>
        <v xml:space="preserve"> </v>
      </c>
      <c r="C50" s="111" t="str">
        <f ca="1">_xlfn.IFNA(OFFSET(INDEX(Output[Item '#],MATCH($A50,Output[Item '#],0)),0,2)," ")</f>
        <v xml:space="preserve"> </v>
      </c>
      <c r="D50" s="111" t="str">
        <f ca="1">_xlfn.IFNA(OFFSET(INDEX(Output[Item '#],MATCH($A50,Output[Item '#],0)),0,3)," ")</f>
        <v xml:space="preserve"> </v>
      </c>
      <c r="E50" s="659" t="str">
        <f ca="1">_xlfn.IFNA(OFFSET(INDEX(Output[Item '#],MATCH($A50,Output[Item '#],0)),0,4)," ")</f>
        <v xml:space="preserve"> </v>
      </c>
      <c r="F50" s="659" t="str">
        <f ca="1">_xlfn.IFNA(OFFSET(INDEX(Output[Item '#],MATCH($A50,Output[Item '#],0)),0,5)," ")</f>
        <v xml:space="preserve"> </v>
      </c>
      <c r="G50" s="121"/>
      <c r="H50" s="584" t="str">
        <f ca="1">_xlfn.XLOOKUP(A50,OUTPUT!$Y$10:$Y$165,OUTPUT!$Z$10:$Z$165,"MiscItems")</f>
        <v>MiscItems</v>
      </c>
      <c r="I50" s="553" t="str">
        <f t="shared" ca="1" si="0"/>
        <v xml:space="preserve"> </v>
      </c>
      <c r="J50" s="113" t="str" cm="1">
        <f t="array" aca="1" ref="J50" ca="1">IFERROR(_xlfn.XLOOKUP($A50&amp;BasicProjectData!$G$18,PRICES!$B$2:$B$3684&amp;PRICES!$A$2:$A$3684,PRICES!$H$2:$H$3684)," ")</f>
        <v xml:space="preserve"> </v>
      </c>
      <c r="K50" s="113" t="str" cm="1">
        <f t="array" aca="1" ref="K50" ca="1">IFERROR(_xlfn.XLOOKUP($A50&amp;"All Districts",PRICES!$B$2:$B$3684&amp;PRICES!$A$2:$A$3684,PRICES!$H$2:$H$3684)," ")</f>
        <v xml:space="preserve"> </v>
      </c>
      <c r="L50" s="556" t="str" cm="1">
        <f t="array" aca="1" ref="L50" ca="1">_xlfn.SWITCH(E50,J50,"District Price",K50,"State Price","Other/User Input/Override")</f>
        <v>District Price</v>
      </c>
    </row>
    <row r="51" spans="1:12">
      <c r="A51" s="110" t="str">
        <f t="array" aca="1" ref="A51" ca="1">IFERROR(INDEX(OUTPUT!$A$9:'OUTPUT'!$A$247,SMALL(IF(OUTPUT!$F$9:$F$247&lt;&gt;0,MATCH(OUTPUT!$A$9:'OUTPUT'!$A$247,OUTPUT!$A$9:'OUTPUT'!$A$247,0)),ROWS(ProjectEstimate!A$9:A51)),1),"")</f>
        <v/>
      </c>
      <c r="B51" s="111" t="str">
        <f ca="1">_xlfn.IFNA(OFFSET(INDEX(Output[Item '#],MATCH($A51,Output[Item '#],0)),0,1)," ")</f>
        <v xml:space="preserve"> </v>
      </c>
      <c r="C51" s="111" t="str">
        <f ca="1">_xlfn.IFNA(OFFSET(INDEX(Output[Item '#],MATCH($A51,Output[Item '#],0)),0,2)," ")</f>
        <v xml:space="preserve"> </v>
      </c>
      <c r="D51" s="111" t="str">
        <f ca="1">_xlfn.IFNA(OFFSET(INDEX(Output[Item '#],MATCH($A51,Output[Item '#],0)),0,3)," ")</f>
        <v xml:space="preserve"> </v>
      </c>
      <c r="E51" s="659" t="str">
        <f ca="1">_xlfn.IFNA(OFFSET(INDEX(Output[Item '#],MATCH($A51,Output[Item '#],0)),0,4)," ")</f>
        <v xml:space="preserve"> </v>
      </c>
      <c r="F51" s="659" t="str">
        <f ca="1">_xlfn.IFNA(OFFSET(INDEX(Output[Item '#],MATCH($A51,Output[Item '#],0)),0,5)," ")</f>
        <v xml:space="preserve"> </v>
      </c>
      <c r="G51" s="121"/>
      <c r="H51" s="584" t="str">
        <f ca="1">_xlfn.XLOOKUP(A51,OUTPUT!$Y$10:$Y$165,OUTPUT!$Z$10:$Z$165,"MiscItems")</f>
        <v>MiscItems</v>
      </c>
      <c r="I51" s="553" t="str">
        <f t="shared" ca="1" si="0"/>
        <v xml:space="preserve"> </v>
      </c>
      <c r="J51" s="113" t="str" cm="1">
        <f t="array" aca="1" ref="J51" ca="1">IFERROR(_xlfn.XLOOKUP($A51&amp;BasicProjectData!$G$18,PRICES!$B$2:$B$3684&amp;PRICES!$A$2:$A$3684,PRICES!$H$2:$H$3684)," ")</f>
        <v xml:space="preserve"> </v>
      </c>
      <c r="K51" s="113" t="str" cm="1">
        <f t="array" aca="1" ref="K51" ca="1">IFERROR(_xlfn.XLOOKUP($A51&amp;"All Districts",PRICES!$B$2:$B$3684&amp;PRICES!$A$2:$A$3684,PRICES!$H$2:$H$3684)," ")</f>
        <v xml:space="preserve"> </v>
      </c>
      <c r="L51" s="556" t="str" cm="1">
        <f t="array" aca="1" ref="L51" ca="1">_xlfn.SWITCH(E51,J51,"District Price",K51,"State Price","Other/User Input/Override")</f>
        <v>District Price</v>
      </c>
    </row>
    <row r="52" spans="1:12">
      <c r="A52" s="110" t="str">
        <f t="array" aca="1" ref="A52" ca="1">IFERROR(INDEX(OUTPUT!$A$9:'OUTPUT'!$A$247,SMALL(IF(OUTPUT!$F$9:$F$247&lt;&gt;0,MATCH(OUTPUT!$A$9:'OUTPUT'!$A$247,OUTPUT!$A$9:'OUTPUT'!$A$247,0)),ROWS(ProjectEstimate!A$9:A52)),1),"")</f>
        <v/>
      </c>
      <c r="B52" s="111" t="str">
        <f ca="1">_xlfn.IFNA(OFFSET(INDEX(Output[Item '#],MATCH($A52,Output[Item '#],0)),0,1)," ")</f>
        <v xml:space="preserve"> </v>
      </c>
      <c r="C52" s="111" t="str">
        <f ca="1">_xlfn.IFNA(OFFSET(INDEX(Output[Item '#],MATCH($A52,Output[Item '#],0)),0,2)," ")</f>
        <v xml:space="preserve"> </v>
      </c>
      <c r="D52" s="111" t="str">
        <f ca="1">_xlfn.IFNA(OFFSET(INDEX(Output[Item '#],MATCH($A52,Output[Item '#],0)),0,3)," ")</f>
        <v xml:space="preserve"> </v>
      </c>
      <c r="E52" s="659" t="str">
        <f ca="1">_xlfn.IFNA(OFFSET(INDEX(Output[Item '#],MATCH($A52,Output[Item '#],0)),0,4)," ")</f>
        <v xml:space="preserve"> </v>
      </c>
      <c r="F52" s="659" t="str">
        <f ca="1">_xlfn.IFNA(OFFSET(INDEX(Output[Item '#],MATCH($A52,Output[Item '#],0)),0,5)," ")</f>
        <v xml:space="preserve"> </v>
      </c>
      <c r="G52" s="121"/>
      <c r="H52" s="584" t="str">
        <f ca="1">_xlfn.XLOOKUP(A52,OUTPUT!$Y$10:$Y$165,OUTPUT!$Z$10:$Z$165,"MiscItems")</f>
        <v>MiscItems</v>
      </c>
      <c r="I52" s="553" t="str">
        <f t="shared" ca="1" si="0"/>
        <v xml:space="preserve"> </v>
      </c>
      <c r="J52" s="113" t="str" cm="1">
        <f t="array" aca="1" ref="J52" ca="1">IFERROR(_xlfn.XLOOKUP($A52&amp;BasicProjectData!$G$18,PRICES!$B$2:$B$3684&amp;PRICES!$A$2:$A$3684,PRICES!$H$2:$H$3684)," ")</f>
        <v xml:space="preserve"> </v>
      </c>
      <c r="K52" s="113" t="str" cm="1">
        <f t="array" aca="1" ref="K52" ca="1">IFERROR(_xlfn.XLOOKUP($A52&amp;"All Districts",PRICES!$B$2:$B$3684&amp;PRICES!$A$2:$A$3684,PRICES!$H$2:$H$3684)," ")</f>
        <v xml:space="preserve"> </v>
      </c>
      <c r="L52" s="556" t="str" cm="1">
        <f t="array" aca="1" ref="L52" ca="1">_xlfn.SWITCH(E52,J52,"District Price",K52,"State Price","Other/User Input/Override")</f>
        <v>District Price</v>
      </c>
    </row>
    <row r="53" spans="1:12">
      <c r="A53" s="110" t="str">
        <f t="array" aca="1" ref="A53" ca="1">IFERROR(INDEX(OUTPUT!$A$9:'OUTPUT'!$A$247,SMALL(IF(OUTPUT!$F$9:$F$247&lt;&gt;0,MATCH(OUTPUT!$A$9:'OUTPUT'!$A$247,OUTPUT!$A$9:'OUTPUT'!$A$247,0)),ROWS(ProjectEstimate!A$9:A53)),1),"")</f>
        <v/>
      </c>
      <c r="B53" s="111" t="str">
        <f ca="1">_xlfn.IFNA(OFFSET(INDEX(Output[Item '#],MATCH($A53,Output[Item '#],0)),0,1)," ")</f>
        <v xml:space="preserve"> </v>
      </c>
      <c r="C53" s="111" t="str">
        <f ca="1">_xlfn.IFNA(OFFSET(INDEX(Output[Item '#],MATCH($A53,Output[Item '#],0)),0,2)," ")</f>
        <v xml:space="preserve"> </v>
      </c>
      <c r="D53" s="111" t="str">
        <f ca="1">_xlfn.IFNA(OFFSET(INDEX(Output[Item '#],MATCH($A53,Output[Item '#],0)),0,3)," ")</f>
        <v xml:space="preserve"> </v>
      </c>
      <c r="E53" s="659" t="str">
        <f ca="1">_xlfn.IFNA(OFFSET(INDEX(Output[Item '#],MATCH($A53,Output[Item '#],0)),0,4)," ")</f>
        <v xml:space="preserve"> </v>
      </c>
      <c r="F53" s="659" t="str">
        <f ca="1">_xlfn.IFNA(OFFSET(INDEX(Output[Item '#],MATCH($A53,Output[Item '#],0)),0,5)," ")</f>
        <v xml:space="preserve"> </v>
      </c>
      <c r="G53" s="121"/>
      <c r="H53" s="584" t="str">
        <f ca="1">_xlfn.XLOOKUP(A53,OUTPUT!$Y$10:$Y$165,OUTPUT!$Z$10:$Z$165,"MiscItems")</f>
        <v>MiscItems</v>
      </c>
      <c r="I53" s="553" t="str">
        <f t="shared" ref="I53:I80" ca="1" si="1">IFERROR(IF(ISNUMBER( A53),HYPERLINK("#"&amp;$H53&amp;"!A"&amp;MATCH($A53,INDIRECT($H53&amp;"!$C$1:$C$300"),0),CONCATENATE("Go to ",$A53)),HYPERLINK("#'"&amp;$H53&amp;"'!A"&amp;MATCH($A53,INDIRECT("'"&amp;$H53&amp;"'!$C$1:$C$300"),0),CONCATENATE("Go to ",$A53)))," ")</f>
        <v xml:space="preserve"> </v>
      </c>
      <c r="J53" s="113" t="str" cm="1">
        <f t="array" aca="1" ref="J53" ca="1">IFERROR(_xlfn.XLOOKUP($A53&amp;BasicProjectData!$G$18,PRICES!$B$2:$B$3684&amp;PRICES!$A$2:$A$3684,PRICES!$H$2:$H$3684)," ")</f>
        <v xml:space="preserve"> </v>
      </c>
      <c r="K53" s="113" t="str" cm="1">
        <f t="array" aca="1" ref="K53" ca="1">IFERROR(_xlfn.XLOOKUP($A53&amp;"All Districts",PRICES!$B$2:$B$3684&amp;PRICES!$A$2:$A$3684,PRICES!$H$2:$H$3684)," ")</f>
        <v xml:space="preserve"> </v>
      </c>
      <c r="L53" s="556" t="str" cm="1">
        <f t="array" aca="1" ref="L53" ca="1">_xlfn.SWITCH(E53,J53,"District Price",K53,"State Price","Other/User Input/Override")</f>
        <v>District Price</v>
      </c>
    </row>
    <row r="54" spans="1:12">
      <c r="A54" s="110" t="str">
        <f t="array" aca="1" ref="A54" ca="1">IFERROR(INDEX(OUTPUT!$A$9:'OUTPUT'!$A$247,SMALL(IF(OUTPUT!$F$9:$F$247&lt;&gt;0,MATCH(OUTPUT!$A$9:'OUTPUT'!$A$247,OUTPUT!$A$9:'OUTPUT'!$A$247,0)),ROWS(ProjectEstimate!A$9:A54)),1),"")</f>
        <v/>
      </c>
      <c r="B54" s="111" t="str">
        <f ca="1">_xlfn.IFNA(OFFSET(INDEX(Output[Item '#],MATCH($A54,Output[Item '#],0)),0,1)," ")</f>
        <v xml:space="preserve"> </v>
      </c>
      <c r="C54" s="111" t="str">
        <f ca="1">_xlfn.IFNA(OFFSET(INDEX(Output[Item '#],MATCH($A54,Output[Item '#],0)),0,2)," ")</f>
        <v xml:space="preserve"> </v>
      </c>
      <c r="D54" s="111" t="str">
        <f ca="1">_xlfn.IFNA(OFFSET(INDEX(Output[Item '#],MATCH($A54,Output[Item '#],0)),0,3)," ")</f>
        <v xml:space="preserve"> </v>
      </c>
      <c r="E54" s="659" t="str">
        <f ca="1">_xlfn.IFNA(OFFSET(INDEX(Output[Item '#],MATCH($A54,Output[Item '#],0)),0,4)," ")</f>
        <v xml:space="preserve"> </v>
      </c>
      <c r="F54" s="659" t="str">
        <f ca="1">_xlfn.IFNA(OFFSET(INDEX(Output[Item '#],MATCH($A54,Output[Item '#],0)),0,5)," ")</f>
        <v xml:space="preserve"> </v>
      </c>
      <c r="G54" s="121"/>
      <c r="H54" s="584" t="str">
        <f ca="1">_xlfn.XLOOKUP(A54,OUTPUT!$Y$10:$Y$165,OUTPUT!$Z$10:$Z$165,"MiscItems")</f>
        <v>MiscItems</v>
      </c>
      <c r="I54" s="553" t="str">
        <f t="shared" ca="1" si="1"/>
        <v xml:space="preserve"> </v>
      </c>
      <c r="J54" s="113" t="str" cm="1">
        <f t="array" aca="1" ref="J54" ca="1">IFERROR(_xlfn.XLOOKUP($A54&amp;BasicProjectData!$G$18,PRICES!$B$2:$B$3684&amp;PRICES!$A$2:$A$3684,PRICES!$H$2:$H$3684)," ")</f>
        <v xml:space="preserve"> </v>
      </c>
      <c r="K54" s="113" t="str" cm="1">
        <f t="array" aca="1" ref="K54" ca="1">IFERROR(_xlfn.XLOOKUP($A54&amp;"All Districts",PRICES!$B$2:$B$3684&amp;PRICES!$A$2:$A$3684,PRICES!$H$2:$H$3684)," ")</f>
        <v xml:space="preserve"> </v>
      </c>
      <c r="L54" s="556" t="str" cm="1">
        <f t="array" aca="1" ref="L54" ca="1">_xlfn.SWITCH(E54,J54,"District Price",K54,"State Price","Other/User Input/Override")</f>
        <v>District Price</v>
      </c>
    </row>
    <row r="55" spans="1:12">
      <c r="A55" s="110" t="str">
        <f t="array" aca="1" ref="A55" ca="1">IFERROR(INDEX(OUTPUT!$A$9:'OUTPUT'!$A$247,SMALL(IF(OUTPUT!$F$9:$F$247&lt;&gt;0,MATCH(OUTPUT!$A$9:'OUTPUT'!$A$247,OUTPUT!$A$9:'OUTPUT'!$A$247,0)),ROWS(ProjectEstimate!A$9:A55)),1),"")</f>
        <v/>
      </c>
      <c r="B55" s="111" t="str">
        <f ca="1">_xlfn.IFNA(OFFSET(INDEX(Output[Item '#],MATCH($A55,Output[Item '#],0)),0,1)," ")</f>
        <v xml:space="preserve"> </v>
      </c>
      <c r="C55" s="111" t="str">
        <f ca="1">_xlfn.IFNA(OFFSET(INDEX(Output[Item '#],MATCH($A55,Output[Item '#],0)),0,2)," ")</f>
        <v xml:space="preserve"> </v>
      </c>
      <c r="D55" s="111" t="str">
        <f ca="1">_xlfn.IFNA(OFFSET(INDEX(Output[Item '#],MATCH($A55,Output[Item '#],0)),0,3)," ")</f>
        <v xml:space="preserve"> </v>
      </c>
      <c r="E55" s="659" t="str">
        <f ca="1">_xlfn.IFNA(OFFSET(INDEX(Output[Item '#],MATCH($A55,Output[Item '#],0)),0,4)," ")</f>
        <v xml:space="preserve"> </v>
      </c>
      <c r="F55" s="659" t="str">
        <f ca="1">_xlfn.IFNA(OFFSET(INDEX(Output[Item '#],MATCH($A55,Output[Item '#],0)),0,5)," ")</f>
        <v xml:space="preserve"> </v>
      </c>
      <c r="G55" s="121"/>
      <c r="H55" s="584" t="str">
        <f ca="1">_xlfn.XLOOKUP(A55,OUTPUT!$Y$10:$Y$165,OUTPUT!$Z$10:$Z$165,"MiscItems")</f>
        <v>MiscItems</v>
      </c>
      <c r="I55" s="553" t="str">
        <f t="shared" ca="1" si="1"/>
        <v xml:space="preserve"> </v>
      </c>
      <c r="J55" s="113" t="str" cm="1">
        <f t="array" aca="1" ref="J55" ca="1">IFERROR(_xlfn.XLOOKUP($A55&amp;BasicProjectData!$G$18,PRICES!$B$2:$B$3684&amp;PRICES!$A$2:$A$3684,PRICES!$H$2:$H$3684)," ")</f>
        <v xml:space="preserve"> </v>
      </c>
      <c r="K55" s="113" t="str" cm="1">
        <f t="array" aca="1" ref="K55" ca="1">IFERROR(_xlfn.XLOOKUP($A55&amp;"All Districts",PRICES!$B$2:$B$3684&amp;PRICES!$A$2:$A$3684,PRICES!$H$2:$H$3684)," ")</f>
        <v xml:space="preserve"> </v>
      </c>
      <c r="L55" s="556" t="str" cm="1">
        <f t="array" aca="1" ref="L55" ca="1">_xlfn.SWITCH(E55,J55,"District Price",K55,"State Price","Other/User Input/Override")</f>
        <v>District Price</v>
      </c>
    </row>
    <row r="56" spans="1:12">
      <c r="A56" s="110" t="str">
        <f t="array" aca="1" ref="A56" ca="1">IFERROR(INDEX(OUTPUT!$A$9:'OUTPUT'!$A$247,SMALL(IF(OUTPUT!$F$9:$F$247&lt;&gt;0,MATCH(OUTPUT!$A$9:'OUTPUT'!$A$247,OUTPUT!$A$9:'OUTPUT'!$A$247,0)),ROWS(ProjectEstimate!A$9:A56)),1),"")</f>
        <v/>
      </c>
      <c r="B56" s="111" t="str">
        <f ca="1">_xlfn.IFNA(OFFSET(INDEX(Output[Item '#],MATCH($A56,Output[Item '#],0)),0,1)," ")</f>
        <v xml:space="preserve"> </v>
      </c>
      <c r="C56" s="111" t="str">
        <f ca="1">_xlfn.IFNA(OFFSET(INDEX(Output[Item '#],MATCH($A56,Output[Item '#],0)),0,2)," ")</f>
        <v xml:space="preserve"> </v>
      </c>
      <c r="D56" s="111" t="str">
        <f ca="1">_xlfn.IFNA(OFFSET(INDEX(Output[Item '#],MATCH($A56,Output[Item '#],0)),0,3)," ")</f>
        <v xml:space="preserve"> </v>
      </c>
      <c r="E56" s="659" t="str">
        <f ca="1">_xlfn.IFNA(OFFSET(INDEX(Output[Item '#],MATCH($A56,Output[Item '#],0)),0,4)," ")</f>
        <v xml:space="preserve"> </v>
      </c>
      <c r="F56" s="659" t="str">
        <f ca="1">_xlfn.IFNA(OFFSET(INDEX(Output[Item '#],MATCH($A56,Output[Item '#],0)),0,5)," ")</f>
        <v xml:space="preserve"> </v>
      </c>
      <c r="G56" s="121"/>
      <c r="H56" s="584" t="str">
        <f ca="1">_xlfn.XLOOKUP(A56,OUTPUT!$Y$10:$Y$165,OUTPUT!$Z$10:$Z$165,"MiscItems")</f>
        <v>MiscItems</v>
      </c>
      <c r="I56" s="553" t="str">
        <f t="shared" ca="1" si="1"/>
        <v xml:space="preserve"> </v>
      </c>
      <c r="J56" s="113" t="str" cm="1">
        <f t="array" aca="1" ref="J56" ca="1">IFERROR(_xlfn.XLOOKUP($A56&amp;BasicProjectData!$G$18,PRICES!$B$2:$B$3684&amp;PRICES!$A$2:$A$3684,PRICES!$H$2:$H$3684)," ")</f>
        <v xml:space="preserve"> </v>
      </c>
      <c r="K56" s="113" t="str" cm="1">
        <f t="array" aca="1" ref="K56" ca="1">IFERROR(_xlfn.XLOOKUP($A56&amp;"All Districts",PRICES!$B$2:$B$3684&amp;PRICES!$A$2:$A$3684,PRICES!$H$2:$H$3684)," ")</f>
        <v xml:space="preserve"> </v>
      </c>
      <c r="L56" s="556" t="str" cm="1">
        <f t="array" aca="1" ref="L56" ca="1">_xlfn.SWITCH(E56,J56,"District Price",K56,"State Price","Other/User Input/Override")</f>
        <v>District Price</v>
      </c>
    </row>
    <row r="57" spans="1:12">
      <c r="A57" s="110" t="str">
        <f t="array" aca="1" ref="A57" ca="1">IFERROR(INDEX(OUTPUT!$A$9:'OUTPUT'!$A$247,SMALL(IF(OUTPUT!$F$9:$F$247&lt;&gt;0,MATCH(OUTPUT!$A$9:'OUTPUT'!$A$247,OUTPUT!$A$9:'OUTPUT'!$A$247,0)),ROWS(ProjectEstimate!A$9:A57)),1),"")</f>
        <v/>
      </c>
      <c r="B57" s="111" t="str">
        <f ca="1">_xlfn.IFNA(OFFSET(INDEX(Output[Item '#],MATCH($A57,Output[Item '#],0)),0,1)," ")</f>
        <v xml:space="preserve"> </v>
      </c>
      <c r="C57" s="111" t="str">
        <f ca="1">_xlfn.IFNA(OFFSET(INDEX(Output[Item '#],MATCH($A57,Output[Item '#],0)),0,2)," ")</f>
        <v xml:space="preserve"> </v>
      </c>
      <c r="D57" s="111" t="str">
        <f ca="1">_xlfn.IFNA(OFFSET(INDEX(Output[Item '#],MATCH($A57,Output[Item '#],0)),0,3)," ")</f>
        <v xml:space="preserve"> </v>
      </c>
      <c r="E57" s="659" t="str">
        <f ca="1">_xlfn.IFNA(OFFSET(INDEX(Output[Item '#],MATCH($A57,Output[Item '#],0)),0,4)," ")</f>
        <v xml:space="preserve"> </v>
      </c>
      <c r="F57" s="659" t="str">
        <f ca="1">_xlfn.IFNA(OFFSET(INDEX(Output[Item '#],MATCH($A57,Output[Item '#],0)),0,5)," ")</f>
        <v xml:space="preserve"> </v>
      </c>
      <c r="G57" s="121"/>
      <c r="H57" s="584" t="str">
        <f ca="1">_xlfn.XLOOKUP(A57,OUTPUT!$Y$10:$Y$165,OUTPUT!$Z$10:$Z$165,"MiscItems")</f>
        <v>MiscItems</v>
      </c>
      <c r="I57" s="553" t="str">
        <f t="shared" ca="1" si="1"/>
        <v xml:space="preserve"> </v>
      </c>
      <c r="J57" s="113" t="str" cm="1">
        <f t="array" aca="1" ref="J57" ca="1">IFERROR(_xlfn.XLOOKUP($A57&amp;BasicProjectData!$G$18,PRICES!$B$2:$B$3684&amp;PRICES!$A$2:$A$3684,PRICES!$H$2:$H$3684)," ")</f>
        <v xml:space="preserve"> </v>
      </c>
      <c r="K57" s="113" t="str" cm="1">
        <f t="array" aca="1" ref="K57" ca="1">IFERROR(_xlfn.XLOOKUP($A57&amp;"All Districts",PRICES!$B$2:$B$3684&amp;PRICES!$A$2:$A$3684,PRICES!$H$2:$H$3684)," ")</f>
        <v xml:space="preserve"> </v>
      </c>
      <c r="L57" s="556" t="str" cm="1">
        <f t="array" aca="1" ref="L57" ca="1">_xlfn.SWITCH(E57,J57,"District Price",K57,"State Price","Other/User Input/Override")</f>
        <v>District Price</v>
      </c>
    </row>
    <row r="58" spans="1:12">
      <c r="A58" s="110" t="str">
        <f t="array" aca="1" ref="A58" ca="1">IFERROR(INDEX(OUTPUT!$A$9:'OUTPUT'!$A$247,SMALL(IF(OUTPUT!$F$9:$F$247&lt;&gt;0,MATCH(OUTPUT!$A$9:'OUTPUT'!$A$247,OUTPUT!$A$9:'OUTPUT'!$A$247,0)),ROWS(ProjectEstimate!A$9:A58)),1),"")</f>
        <v/>
      </c>
      <c r="B58" s="111" t="str">
        <f ca="1">_xlfn.IFNA(OFFSET(INDEX(Output[Item '#],MATCH($A58,Output[Item '#],0)),0,1)," ")</f>
        <v xml:space="preserve"> </v>
      </c>
      <c r="C58" s="111" t="str">
        <f ca="1">_xlfn.IFNA(OFFSET(INDEX(Output[Item '#],MATCH($A58,Output[Item '#],0)),0,2)," ")</f>
        <v xml:space="preserve"> </v>
      </c>
      <c r="D58" s="111" t="str">
        <f ca="1">_xlfn.IFNA(OFFSET(INDEX(Output[Item '#],MATCH($A58,Output[Item '#],0)),0,3)," ")</f>
        <v xml:space="preserve"> </v>
      </c>
      <c r="E58" s="659" t="str">
        <f ca="1">_xlfn.IFNA(OFFSET(INDEX(Output[Item '#],MATCH($A58,Output[Item '#],0)),0,4)," ")</f>
        <v xml:space="preserve"> </v>
      </c>
      <c r="F58" s="659" t="str">
        <f ca="1">_xlfn.IFNA(OFFSET(INDEX(Output[Item '#],MATCH($A58,Output[Item '#],0)),0,5)," ")</f>
        <v xml:space="preserve"> </v>
      </c>
      <c r="G58" s="121"/>
      <c r="H58" s="584" t="str">
        <f ca="1">_xlfn.XLOOKUP(A58,OUTPUT!$Y$10:$Y$165,OUTPUT!$Z$10:$Z$165,"MiscItems")</f>
        <v>MiscItems</v>
      </c>
      <c r="I58" s="553" t="str">
        <f t="shared" ca="1" si="1"/>
        <v xml:space="preserve"> </v>
      </c>
      <c r="J58" s="113" t="str" cm="1">
        <f t="array" aca="1" ref="J58" ca="1">IFERROR(_xlfn.XLOOKUP($A58&amp;BasicProjectData!$G$18,PRICES!$B$2:$B$3684&amp;PRICES!$A$2:$A$3684,PRICES!$H$2:$H$3684)," ")</f>
        <v xml:space="preserve"> </v>
      </c>
      <c r="K58" s="113" t="str" cm="1">
        <f t="array" aca="1" ref="K58" ca="1">IFERROR(_xlfn.XLOOKUP($A58&amp;"All Districts",PRICES!$B$2:$B$3684&amp;PRICES!$A$2:$A$3684,PRICES!$H$2:$H$3684)," ")</f>
        <v xml:space="preserve"> </v>
      </c>
      <c r="L58" s="556" t="str" cm="1">
        <f t="array" aca="1" ref="L58" ca="1">_xlfn.SWITCH(E58,J58,"District Price",K58,"State Price","Other/User Input/Override")</f>
        <v>District Price</v>
      </c>
    </row>
    <row r="59" spans="1:12">
      <c r="A59" s="110" t="str">
        <f t="array" aca="1" ref="A59" ca="1">IFERROR(INDEX(OUTPUT!$A$9:'OUTPUT'!$A$247,SMALL(IF(OUTPUT!$F$9:$F$247&lt;&gt;0,MATCH(OUTPUT!$A$9:'OUTPUT'!$A$247,OUTPUT!$A$9:'OUTPUT'!$A$247,0)),ROWS(ProjectEstimate!A$9:A59)),1),"")</f>
        <v/>
      </c>
      <c r="B59" s="111" t="str">
        <f ca="1">_xlfn.IFNA(OFFSET(INDEX(Output[Item '#],MATCH($A59,Output[Item '#],0)),0,1)," ")</f>
        <v xml:space="preserve"> </v>
      </c>
      <c r="C59" s="111" t="str">
        <f ca="1">_xlfn.IFNA(OFFSET(INDEX(Output[Item '#],MATCH($A59,Output[Item '#],0)),0,2)," ")</f>
        <v xml:space="preserve"> </v>
      </c>
      <c r="D59" s="111" t="str">
        <f ca="1">_xlfn.IFNA(OFFSET(INDEX(Output[Item '#],MATCH($A59,Output[Item '#],0)),0,3)," ")</f>
        <v xml:space="preserve"> </v>
      </c>
      <c r="E59" s="659" t="str">
        <f ca="1">_xlfn.IFNA(OFFSET(INDEX(Output[Item '#],MATCH($A59,Output[Item '#],0)),0,4)," ")</f>
        <v xml:space="preserve"> </v>
      </c>
      <c r="F59" s="659" t="str">
        <f ca="1">_xlfn.IFNA(OFFSET(INDEX(Output[Item '#],MATCH($A59,Output[Item '#],0)),0,5)," ")</f>
        <v xml:space="preserve"> </v>
      </c>
      <c r="G59" s="121"/>
      <c r="H59" s="584" t="str">
        <f ca="1">_xlfn.XLOOKUP(A59,OUTPUT!$Y$10:$Y$165,OUTPUT!$Z$10:$Z$165,"MiscItems")</f>
        <v>MiscItems</v>
      </c>
      <c r="I59" s="553" t="str">
        <f t="shared" ca="1" si="1"/>
        <v xml:space="preserve"> </v>
      </c>
      <c r="J59" s="113" t="str" cm="1">
        <f t="array" aca="1" ref="J59" ca="1">IFERROR(_xlfn.XLOOKUP($A59&amp;BasicProjectData!$G$18,PRICES!$B$2:$B$3684&amp;PRICES!$A$2:$A$3684,PRICES!$H$2:$H$3684)," ")</f>
        <v xml:space="preserve"> </v>
      </c>
      <c r="K59" s="113" t="str" cm="1">
        <f t="array" aca="1" ref="K59" ca="1">IFERROR(_xlfn.XLOOKUP($A59&amp;"All Districts",PRICES!$B$2:$B$3684&amp;PRICES!$A$2:$A$3684,PRICES!$H$2:$H$3684)," ")</f>
        <v xml:space="preserve"> </v>
      </c>
      <c r="L59" s="556" t="str" cm="1">
        <f t="array" aca="1" ref="L59" ca="1">_xlfn.SWITCH(E59,J59,"District Price",K59,"State Price","Other/User Input/Override")</f>
        <v>District Price</v>
      </c>
    </row>
    <row r="60" spans="1:12">
      <c r="A60" s="110" t="str">
        <f t="array" aca="1" ref="A60" ca="1">IFERROR(INDEX(OUTPUT!$A$9:'OUTPUT'!$A$247,SMALL(IF(OUTPUT!$F$9:$F$247&lt;&gt;0,MATCH(OUTPUT!$A$9:'OUTPUT'!$A$247,OUTPUT!$A$9:'OUTPUT'!$A$247,0)),ROWS(ProjectEstimate!A$9:A60)),1),"")</f>
        <v/>
      </c>
      <c r="B60" s="111" t="str">
        <f ca="1">_xlfn.IFNA(OFFSET(INDEX(Output[Item '#],MATCH($A60,Output[Item '#],0)),0,1)," ")</f>
        <v xml:space="preserve"> </v>
      </c>
      <c r="C60" s="111" t="str">
        <f ca="1">_xlfn.IFNA(OFFSET(INDEX(Output[Item '#],MATCH($A60,Output[Item '#],0)),0,2)," ")</f>
        <v xml:space="preserve"> </v>
      </c>
      <c r="D60" s="111" t="str">
        <f ca="1">_xlfn.IFNA(OFFSET(INDEX(Output[Item '#],MATCH($A60,Output[Item '#],0)),0,3)," ")</f>
        <v xml:space="preserve"> </v>
      </c>
      <c r="E60" s="659" t="str">
        <f ca="1">_xlfn.IFNA(OFFSET(INDEX(Output[Item '#],MATCH($A60,Output[Item '#],0)),0,4)," ")</f>
        <v xml:space="preserve"> </v>
      </c>
      <c r="F60" s="659" t="str">
        <f ca="1">_xlfn.IFNA(OFFSET(INDEX(Output[Item '#],MATCH($A60,Output[Item '#],0)),0,5)," ")</f>
        <v xml:space="preserve"> </v>
      </c>
      <c r="G60" s="121"/>
      <c r="H60" s="584" t="str">
        <f ca="1">_xlfn.XLOOKUP(A60,OUTPUT!$Y$10:$Y$165,OUTPUT!$Z$10:$Z$165,"MiscItems")</f>
        <v>MiscItems</v>
      </c>
      <c r="I60" s="553" t="str">
        <f t="shared" ca="1" si="1"/>
        <v xml:space="preserve"> </v>
      </c>
      <c r="J60" s="113" t="str" cm="1">
        <f t="array" aca="1" ref="J60" ca="1">IFERROR(_xlfn.XLOOKUP($A60&amp;BasicProjectData!$G$18,PRICES!$B$2:$B$3684&amp;PRICES!$A$2:$A$3684,PRICES!$H$2:$H$3684)," ")</f>
        <v xml:space="preserve"> </v>
      </c>
      <c r="K60" s="113" t="str" cm="1">
        <f t="array" aca="1" ref="K60" ca="1">IFERROR(_xlfn.XLOOKUP($A60&amp;"All Districts",PRICES!$B$2:$B$3684&amp;PRICES!$A$2:$A$3684,PRICES!$H$2:$H$3684)," ")</f>
        <v xml:space="preserve"> </v>
      </c>
      <c r="L60" s="556" t="str" cm="1">
        <f t="array" aca="1" ref="L60" ca="1">_xlfn.SWITCH(E60,J60,"District Price",K60,"State Price","Other/User Input/Override")</f>
        <v>District Price</v>
      </c>
    </row>
    <row r="61" spans="1:12">
      <c r="A61" s="110" t="str">
        <f t="array" aca="1" ref="A61" ca="1">IFERROR(INDEX(OUTPUT!$A$9:'OUTPUT'!$A$247,SMALL(IF(OUTPUT!$F$9:$F$247&lt;&gt;0,MATCH(OUTPUT!$A$9:'OUTPUT'!$A$247,OUTPUT!$A$9:'OUTPUT'!$A$247,0)),ROWS(ProjectEstimate!A$9:A61)),1),"")</f>
        <v/>
      </c>
      <c r="B61" s="111" t="str">
        <f ca="1">_xlfn.IFNA(OFFSET(INDEX(Output[Item '#],MATCH($A61,Output[Item '#],0)),0,1)," ")</f>
        <v xml:space="preserve"> </v>
      </c>
      <c r="C61" s="111" t="str">
        <f ca="1">_xlfn.IFNA(OFFSET(INDEX(Output[Item '#],MATCH($A61,Output[Item '#],0)),0,2)," ")</f>
        <v xml:space="preserve"> </v>
      </c>
      <c r="D61" s="111" t="str">
        <f ca="1">_xlfn.IFNA(OFFSET(INDEX(Output[Item '#],MATCH($A61,Output[Item '#],0)),0,3)," ")</f>
        <v xml:space="preserve"> </v>
      </c>
      <c r="E61" s="659" t="str">
        <f ca="1">_xlfn.IFNA(OFFSET(INDEX(Output[Item '#],MATCH($A61,Output[Item '#],0)),0,4)," ")</f>
        <v xml:space="preserve"> </v>
      </c>
      <c r="F61" s="659" t="str">
        <f ca="1">_xlfn.IFNA(OFFSET(INDEX(Output[Item '#],MATCH($A61,Output[Item '#],0)),0,5)," ")</f>
        <v xml:space="preserve"> </v>
      </c>
      <c r="G61" s="121"/>
      <c r="H61" s="584" t="str">
        <f ca="1">_xlfn.XLOOKUP(A61,OUTPUT!$Y$10:$Y$165,OUTPUT!$Z$10:$Z$165,"MiscItems")</f>
        <v>MiscItems</v>
      </c>
      <c r="I61" s="553" t="str">
        <f t="shared" ca="1" si="1"/>
        <v xml:space="preserve"> </v>
      </c>
      <c r="J61" s="113" t="str" cm="1">
        <f t="array" aca="1" ref="J61" ca="1">IFERROR(_xlfn.XLOOKUP($A61&amp;BasicProjectData!$G$18,PRICES!$B$2:$B$3684&amp;PRICES!$A$2:$A$3684,PRICES!$H$2:$H$3684)," ")</f>
        <v xml:space="preserve"> </v>
      </c>
      <c r="K61" s="113" t="str" cm="1">
        <f t="array" aca="1" ref="K61" ca="1">IFERROR(_xlfn.XLOOKUP($A61&amp;"All Districts",PRICES!$B$2:$B$3684&amp;PRICES!$A$2:$A$3684,PRICES!$H$2:$H$3684)," ")</f>
        <v xml:space="preserve"> </v>
      </c>
      <c r="L61" s="556" t="str" cm="1">
        <f t="array" aca="1" ref="L61" ca="1">_xlfn.SWITCH(E61,J61,"District Price",K61,"State Price","Other/User Input/Override")</f>
        <v>District Price</v>
      </c>
    </row>
    <row r="62" spans="1:12">
      <c r="A62" s="110" t="str">
        <f t="array" aca="1" ref="A62" ca="1">IFERROR(INDEX(OUTPUT!$A$9:'OUTPUT'!$A$247,SMALL(IF(OUTPUT!$F$9:$F$247&lt;&gt;0,MATCH(OUTPUT!$A$9:'OUTPUT'!$A$247,OUTPUT!$A$9:'OUTPUT'!$A$247,0)),ROWS(ProjectEstimate!A$9:A62)),1),"")</f>
        <v/>
      </c>
      <c r="B62" s="111" t="str">
        <f ca="1">_xlfn.IFNA(OFFSET(INDEX(Output[Item '#],MATCH($A62,Output[Item '#],0)),0,1)," ")</f>
        <v xml:space="preserve"> </v>
      </c>
      <c r="C62" s="111" t="str">
        <f ca="1">_xlfn.IFNA(OFFSET(INDEX(Output[Item '#],MATCH($A62,Output[Item '#],0)),0,2)," ")</f>
        <v xml:space="preserve"> </v>
      </c>
      <c r="D62" s="111" t="str">
        <f ca="1">_xlfn.IFNA(OFFSET(INDEX(Output[Item '#],MATCH($A62,Output[Item '#],0)),0,3)," ")</f>
        <v xml:space="preserve"> </v>
      </c>
      <c r="E62" s="659" t="str">
        <f ca="1">_xlfn.IFNA(OFFSET(INDEX(Output[Item '#],MATCH($A62,Output[Item '#],0)),0,4)," ")</f>
        <v xml:space="preserve"> </v>
      </c>
      <c r="F62" s="659" t="str">
        <f ca="1">_xlfn.IFNA(OFFSET(INDEX(Output[Item '#],MATCH($A62,Output[Item '#],0)),0,5)," ")</f>
        <v xml:space="preserve"> </v>
      </c>
      <c r="G62" s="121"/>
      <c r="H62" s="584" t="str">
        <f ca="1">_xlfn.XLOOKUP(A62,OUTPUT!$Y$10:$Y$165,OUTPUT!$Z$10:$Z$165,"MiscItems")</f>
        <v>MiscItems</v>
      </c>
      <c r="I62" s="553" t="str">
        <f t="shared" ca="1" si="1"/>
        <v xml:space="preserve"> </v>
      </c>
      <c r="J62" s="113" t="str" cm="1">
        <f t="array" aca="1" ref="J62" ca="1">IFERROR(_xlfn.XLOOKUP($A62&amp;BasicProjectData!$G$18,PRICES!$B$2:$B$3684&amp;PRICES!$A$2:$A$3684,PRICES!$H$2:$H$3684)," ")</f>
        <v xml:space="preserve"> </v>
      </c>
      <c r="K62" s="113" t="str" cm="1">
        <f t="array" aca="1" ref="K62" ca="1">IFERROR(_xlfn.XLOOKUP($A62&amp;"All Districts",PRICES!$B$2:$B$3684&amp;PRICES!$A$2:$A$3684,PRICES!$H$2:$H$3684)," ")</f>
        <v xml:space="preserve"> </v>
      </c>
      <c r="L62" s="556" t="str" cm="1">
        <f t="array" aca="1" ref="L62" ca="1">_xlfn.SWITCH(E62,J62,"District Price",K62,"State Price","Other/User Input/Override")</f>
        <v>District Price</v>
      </c>
    </row>
    <row r="63" spans="1:12">
      <c r="A63" s="110" t="str">
        <f t="array" aca="1" ref="A63" ca="1">IFERROR(INDEX(OUTPUT!$A$9:'OUTPUT'!$A$247,SMALL(IF(OUTPUT!$F$9:$F$247&lt;&gt;0,MATCH(OUTPUT!$A$9:'OUTPUT'!$A$247,OUTPUT!$A$9:'OUTPUT'!$A$247,0)),ROWS(ProjectEstimate!A$9:A63)),1),"")</f>
        <v/>
      </c>
      <c r="B63" s="111" t="str">
        <f ca="1">_xlfn.IFNA(OFFSET(INDEX(Output[Item '#],MATCH($A63,Output[Item '#],0)),0,1)," ")</f>
        <v xml:space="preserve"> </v>
      </c>
      <c r="C63" s="111" t="str">
        <f ca="1">_xlfn.IFNA(OFFSET(INDEX(Output[Item '#],MATCH($A63,Output[Item '#],0)),0,2)," ")</f>
        <v xml:space="preserve"> </v>
      </c>
      <c r="D63" s="111" t="str">
        <f ca="1">_xlfn.IFNA(OFFSET(INDEX(Output[Item '#],MATCH($A63,Output[Item '#],0)),0,3)," ")</f>
        <v xml:space="preserve"> </v>
      </c>
      <c r="E63" s="659" t="str">
        <f ca="1">_xlfn.IFNA(OFFSET(INDEX(Output[Item '#],MATCH($A63,Output[Item '#],0)),0,4)," ")</f>
        <v xml:space="preserve"> </v>
      </c>
      <c r="F63" s="659" t="str">
        <f ca="1">_xlfn.IFNA(OFFSET(INDEX(Output[Item '#],MATCH($A63,Output[Item '#],0)),0,5)," ")</f>
        <v xml:space="preserve"> </v>
      </c>
      <c r="G63" s="121"/>
      <c r="H63" s="584" t="str">
        <f ca="1">_xlfn.XLOOKUP(A63,OUTPUT!$Y$10:$Y$165,OUTPUT!$Z$10:$Z$165,"MiscItems")</f>
        <v>MiscItems</v>
      </c>
      <c r="I63" s="553" t="str">
        <f t="shared" ca="1" si="1"/>
        <v xml:space="preserve"> </v>
      </c>
      <c r="J63" s="113" t="str" cm="1">
        <f t="array" aca="1" ref="J63" ca="1">IFERROR(_xlfn.XLOOKUP($A63&amp;BasicProjectData!$G$18,PRICES!$B$2:$B$3684&amp;PRICES!$A$2:$A$3684,PRICES!$H$2:$H$3684)," ")</f>
        <v xml:space="preserve"> </v>
      </c>
      <c r="K63" s="113" t="str" cm="1">
        <f t="array" aca="1" ref="K63" ca="1">IFERROR(_xlfn.XLOOKUP($A63&amp;"All Districts",PRICES!$B$2:$B$3684&amp;PRICES!$A$2:$A$3684,PRICES!$H$2:$H$3684)," ")</f>
        <v xml:space="preserve"> </v>
      </c>
      <c r="L63" s="556" t="str" cm="1">
        <f t="array" aca="1" ref="L63" ca="1">_xlfn.SWITCH(E63,J63,"District Price",K63,"State Price","Other/User Input/Override")</f>
        <v>District Price</v>
      </c>
    </row>
    <row r="64" spans="1:12">
      <c r="A64" s="110" t="str">
        <f t="array" aca="1" ref="A64" ca="1">IFERROR(INDEX(OUTPUT!$A$9:'OUTPUT'!$A$247,SMALL(IF(OUTPUT!$F$9:$F$247&lt;&gt;0,MATCH(OUTPUT!$A$9:'OUTPUT'!$A$247,OUTPUT!$A$9:'OUTPUT'!$A$247,0)),ROWS(ProjectEstimate!A$9:A64)),1),"")</f>
        <v/>
      </c>
      <c r="B64" s="111" t="str">
        <f ca="1">_xlfn.IFNA(OFFSET(INDEX(Output[Item '#],MATCH($A64,Output[Item '#],0)),0,1)," ")</f>
        <v xml:space="preserve"> </v>
      </c>
      <c r="C64" s="111" t="str">
        <f ca="1">_xlfn.IFNA(OFFSET(INDEX(Output[Item '#],MATCH($A64,Output[Item '#],0)),0,2)," ")</f>
        <v xml:space="preserve"> </v>
      </c>
      <c r="D64" s="111" t="str">
        <f ca="1">_xlfn.IFNA(OFFSET(INDEX(Output[Item '#],MATCH($A64,Output[Item '#],0)),0,3)," ")</f>
        <v xml:space="preserve"> </v>
      </c>
      <c r="E64" s="659" t="str">
        <f ca="1">_xlfn.IFNA(OFFSET(INDEX(Output[Item '#],MATCH($A64,Output[Item '#],0)),0,4)," ")</f>
        <v xml:space="preserve"> </v>
      </c>
      <c r="F64" s="659" t="str">
        <f ca="1">_xlfn.IFNA(OFFSET(INDEX(Output[Item '#],MATCH($A64,Output[Item '#],0)),0,5)," ")</f>
        <v xml:space="preserve"> </v>
      </c>
      <c r="G64" s="121"/>
      <c r="H64" s="584" t="str">
        <f ca="1">_xlfn.XLOOKUP(A64,OUTPUT!$Y$10:$Y$165,OUTPUT!$Z$10:$Z$165,"MiscItems")</f>
        <v>MiscItems</v>
      </c>
      <c r="I64" s="553" t="str">
        <f t="shared" ca="1" si="1"/>
        <v xml:space="preserve"> </v>
      </c>
      <c r="J64" s="113" t="str" cm="1">
        <f t="array" aca="1" ref="J64" ca="1">IFERROR(_xlfn.XLOOKUP($A64&amp;BasicProjectData!$G$18,PRICES!$B$2:$B$3684&amp;PRICES!$A$2:$A$3684,PRICES!$H$2:$H$3684)," ")</f>
        <v xml:space="preserve"> </v>
      </c>
      <c r="K64" s="113" t="str" cm="1">
        <f t="array" aca="1" ref="K64" ca="1">IFERROR(_xlfn.XLOOKUP($A64&amp;"All Districts",PRICES!$B$2:$B$3684&amp;PRICES!$A$2:$A$3684,PRICES!$H$2:$H$3684)," ")</f>
        <v xml:space="preserve"> </v>
      </c>
      <c r="L64" s="556" t="str" cm="1">
        <f t="array" aca="1" ref="L64" ca="1">_xlfn.SWITCH(E64,J64,"District Price",K64,"State Price","Other/User Input/Override")</f>
        <v>District Price</v>
      </c>
    </row>
    <row r="65" spans="1:12">
      <c r="A65" s="110" t="str">
        <f t="array" aca="1" ref="A65" ca="1">IFERROR(INDEX(OUTPUT!$A$9:'OUTPUT'!$A$247,SMALL(IF(OUTPUT!$F$9:$F$247&lt;&gt;0,MATCH(OUTPUT!$A$9:'OUTPUT'!$A$247,OUTPUT!$A$9:'OUTPUT'!$A$247,0)),ROWS(ProjectEstimate!A$9:A65)),1),"")</f>
        <v/>
      </c>
      <c r="B65" s="111" t="str">
        <f ca="1">_xlfn.IFNA(OFFSET(INDEX(Output[Item '#],MATCH($A65,Output[Item '#],0)),0,1)," ")</f>
        <v xml:space="preserve"> </v>
      </c>
      <c r="C65" s="111" t="str">
        <f ca="1">_xlfn.IFNA(OFFSET(INDEX(Output[Item '#],MATCH($A65,Output[Item '#],0)),0,2)," ")</f>
        <v xml:space="preserve"> </v>
      </c>
      <c r="D65" s="111" t="str">
        <f ca="1">_xlfn.IFNA(OFFSET(INDEX(Output[Item '#],MATCH($A65,Output[Item '#],0)),0,3)," ")</f>
        <v xml:space="preserve"> </v>
      </c>
      <c r="E65" s="659" t="str">
        <f ca="1">_xlfn.IFNA(OFFSET(INDEX(Output[Item '#],MATCH($A65,Output[Item '#],0)),0,4)," ")</f>
        <v xml:space="preserve"> </v>
      </c>
      <c r="F65" s="659" t="str">
        <f ca="1">_xlfn.IFNA(OFFSET(INDEX(Output[Item '#],MATCH($A65,Output[Item '#],0)),0,5)," ")</f>
        <v xml:space="preserve"> </v>
      </c>
      <c r="G65" s="121"/>
      <c r="H65" s="584" t="str">
        <f ca="1">_xlfn.XLOOKUP(A65,OUTPUT!$Y$10:$Y$165,OUTPUT!$Z$10:$Z$165,"MiscItems")</f>
        <v>MiscItems</v>
      </c>
      <c r="I65" s="553" t="str">
        <f t="shared" ca="1" si="1"/>
        <v xml:space="preserve"> </v>
      </c>
      <c r="J65" s="113" t="str" cm="1">
        <f t="array" aca="1" ref="J65" ca="1">IFERROR(_xlfn.XLOOKUP($A65&amp;BasicProjectData!$G$18,PRICES!$B$2:$B$3684&amp;PRICES!$A$2:$A$3684,PRICES!$H$2:$H$3684)," ")</f>
        <v xml:space="preserve"> </v>
      </c>
      <c r="K65" s="113" t="str" cm="1">
        <f t="array" aca="1" ref="K65" ca="1">IFERROR(_xlfn.XLOOKUP($A65&amp;"All Districts",PRICES!$B$2:$B$3684&amp;PRICES!$A$2:$A$3684,PRICES!$H$2:$H$3684)," ")</f>
        <v xml:space="preserve"> </v>
      </c>
      <c r="L65" s="556" t="str" cm="1">
        <f t="array" aca="1" ref="L65" ca="1">_xlfn.SWITCH(E65,J65,"District Price",K65,"State Price","Other/User Input/Override")</f>
        <v>District Price</v>
      </c>
    </row>
    <row r="66" spans="1:12">
      <c r="A66" s="110" t="str">
        <f t="array" aca="1" ref="A66" ca="1">IFERROR(INDEX(OUTPUT!$A$9:'OUTPUT'!$A$247,SMALL(IF(OUTPUT!$F$9:$F$247&lt;&gt;0,MATCH(OUTPUT!$A$9:'OUTPUT'!$A$247,OUTPUT!$A$9:'OUTPUT'!$A$247,0)),ROWS(ProjectEstimate!A$9:A66)),1),"")</f>
        <v/>
      </c>
      <c r="B66" s="111" t="str">
        <f ca="1">_xlfn.IFNA(OFFSET(INDEX(Output[Item '#],MATCH($A66,Output[Item '#],0)),0,1)," ")</f>
        <v xml:space="preserve"> </v>
      </c>
      <c r="C66" s="111" t="str">
        <f ca="1">_xlfn.IFNA(OFFSET(INDEX(Output[Item '#],MATCH($A66,Output[Item '#],0)),0,2)," ")</f>
        <v xml:space="preserve"> </v>
      </c>
      <c r="D66" s="111" t="str">
        <f ca="1">_xlfn.IFNA(OFFSET(INDEX(Output[Item '#],MATCH($A66,Output[Item '#],0)),0,3)," ")</f>
        <v xml:space="preserve"> </v>
      </c>
      <c r="E66" s="659" t="str">
        <f ca="1">_xlfn.IFNA(OFFSET(INDEX(Output[Item '#],MATCH($A66,Output[Item '#],0)),0,4)," ")</f>
        <v xml:space="preserve"> </v>
      </c>
      <c r="F66" s="659" t="str">
        <f ca="1">_xlfn.IFNA(OFFSET(INDEX(Output[Item '#],MATCH($A66,Output[Item '#],0)),0,5)," ")</f>
        <v xml:space="preserve"> </v>
      </c>
      <c r="G66" s="121"/>
      <c r="H66" s="584" t="str">
        <f ca="1">_xlfn.XLOOKUP(A66,OUTPUT!$Y$10:$Y$165,OUTPUT!$Z$10:$Z$165,"MiscItems")</f>
        <v>MiscItems</v>
      </c>
      <c r="I66" s="553" t="str">
        <f t="shared" ca="1" si="1"/>
        <v xml:space="preserve"> </v>
      </c>
      <c r="J66" s="113" t="str" cm="1">
        <f t="array" aca="1" ref="J66" ca="1">IFERROR(_xlfn.XLOOKUP($A66&amp;BasicProjectData!$G$18,PRICES!$B$2:$B$3684&amp;PRICES!$A$2:$A$3684,PRICES!$H$2:$H$3684)," ")</f>
        <v xml:space="preserve"> </v>
      </c>
      <c r="K66" s="113" t="str" cm="1">
        <f t="array" aca="1" ref="K66" ca="1">IFERROR(_xlfn.XLOOKUP($A66&amp;"All Districts",PRICES!$B$2:$B$3684&amp;PRICES!$A$2:$A$3684,PRICES!$H$2:$H$3684)," ")</f>
        <v xml:space="preserve"> </v>
      </c>
      <c r="L66" s="556" t="str" cm="1">
        <f t="array" aca="1" ref="L66" ca="1">_xlfn.SWITCH(E66,J66,"District Price",K66,"State Price","Other/User Input/Override")</f>
        <v>District Price</v>
      </c>
    </row>
    <row r="67" spans="1:12">
      <c r="A67" s="110" t="str">
        <f t="array" aca="1" ref="A67" ca="1">IFERROR(INDEX(OUTPUT!$A$9:'OUTPUT'!$A$247,SMALL(IF(OUTPUT!$F$9:$F$247&lt;&gt;0,MATCH(OUTPUT!$A$9:'OUTPUT'!$A$247,OUTPUT!$A$9:'OUTPUT'!$A$247,0)),ROWS(ProjectEstimate!A$9:A67)),1),"")</f>
        <v/>
      </c>
      <c r="B67" s="111" t="str">
        <f ca="1">_xlfn.IFNA(OFFSET(INDEX(Output[Item '#],MATCH($A67,Output[Item '#],0)),0,1)," ")</f>
        <v xml:space="preserve"> </v>
      </c>
      <c r="C67" s="111" t="str">
        <f ca="1">_xlfn.IFNA(OFFSET(INDEX(Output[Item '#],MATCH($A67,Output[Item '#],0)),0,2)," ")</f>
        <v xml:space="preserve"> </v>
      </c>
      <c r="D67" s="111" t="str">
        <f ca="1">_xlfn.IFNA(OFFSET(INDEX(Output[Item '#],MATCH($A67,Output[Item '#],0)),0,3)," ")</f>
        <v xml:space="preserve"> </v>
      </c>
      <c r="E67" s="659" t="str">
        <f ca="1">_xlfn.IFNA(OFFSET(INDEX(Output[Item '#],MATCH($A67,Output[Item '#],0)),0,4)," ")</f>
        <v xml:space="preserve"> </v>
      </c>
      <c r="F67" s="659" t="str">
        <f ca="1">_xlfn.IFNA(OFFSET(INDEX(Output[Item '#],MATCH($A67,Output[Item '#],0)),0,5)," ")</f>
        <v xml:space="preserve"> </v>
      </c>
      <c r="G67" s="121"/>
      <c r="H67" s="584" t="str">
        <f ca="1">_xlfn.XLOOKUP(A67,OUTPUT!$Y$10:$Y$165,OUTPUT!$Z$10:$Z$165,"MiscItems")</f>
        <v>MiscItems</v>
      </c>
      <c r="I67" s="553" t="str">
        <f t="shared" ca="1" si="1"/>
        <v xml:space="preserve"> </v>
      </c>
      <c r="J67" s="113" t="str" cm="1">
        <f t="array" aca="1" ref="J67" ca="1">IFERROR(_xlfn.XLOOKUP($A67&amp;BasicProjectData!$G$18,PRICES!$B$2:$B$3684&amp;PRICES!$A$2:$A$3684,PRICES!$H$2:$H$3684)," ")</f>
        <v xml:space="preserve"> </v>
      </c>
      <c r="K67" s="113" t="str" cm="1">
        <f t="array" aca="1" ref="K67" ca="1">IFERROR(_xlfn.XLOOKUP($A67&amp;"All Districts",PRICES!$B$2:$B$3684&amp;PRICES!$A$2:$A$3684,PRICES!$H$2:$H$3684)," ")</f>
        <v xml:space="preserve"> </v>
      </c>
      <c r="L67" s="556" t="str" cm="1">
        <f t="array" aca="1" ref="L67" ca="1">_xlfn.SWITCH(E67,J67,"District Price",K67,"State Price","Other/User Input/Override")</f>
        <v>District Price</v>
      </c>
    </row>
    <row r="68" spans="1:12">
      <c r="A68" s="110" t="str">
        <f t="array" aca="1" ref="A68" ca="1">IFERROR(INDEX(OUTPUT!$A$9:'OUTPUT'!$A$247,SMALL(IF(OUTPUT!$F$9:$F$247&lt;&gt;0,MATCH(OUTPUT!$A$9:'OUTPUT'!$A$247,OUTPUT!$A$9:'OUTPUT'!$A$247,0)),ROWS(ProjectEstimate!A$9:A68)),1),"")</f>
        <v/>
      </c>
      <c r="B68" s="111" t="str">
        <f ca="1">_xlfn.IFNA(OFFSET(INDEX(Output[Item '#],MATCH($A68,Output[Item '#],0)),0,1)," ")</f>
        <v xml:space="preserve"> </v>
      </c>
      <c r="C68" s="111" t="str">
        <f ca="1">_xlfn.IFNA(OFFSET(INDEX(Output[Item '#],MATCH($A68,Output[Item '#],0)),0,2)," ")</f>
        <v xml:space="preserve"> </v>
      </c>
      <c r="D68" s="111" t="str">
        <f ca="1">_xlfn.IFNA(OFFSET(INDEX(Output[Item '#],MATCH($A68,Output[Item '#],0)),0,3)," ")</f>
        <v xml:space="preserve"> </v>
      </c>
      <c r="E68" s="659" t="str">
        <f ca="1">_xlfn.IFNA(OFFSET(INDEX(Output[Item '#],MATCH($A68,Output[Item '#],0)),0,4)," ")</f>
        <v xml:space="preserve"> </v>
      </c>
      <c r="F68" s="659" t="str">
        <f ca="1">_xlfn.IFNA(OFFSET(INDEX(Output[Item '#],MATCH($A68,Output[Item '#],0)),0,5)," ")</f>
        <v xml:space="preserve"> </v>
      </c>
      <c r="G68" s="121"/>
      <c r="H68" s="584" t="str">
        <f ca="1">_xlfn.XLOOKUP(A68,OUTPUT!$Y$10:$Y$165,OUTPUT!$Z$10:$Z$165,"MiscItems")</f>
        <v>MiscItems</v>
      </c>
      <c r="I68" s="553" t="str">
        <f t="shared" ca="1" si="1"/>
        <v xml:space="preserve"> </v>
      </c>
      <c r="J68" s="113" t="str" cm="1">
        <f t="array" aca="1" ref="J68" ca="1">IFERROR(_xlfn.XLOOKUP($A68&amp;BasicProjectData!$G$18,PRICES!$B$2:$B$3684&amp;PRICES!$A$2:$A$3684,PRICES!$H$2:$H$3684)," ")</f>
        <v xml:space="preserve"> </v>
      </c>
      <c r="K68" s="113" t="str" cm="1">
        <f t="array" aca="1" ref="K68" ca="1">IFERROR(_xlfn.XLOOKUP($A68&amp;"All Districts",PRICES!$B$2:$B$3684&amp;PRICES!$A$2:$A$3684,PRICES!$H$2:$H$3684)," ")</f>
        <v xml:space="preserve"> </v>
      </c>
      <c r="L68" s="556" t="str" cm="1">
        <f t="array" aca="1" ref="L68" ca="1">_xlfn.SWITCH(E68,J68,"District Price",K68,"State Price","Other/User Input/Override")</f>
        <v>District Price</v>
      </c>
    </row>
    <row r="69" spans="1:12">
      <c r="A69" s="110" t="str">
        <f t="array" aca="1" ref="A69" ca="1">IFERROR(INDEX(OUTPUT!$A$9:'OUTPUT'!$A$247,SMALL(IF(OUTPUT!$F$9:$F$247&lt;&gt;0,MATCH(OUTPUT!$A$9:'OUTPUT'!$A$247,OUTPUT!$A$9:'OUTPUT'!$A$247,0)),ROWS(ProjectEstimate!A$9:A69)),1),"")</f>
        <v/>
      </c>
      <c r="B69" s="111" t="str">
        <f ca="1">_xlfn.IFNA(OFFSET(INDEX(Output[Item '#],MATCH($A69,Output[Item '#],0)),0,1)," ")</f>
        <v xml:space="preserve"> </v>
      </c>
      <c r="C69" s="111" t="str">
        <f ca="1">_xlfn.IFNA(OFFSET(INDEX(Output[Item '#],MATCH($A69,Output[Item '#],0)),0,2)," ")</f>
        <v xml:space="preserve"> </v>
      </c>
      <c r="D69" s="111" t="str">
        <f ca="1">_xlfn.IFNA(OFFSET(INDEX(Output[Item '#],MATCH($A69,Output[Item '#],0)),0,3)," ")</f>
        <v xml:space="preserve"> </v>
      </c>
      <c r="E69" s="659" t="str">
        <f ca="1">_xlfn.IFNA(OFFSET(INDEX(Output[Item '#],MATCH($A69,Output[Item '#],0)),0,4)," ")</f>
        <v xml:space="preserve"> </v>
      </c>
      <c r="F69" s="659" t="str">
        <f ca="1">_xlfn.IFNA(OFFSET(INDEX(Output[Item '#],MATCH($A69,Output[Item '#],0)),0,5)," ")</f>
        <v xml:space="preserve"> </v>
      </c>
      <c r="G69" s="121"/>
      <c r="H69" s="584" t="str">
        <f ca="1">_xlfn.XLOOKUP(A69,OUTPUT!$Y$10:$Y$165,OUTPUT!$Z$10:$Z$165,"MiscItems")</f>
        <v>MiscItems</v>
      </c>
      <c r="I69" s="553" t="str">
        <f t="shared" ca="1" si="1"/>
        <v xml:space="preserve"> </v>
      </c>
      <c r="J69" s="113" t="str" cm="1">
        <f t="array" aca="1" ref="J69" ca="1">IFERROR(_xlfn.XLOOKUP($A69&amp;BasicProjectData!$G$18,PRICES!$B$2:$B$3684&amp;PRICES!$A$2:$A$3684,PRICES!$H$2:$H$3684)," ")</f>
        <v xml:space="preserve"> </v>
      </c>
      <c r="K69" s="113" t="str" cm="1">
        <f t="array" aca="1" ref="K69" ca="1">IFERROR(_xlfn.XLOOKUP($A69&amp;"All Districts",PRICES!$B$2:$B$3684&amp;PRICES!$A$2:$A$3684,PRICES!$H$2:$H$3684)," ")</f>
        <v xml:space="preserve"> </v>
      </c>
      <c r="L69" s="556" t="str" cm="1">
        <f t="array" aca="1" ref="L69" ca="1">_xlfn.SWITCH(E69,J69,"District Price",K69,"State Price","Other/User Input/Override")</f>
        <v>District Price</v>
      </c>
    </row>
    <row r="70" spans="1:12">
      <c r="A70" s="110" t="str">
        <f t="array" aca="1" ref="A70" ca="1">IFERROR(INDEX(OUTPUT!$A$9:'OUTPUT'!$A$247,SMALL(IF(OUTPUT!$F$9:$F$247&lt;&gt;0,MATCH(OUTPUT!$A$9:'OUTPUT'!$A$247,OUTPUT!$A$9:'OUTPUT'!$A$247,0)),ROWS(ProjectEstimate!A$9:A70)),1),"")</f>
        <v/>
      </c>
      <c r="B70" s="111" t="str">
        <f ca="1">_xlfn.IFNA(OFFSET(INDEX(Output[Item '#],MATCH($A70,Output[Item '#],0)),0,1)," ")</f>
        <v xml:space="preserve"> </v>
      </c>
      <c r="C70" s="111" t="str">
        <f ca="1">_xlfn.IFNA(OFFSET(INDEX(Output[Item '#],MATCH($A70,Output[Item '#],0)),0,2)," ")</f>
        <v xml:space="preserve"> </v>
      </c>
      <c r="D70" s="111" t="str">
        <f ca="1">_xlfn.IFNA(OFFSET(INDEX(Output[Item '#],MATCH($A70,Output[Item '#],0)),0,3)," ")</f>
        <v xml:space="preserve"> </v>
      </c>
      <c r="E70" s="659" t="str">
        <f ca="1">_xlfn.IFNA(OFFSET(INDEX(Output[Item '#],MATCH($A70,Output[Item '#],0)),0,4)," ")</f>
        <v xml:space="preserve"> </v>
      </c>
      <c r="F70" s="659" t="str">
        <f ca="1">_xlfn.IFNA(OFFSET(INDEX(Output[Item '#],MATCH($A70,Output[Item '#],0)),0,5)," ")</f>
        <v xml:space="preserve"> </v>
      </c>
      <c r="G70" s="121"/>
      <c r="H70" s="584" t="str">
        <f ca="1">_xlfn.XLOOKUP(A70,OUTPUT!$Y$10:$Y$165,OUTPUT!$Z$10:$Z$165,"MiscItems")</f>
        <v>MiscItems</v>
      </c>
      <c r="I70" s="553" t="str">
        <f t="shared" ca="1" si="1"/>
        <v xml:space="preserve"> </v>
      </c>
      <c r="J70" s="113" t="str" cm="1">
        <f t="array" aca="1" ref="J70" ca="1">IFERROR(_xlfn.XLOOKUP($A70&amp;BasicProjectData!$G$18,PRICES!$B$2:$B$3684&amp;PRICES!$A$2:$A$3684,PRICES!$H$2:$H$3684)," ")</f>
        <v xml:space="preserve"> </v>
      </c>
      <c r="K70" s="113" t="str" cm="1">
        <f t="array" aca="1" ref="K70" ca="1">IFERROR(_xlfn.XLOOKUP($A70&amp;"All Districts",PRICES!$B$2:$B$3684&amp;PRICES!$A$2:$A$3684,PRICES!$H$2:$H$3684)," ")</f>
        <v xml:space="preserve"> </v>
      </c>
      <c r="L70" s="556" t="str" cm="1">
        <f t="array" aca="1" ref="L70" ca="1">_xlfn.SWITCH(E70,J70,"District Price",K70,"State Price","Other/User Input/Override")</f>
        <v>District Price</v>
      </c>
    </row>
    <row r="71" spans="1:12">
      <c r="A71" s="110" t="str">
        <f t="array" aca="1" ref="A71" ca="1">IFERROR(INDEX(OUTPUT!$A$9:'OUTPUT'!$A$247,SMALL(IF(OUTPUT!$F$9:$F$247&lt;&gt;0,MATCH(OUTPUT!$A$9:'OUTPUT'!$A$247,OUTPUT!$A$9:'OUTPUT'!$A$247,0)),ROWS(ProjectEstimate!A$9:A71)),1),"")</f>
        <v/>
      </c>
      <c r="B71" s="111" t="str">
        <f ca="1">_xlfn.IFNA(OFFSET(INDEX(Output[Item '#],MATCH($A71,Output[Item '#],0)),0,1)," ")</f>
        <v xml:space="preserve"> </v>
      </c>
      <c r="C71" s="111" t="str">
        <f ca="1">_xlfn.IFNA(OFFSET(INDEX(Output[Item '#],MATCH($A71,Output[Item '#],0)),0,2)," ")</f>
        <v xml:space="preserve"> </v>
      </c>
      <c r="D71" s="111" t="str">
        <f ca="1">_xlfn.IFNA(OFFSET(INDEX(Output[Item '#],MATCH($A71,Output[Item '#],0)),0,3)," ")</f>
        <v xml:space="preserve"> </v>
      </c>
      <c r="E71" s="659" t="str">
        <f ca="1">_xlfn.IFNA(OFFSET(INDEX(Output[Item '#],MATCH($A71,Output[Item '#],0)),0,4)," ")</f>
        <v xml:space="preserve"> </v>
      </c>
      <c r="F71" s="659" t="str">
        <f ca="1">_xlfn.IFNA(OFFSET(INDEX(Output[Item '#],MATCH($A71,Output[Item '#],0)),0,5)," ")</f>
        <v xml:space="preserve"> </v>
      </c>
      <c r="G71" s="121"/>
      <c r="H71" s="584" t="str">
        <f ca="1">_xlfn.XLOOKUP(A71,OUTPUT!$Y$10:$Y$165,OUTPUT!$Z$10:$Z$165,"MiscItems")</f>
        <v>MiscItems</v>
      </c>
      <c r="I71" s="553" t="str">
        <f t="shared" ca="1" si="1"/>
        <v xml:space="preserve"> </v>
      </c>
      <c r="J71" s="113" t="str" cm="1">
        <f t="array" aca="1" ref="J71" ca="1">IFERROR(_xlfn.XLOOKUP($A71&amp;BasicProjectData!$G$18,PRICES!$B$2:$B$3684&amp;PRICES!$A$2:$A$3684,PRICES!$H$2:$H$3684)," ")</f>
        <v xml:space="preserve"> </v>
      </c>
      <c r="K71" s="113" t="str" cm="1">
        <f t="array" aca="1" ref="K71" ca="1">IFERROR(_xlfn.XLOOKUP($A71&amp;"All Districts",PRICES!$B$2:$B$3684&amp;PRICES!$A$2:$A$3684,PRICES!$H$2:$H$3684)," ")</f>
        <v xml:space="preserve"> </v>
      </c>
      <c r="L71" s="556" t="str" cm="1">
        <f t="array" aca="1" ref="L71" ca="1">_xlfn.SWITCH(E71,J71,"District Price",K71,"State Price","Other/User Input/Override")</f>
        <v>District Price</v>
      </c>
    </row>
    <row r="72" spans="1:12">
      <c r="A72" s="110" t="str">
        <f t="array" aca="1" ref="A72" ca="1">IFERROR(INDEX(OUTPUT!$A$9:'OUTPUT'!$A$247,SMALL(IF(OUTPUT!$F$9:$F$247&lt;&gt;0,MATCH(OUTPUT!$A$9:'OUTPUT'!$A$247,OUTPUT!$A$9:'OUTPUT'!$A$247,0)),ROWS(ProjectEstimate!A$9:A72)),1),"")</f>
        <v/>
      </c>
      <c r="B72" s="111" t="str">
        <f ca="1">_xlfn.IFNA(OFFSET(INDEX(Output[Item '#],MATCH($A72,Output[Item '#],0)),0,1)," ")</f>
        <v xml:space="preserve"> </v>
      </c>
      <c r="C72" s="111" t="str">
        <f ca="1">_xlfn.IFNA(OFFSET(INDEX(Output[Item '#],MATCH($A72,Output[Item '#],0)),0,2)," ")</f>
        <v xml:space="preserve"> </v>
      </c>
      <c r="D72" s="111" t="str">
        <f ca="1">_xlfn.IFNA(OFFSET(INDEX(Output[Item '#],MATCH($A72,Output[Item '#],0)),0,3)," ")</f>
        <v xml:space="preserve"> </v>
      </c>
      <c r="E72" s="659" t="str">
        <f ca="1">_xlfn.IFNA(OFFSET(INDEX(Output[Item '#],MATCH($A72,Output[Item '#],0)),0,4)," ")</f>
        <v xml:space="preserve"> </v>
      </c>
      <c r="F72" s="659" t="str">
        <f ca="1">_xlfn.IFNA(OFFSET(INDEX(Output[Item '#],MATCH($A72,Output[Item '#],0)),0,5)," ")</f>
        <v xml:space="preserve"> </v>
      </c>
      <c r="G72" s="121"/>
      <c r="H72" s="584" t="str">
        <f ca="1">_xlfn.XLOOKUP(A72,OUTPUT!$Y$10:$Y$165,OUTPUT!$Z$10:$Z$165,"MiscItems")</f>
        <v>MiscItems</v>
      </c>
      <c r="I72" s="553" t="str">
        <f t="shared" ca="1" si="1"/>
        <v xml:space="preserve"> </v>
      </c>
      <c r="J72" s="113" t="str" cm="1">
        <f t="array" aca="1" ref="J72" ca="1">IFERROR(_xlfn.XLOOKUP($A72&amp;BasicProjectData!$G$18,PRICES!$B$2:$B$3684&amp;PRICES!$A$2:$A$3684,PRICES!$H$2:$H$3684)," ")</f>
        <v xml:space="preserve"> </v>
      </c>
      <c r="K72" s="113" t="str" cm="1">
        <f t="array" aca="1" ref="K72" ca="1">IFERROR(_xlfn.XLOOKUP($A72&amp;"All Districts",PRICES!$B$2:$B$3684&amp;PRICES!$A$2:$A$3684,PRICES!$H$2:$H$3684)," ")</f>
        <v xml:space="preserve"> </v>
      </c>
      <c r="L72" s="556" t="str" cm="1">
        <f t="array" aca="1" ref="L72" ca="1">_xlfn.SWITCH(E72,J72,"District Price",K72,"State Price","Other/User Input/Override")</f>
        <v>District Price</v>
      </c>
    </row>
    <row r="73" spans="1:12">
      <c r="A73" s="110" t="str">
        <f t="array" aca="1" ref="A73" ca="1">IFERROR(INDEX(OUTPUT!$A$9:'OUTPUT'!$A$247,SMALL(IF(OUTPUT!$F$9:$F$247&lt;&gt;0,MATCH(OUTPUT!$A$9:'OUTPUT'!$A$247,OUTPUT!$A$9:'OUTPUT'!$A$247,0)),ROWS(ProjectEstimate!A$9:A73)),1),"")</f>
        <v/>
      </c>
      <c r="B73" s="111" t="str">
        <f ca="1">_xlfn.IFNA(OFFSET(INDEX(Output[Item '#],MATCH($A73,Output[Item '#],0)),0,1)," ")</f>
        <v xml:space="preserve"> </v>
      </c>
      <c r="C73" s="111" t="str">
        <f ca="1">_xlfn.IFNA(OFFSET(INDEX(Output[Item '#],MATCH($A73,Output[Item '#],0)),0,2)," ")</f>
        <v xml:space="preserve"> </v>
      </c>
      <c r="D73" s="111" t="str">
        <f ca="1">_xlfn.IFNA(OFFSET(INDEX(Output[Item '#],MATCH($A73,Output[Item '#],0)),0,3)," ")</f>
        <v xml:space="preserve"> </v>
      </c>
      <c r="E73" s="659" t="str">
        <f ca="1">_xlfn.IFNA(OFFSET(INDEX(Output[Item '#],MATCH($A73,Output[Item '#],0)),0,4)," ")</f>
        <v xml:space="preserve"> </v>
      </c>
      <c r="F73" s="659" t="str">
        <f ca="1">_xlfn.IFNA(OFFSET(INDEX(Output[Item '#],MATCH($A73,Output[Item '#],0)),0,5)," ")</f>
        <v xml:space="preserve"> </v>
      </c>
      <c r="G73" s="121"/>
      <c r="H73" s="584" t="str">
        <f ca="1">_xlfn.XLOOKUP(A73,OUTPUT!$Y$10:$Y$165,OUTPUT!$Z$10:$Z$165,"MiscItems")</f>
        <v>MiscItems</v>
      </c>
      <c r="I73" s="553" t="str">
        <f t="shared" ca="1" si="1"/>
        <v xml:space="preserve"> </v>
      </c>
      <c r="J73" s="113" t="str" cm="1">
        <f t="array" aca="1" ref="J73" ca="1">IFERROR(_xlfn.XLOOKUP($A73&amp;BasicProjectData!$G$18,PRICES!$B$2:$B$3684&amp;PRICES!$A$2:$A$3684,PRICES!$H$2:$H$3684)," ")</f>
        <v xml:space="preserve"> </v>
      </c>
      <c r="K73" s="113" t="str" cm="1">
        <f t="array" aca="1" ref="K73" ca="1">IFERROR(_xlfn.XLOOKUP($A73&amp;"All Districts",PRICES!$B$2:$B$3684&amp;PRICES!$A$2:$A$3684,PRICES!$H$2:$H$3684)," ")</f>
        <v xml:space="preserve"> </v>
      </c>
      <c r="L73" s="556" t="str" cm="1">
        <f t="array" aca="1" ref="L73" ca="1">_xlfn.SWITCH(E73,J73,"District Price",K73,"State Price","Other/User Input/Override")</f>
        <v>District Price</v>
      </c>
    </row>
    <row r="74" spans="1:12">
      <c r="A74" s="110" t="str">
        <f t="array" aca="1" ref="A74" ca="1">IFERROR(INDEX(OUTPUT!$A$9:'OUTPUT'!$A$247,SMALL(IF(OUTPUT!$F$9:$F$247&lt;&gt;0,MATCH(OUTPUT!$A$9:'OUTPUT'!$A$247,OUTPUT!$A$9:'OUTPUT'!$A$247,0)),ROWS(ProjectEstimate!A$9:A74)),1),"")</f>
        <v/>
      </c>
      <c r="B74" s="111" t="str">
        <f ca="1">_xlfn.IFNA(OFFSET(INDEX(Output[Item '#],MATCH($A74,Output[Item '#],0)),0,1)," ")</f>
        <v xml:space="preserve"> </v>
      </c>
      <c r="C74" s="111" t="str">
        <f ca="1">_xlfn.IFNA(OFFSET(INDEX(Output[Item '#],MATCH($A74,Output[Item '#],0)),0,2)," ")</f>
        <v xml:space="preserve"> </v>
      </c>
      <c r="D74" s="111" t="str">
        <f ca="1">_xlfn.IFNA(OFFSET(INDEX(Output[Item '#],MATCH($A74,Output[Item '#],0)),0,3)," ")</f>
        <v xml:space="preserve"> </v>
      </c>
      <c r="E74" s="659" t="str">
        <f ca="1">_xlfn.IFNA(OFFSET(INDEX(Output[Item '#],MATCH($A74,Output[Item '#],0)),0,4)," ")</f>
        <v xml:space="preserve"> </v>
      </c>
      <c r="F74" s="659" t="str">
        <f ca="1">_xlfn.IFNA(OFFSET(INDEX(Output[Item '#],MATCH($A74,Output[Item '#],0)),0,5)," ")</f>
        <v xml:space="preserve"> </v>
      </c>
      <c r="G74" s="121"/>
      <c r="H74" s="584" t="str">
        <f ca="1">_xlfn.XLOOKUP(A74,OUTPUT!$Y$10:$Y$165,OUTPUT!$Z$10:$Z$165,"MiscItems")</f>
        <v>MiscItems</v>
      </c>
      <c r="I74" s="553" t="str">
        <f t="shared" ca="1" si="1"/>
        <v xml:space="preserve"> </v>
      </c>
      <c r="J74" s="113" t="str" cm="1">
        <f t="array" aca="1" ref="J74" ca="1">IFERROR(_xlfn.XLOOKUP($A74&amp;BasicProjectData!$G$18,PRICES!$B$2:$B$3684&amp;PRICES!$A$2:$A$3684,PRICES!$H$2:$H$3684)," ")</f>
        <v xml:space="preserve"> </v>
      </c>
      <c r="K74" s="113" t="str" cm="1">
        <f t="array" aca="1" ref="K74" ca="1">IFERROR(_xlfn.XLOOKUP($A74&amp;"All Districts",PRICES!$B$2:$B$3684&amp;PRICES!$A$2:$A$3684,PRICES!$H$2:$H$3684)," ")</f>
        <v xml:space="preserve"> </v>
      </c>
      <c r="L74" s="556" t="str" cm="1">
        <f t="array" aca="1" ref="L74" ca="1">_xlfn.SWITCH(E74,J74,"District Price",K74,"State Price","Other/User Input/Override")</f>
        <v>District Price</v>
      </c>
    </row>
    <row r="75" spans="1:12">
      <c r="A75" s="110" t="str">
        <f t="array" aca="1" ref="A75" ca="1">IFERROR(INDEX(OUTPUT!$A$9:'OUTPUT'!$A$247,SMALL(IF(OUTPUT!$F$9:$F$247&lt;&gt;0,MATCH(OUTPUT!$A$9:'OUTPUT'!$A$247,OUTPUT!$A$9:'OUTPUT'!$A$247,0)),ROWS(ProjectEstimate!A$9:A75)),1),"")</f>
        <v/>
      </c>
      <c r="B75" s="111" t="str">
        <f ca="1">_xlfn.IFNA(OFFSET(INDEX(Output[Item '#],MATCH($A75,Output[Item '#],0)),0,1)," ")</f>
        <v xml:space="preserve"> </v>
      </c>
      <c r="C75" s="111" t="str">
        <f ca="1">_xlfn.IFNA(OFFSET(INDEX(Output[Item '#],MATCH($A75,Output[Item '#],0)),0,2)," ")</f>
        <v xml:space="preserve"> </v>
      </c>
      <c r="D75" s="111" t="str">
        <f ca="1">_xlfn.IFNA(OFFSET(INDEX(Output[Item '#],MATCH($A75,Output[Item '#],0)),0,3)," ")</f>
        <v xml:space="preserve"> </v>
      </c>
      <c r="E75" s="659" t="str">
        <f ca="1">_xlfn.IFNA(OFFSET(INDEX(Output[Item '#],MATCH($A75,Output[Item '#],0)),0,4)," ")</f>
        <v xml:space="preserve"> </v>
      </c>
      <c r="F75" s="659" t="str">
        <f ca="1">_xlfn.IFNA(OFFSET(INDEX(Output[Item '#],MATCH($A75,Output[Item '#],0)),0,5)," ")</f>
        <v xml:space="preserve"> </v>
      </c>
      <c r="G75" s="121"/>
      <c r="H75" s="584" t="str">
        <f ca="1">_xlfn.XLOOKUP(A75,OUTPUT!$Y$10:$Y$165,OUTPUT!$Z$10:$Z$165,"MiscItems")</f>
        <v>MiscItems</v>
      </c>
      <c r="I75" s="553" t="str">
        <f t="shared" ca="1" si="1"/>
        <v xml:space="preserve"> </v>
      </c>
      <c r="J75" s="113" t="str" cm="1">
        <f t="array" aca="1" ref="J75" ca="1">IFERROR(_xlfn.XLOOKUP($A75&amp;BasicProjectData!$G$18,PRICES!$B$2:$B$3684&amp;PRICES!$A$2:$A$3684,PRICES!$H$2:$H$3684)," ")</f>
        <v xml:space="preserve"> </v>
      </c>
      <c r="K75" s="113" t="str" cm="1">
        <f t="array" aca="1" ref="K75" ca="1">IFERROR(_xlfn.XLOOKUP($A75&amp;"All Districts",PRICES!$B$2:$B$3684&amp;PRICES!$A$2:$A$3684,PRICES!$H$2:$H$3684)," ")</f>
        <v xml:space="preserve"> </v>
      </c>
      <c r="L75" s="556" t="str" cm="1">
        <f t="array" aca="1" ref="L75" ca="1">_xlfn.SWITCH(E75,J75,"District Price",K75,"State Price","Other/User Input/Override")</f>
        <v>District Price</v>
      </c>
    </row>
    <row r="76" spans="1:12">
      <c r="A76" s="110" t="str">
        <f t="array" aca="1" ref="A76" ca="1">IFERROR(INDEX(OUTPUT!$A$9:'OUTPUT'!$A$247,SMALL(IF(OUTPUT!$F$9:$F$247&lt;&gt;0,MATCH(OUTPUT!$A$9:'OUTPUT'!$A$247,OUTPUT!$A$9:'OUTPUT'!$A$247,0)),ROWS(ProjectEstimate!A$9:A76)),1),"")</f>
        <v/>
      </c>
      <c r="B76" s="111" t="str">
        <f ca="1">_xlfn.IFNA(OFFSET(INDEX(Output[Item '#],MATCH($A76,Output[Item '#],0)),0,1)," ")</f>
        <v xml:space="preserve"> </v>
      </c>
      <c r="C76" s="111" t="str">
        <f ca="1">_xlfn.IFNA(OFFSET(INDEX(Output[Item '#],MATCH($A76,Output[Item '#],0)),0,2)," ")</f>
        <v xml:space="preserve"> </v>
      </c>
      <c r="D76" s="111" t="str">
        <f ca="1">_xlfn.IFNA(OFFSET(INDEX(Output[Item '#],MATCH($A76,Output[Item '#],0)),0,3)," ")</f>
        <v xml:space="preserve"> </v>
      </c>
      <c r="E76" s="659" t="str">
        <f ca="1">_xlfn.IFNA(OFFSET(INDEX(Output[Item '#],MATCH($A76,Output[Item '#],0)),0,4)," ")</f>
        <v xml:space="preserve"> </v>
      </c>
      <c r="F76" s="659" t="str">
        <f ca="1">_xlfn.IFNA(OFFSET(INDEX(Output[Item '#],MATCH($A76,Output[Item '#],0)),0,5)," ")</f>
        <v xml:space="preserve"> </v>
      </c>
      <c r="G76" s="121"/>
      <c r="H76" s="584" t="str">
        <f ca="1">_xlfn.XLOOKUP(A76,OUTPUT!$Y$10:$Y$165,OUTPUT!$Z$10:$Z$165,"MiscItems")</f>
        <v>MiscItems</v>
      </c>
      <c r="I76" s="553" t="str">
        <f t="shared" ca="1" si="1"/>
        <v xml:space="preserve"> </v>
      </c>
      <c r="J76" s="113" t="str" cm="1">
        <f t="array" aca="1" ref="J76" ca="1">IFERROR(_xlfn.XLOOKUP($A76&amp;BasicProjectData!$G$18,PRICES!$B$2:$B$3684&amp;PRICES!$A$2:$A$3684,PRICES!$H$2:$H$3684)," ")</f>
        <v xml:space="preserve"> </v>
      </c>
      <c r="K76" s="113" t="str" cm="1">
        <f t="array" aca="1" ref="K76" ca="1">IFERROR(_xlfn.XLOOKUP($A76&amp;"All Districts",PRICES!$B$2:$B$3684&amp;PRICES!$A$2:$A$3684,PRICES!$H$2:$H$3684)," ")</f>
        <v xml:space="preserve"> </v>
      </c>
      <c r="L76" s="556" t="str" cm="1">
        <f t="array" aca="1" ref="L76" ca="1">_xlfn.SWITCH(E76,J76,"District Price",K76,"State Price","Other/User Input/Override")</f>
        <v>District Price</v>
      </c>
    </row>
    <row r="77" spans="1:12">
      <c r="A77" s="110" t="str">
        <f t="array" aca="1" ref="A77" ca="1">IFERROR(INDEX(OUTPUT!$A$9:'OUTPUT'!$A$247,SMALL(IF(OUTPUT!$F$9:$F$247&lt;&gt;0,MATCH(OUTPUT!$A$9:'OUTPUT'!$A$247,OUTPUT!$A$9:'OUTPUT'!$A$247,0)),ROWS(ProjectEstimate!A$9:A77)),1),"")</f>
        <v/>
      </c>
      <c r="B77" s="111" t="str">
        <f ca="1">_xlfn.IFNA(OFFSET(INDEX(Output[Item '#],MATCH($A77,Output[Item '#],0)),0,1)," ")</f>
        <v xml:space="preserve"> </v>
      </c>
      <c r="C77" s="111" t="str">
        <f ca="1">_xlfn.IFNA(OFFSET(INDEX(Output[Item '#],MATCH($A77,Output[Item '#],0)),0,2)," ")</f>
        <v xml:space="preserve"> </v>
      </c>
      <c r="D77" s="111" t="str">
        <f ca="1">_xlfn.IFNA(OFFSET(INDEX(Output[Item '#],MATCH($A77,Output[Item '#],0)),0,3)," ")</f>
        <v xml:space="preserve"> </v>
      </c>
      <c r="E77" s="659" t="str">
        <f ca="1">_xlfn.IFNA(OFFSET(INDEX(Output[Item '#],MATCH($A77,Output[Item '#],0)),0,4)," ")</f>
        <v xml:space="preserve"> </v>
      </c>
      <c r="F77" s="659" t="str">
        <f ca="1">_xlfn.IFNA(OFFSET(INDEX(Output[Item '#],MATCH($A77,Output[Item '#],0)),0,5)," ")</f>
        <v xml:space="preserve"> </v>
      </c>
      <c r="G77" s="121"/>
      <c r="H77" s="584" t="str">
        <f ca="1">_xlfn.XLOOKUP(A77,OUTPUT!$Y$10:$Y$165,OUTPUT!$Z$10:$Z$165,"MiscItems")</f>
        <v>MiscItems</v>
      </c>
      <c r="I77" s="553" t="str">
        <f t="shared" ca="1" si="1"/>
        <v xml:space="preserve"> </v>
      </c>
      <c r="J77" s="113" t="str" cm="1">
        <f t="array" aca="1" ref="J77" ca="1">IFERROR(_xlfn.XLOOKUP($A77&amp;BasicProjectData!$G$18,PRICES!$B$2:$B$3684&amp;PRICES!$A$2:$A$3684,PRICES!$H$2:$H$3684)," ")</f>
        <v xml:space="preserve"> </v>
      </c>
      <c r="K77" s="113" t="str" cm="1">
        <f t="array" aca="1" ref="K77" ca="1">IFERROR(_xlfn.XLOOKUP($A77&amp;"All Districts",PRICES!$B$2:$B$3684&amp;PRICES!$A$2:$A$3684,PRICES!$H$2:$H$3684)," ")</f>
        <v xml:space="preserve"> </v>
      </c>
      <c r="L77" s="556" t="str" cm="1">
        <f t="array" aca="1" ref="L77" ca="1">_xlfn.SWITCH(E77,J77,"District Price",K77,"State Price","Other/User Input/Override")</f>
        <v>District Price</v>
      </c>
    </row>
    <row r="78" spans="1:12">
      <c r="A78" s="110" t="str">
        <f t="array" aca="1" ref="A78" ca="1">IFERROR(INDEX(OUTPUT!$A$9:'OUTPUT'!$A$247,SMALL(IF(OUTPUT!$F$9:$F$247&lt;&gt;0,MATCH(OUTPUT!$A$9:'OUTPUT'!$A$247,OUTPUT!$A$9:'OUTPUT'!$A$247,0)),ROWS(ProjectEstimate!A$9:A78)),1),"")</f>
        <v/>
      </c>
      <c r="B78" s="111" t="str">
        <f ca="1">_xlfn.IFNA(OFFSET(INDEX(Output[Item '#],MATCH($A78,Output[Item '#],0)),0,1)," ")</f>
        <v xml:space="preserve"> </v>
      </c>
      <c r="C78" s="111" t="str">
        <f ca="1">_xlfn.IFNA(OFFSET(INDEX(Output[Item '#],MATCH($A78,Output[Item '#],0)),0,2)," ")</f>
        <v xml:space="preserve"> </v>
      </c>
      <c r="D78" s="111" t="str">
        <f ca="1">_xlfn.IFNA(OFFSET(INDEX(Output[Item '#],MATCH($A78,Output[Item '#],0)),0,3)," ")</f>
        <v xml:space="preserve"> </v>
      </c>
      <c r="E78" s="659" t="str">
        <f ca="1">_xlfn.IFNA(OFFSET(INDEX(Output[Item '#],MATCH($A78,Output[Item '#],0)),0,4)," ")</f>
        <v xml:space="preserve"> </v>
      </c>
      <c r="F78" s="659" t="str">
        <f ca="1">_xlfn.IFNA(OFFSET(INDEX(Output[Item '#],MATCH($A78,Output[Item '#],0)),0,5)," ")</f>
        <v xml:space="preserve"> </v>
      </c>
      <c r="G78" s="121"/>
      <c r="H78" s="584" t="str">
        <f ca="1">_xlfn.XLOOKUP(A78,OUTPUT!$Y$10:$Y$165,OUTPUT!$Z$10:$Z$165,"MiscItems")</f>
        <v>MiscItems</v>
      </c>
      <c r="I78" s="553" t="str">
        <f t="shared" ca="1" si="1"/>
        <v xml:space="preserve"> </v>
      </c>
      <c r="J78" s="113" t="str" cm="1">
        <f t="array" aca="1" ref="J78" ca="1">IFERROR(_xlfn.XLOOKUP($A78&amp;BasicProjectData!$G$18,PRICES!$B$2:$B$3684&amp;PRICES!$A$2:$A$3684,PRICES!$H$2:$H$3684)," ")</f>
        <v xml:space="preserve"> </v>
      </c>
      <c r="K78" s="113" t="str" cm="1">
        <f t="array" aca="1" ref="K78" ca="1">IFERROR(_xlfn.XLOOKUP($A78&amp;"All Districts",PRICES!$B$2:$B$3684&amp;PRICES!$A$2:$A$3684,PRICES!$H$2:$H$3684)," ")</f>
        <v xml:space="preserve"> </v>
      </c>
      <c r="L78" s="556" t="str" cm="1">
        <f t="array" aca="1" ref="L78" ca="1">_xlfn.SWITCH(E78,J78,"District Price",K78,"State Price","Other/User Input/Override")</f>
        <v>District Price</v>
      </c>
    </row>
    <row r="79" spans="1:12">
      <c r="A79" s="110" t="str">
        <f t="array" aca="1" ref="A79" ca="1">IFERROR(INDEX(OUTPUT!$A$9:'OUTPUT'!$A$247,SMALL(IF(OUTPUT!$F$9:$F$247&lt;&gt;0,MATCH(OUTPUT!$A$9:'OUTPUT'!$A$247,OUTPUT!$A$9:'OUTPUT'!$A$247,0)),ROWS(ProjectEstimate!A$9:A79)),1),"")</f>
        <v/>
      </c>
      <c r="B79" s="111" t="str">
        <f ca="1">_xlfn.IFNA(OFFSET(INDEX(Output[Item '#],MATCH($A79,Output[Item '#],0)),0,1)," ")</f>
        <v xml:space="preserve"> </v>
      </c>
      <c r="C79" s="111" t="str">
        <f ca="1">_xlfn.IFNA(OFFSET(INDEX(Output[Item '#],MATCH($A79,Output[Item '#],0)),0,2)," ")</f>
        <v xml:space="preserve"> </v>
      </c>
      <c r="D79" s="111" t="str">
        <f ca="1">_xlfn.IFNA(OFFSET(INDEX(Output[Item '#],MATCH($A79,Output[Item '#],0)),0,3)," ")</f>
        <v xml:space="preserve"> </v>
      </c>
      <c r="E79" s="659" t="str">
        <f ca="1">_xlfn.IFNA(OFFSET(INDEX(Output[Item '#],MATCH($A79,Output[Item '#],0)),0,4)," ")</f>
        <v xml:space="preserve"> </v>
      </c>
      <c r="F79" s="659" t="str">
        <f ca="1">_xlfn.IFNA(OFFSET(INDEX(Output[Item '#],MATCH($A79,Output[Item '#],0)),0,5)," ")</f>
        <v xml:space="preserve"> </v>
      </c>
      <c r="G79" s="121"/>
      <c r="H79" s="584" t="str">
        <f ca="1">_xlfn.XLOOKUP(A79,OUTPUT!$Y$10:$Y$165,OUTPUT!$Z$10:$Z$165,"MiscItems")</f>
        <v>MiscItems</v>
      </c>
      <c r="I79" s="553" t="str">
        <f t="shared" ca="1" si="1"/>
        <v xml:space="preserve"> </v>
      </c>
      <c r="J79" s="113" t="str" cm="1">
        <f t="array" aca="1" ref="J79" ca="1">IFERROR(_xlfn.XLOOKUP($A79&amp;BasicProjectData!$G$18,PRICES!$B$2:$B$3684&amp;PRICES!$A$2:$A$3684,PRICES!$H$2:$H$3684)," ")</f>
        <v xml:space="preserve"> </v>
      </c>
      <c r="K79" s="113" t="str" cm="1">
        <f t="array" aca="1" ref="K79" ca="1">IFERROR(_xlfn.XLOOKUP($A79&amp;"All Districts",PRICES!$B$2:$B$3684&amp;PRICES!$A$2:$A$3684,PRICES!$H$2:$H$3684)," ")</f>
        <v xml:space="preserve"> </v>
      </c>
      <c r="L79" s="556" t="str" cm="1">
        <f t="array" aca="1" ref="L79" ca="1">_xlfn.SWITCH(E79,J79,"District Price",K79,"State Price","Other/User Input/Override")</f>
        <v>District Price</v>
      </c>
    </row>
    <row r="80" spans="1:12">
      <c r="A80" s="110" t="str">
        <f t="array" aca="1" ref="A80" ca="1">IFERROR(INDEX(OUTPUT!$A$9:'OUTPUT'!$A$247,SMALL(IF(OUTPUT!$F$9:$F$247&lt;&gt;0,MATCH(OUTPUT!$A$9:'OUTPUT'!$A$247,OUTPUT!$A$9:'OUTPUT'!$A$247,0)),ROWS(ProjectEstimate!A$9:A80)),1),"")</f>
        <v/>
      </c>
      <c r="B80" s="111" t="str">
        <f ca="1">_xlfn.IFNA(OFFSET(INDEX(Output[Item '#],MATCH($A80,Output[Item '#],0)),0,1)," ")</f>
        <v xml:space="preserve"> </v>
      </c>
      <c r="C80" s="111" t="str">
        <f ca="1">_xlfn.IFNA(OFFSET(INDEX(Output[Item '#],MATCH($A80,Output[Item '#],0)),0,2)," ")</f>
        <v xml:space="preserve"> </v>
      </c>
      <c r="D80" s="111" t="str">
        <f ca="1">_xlfn.IFNA(OFFSET(INDEX(Output[Item '#],MATCH($A80,Output[Item '#],0)),0,3)," ")</f>
        <v xml:space="preserve"> </v>
      </c>
      <c r="E80" s="659" t="str">
        <f ca="1">_xlfn.IFNA(OFFSET(INDEX(Output[Item '#],MATCH($A80,Output[Item '#],0)),0,4)," ")</f>
        <v xml:space="preserve"> </v>
      </c>
      <c r="F80" s="659" t="str">
        <f ca="1">_xlfn.IFNA(OFFSET(INDEX(Output[Item '#],MATCH($A80,Output[Item '#],0)),0,5)," ")</f>
        <v xml:space="preserve"> </v>
      </c>
      <c r="G80" s="121"/>
      <c r="H80" s="584" t="str">
        <f ca="1">_xlfn.XLOOKUP(A80,OUTPUT!$Y$10:$Y$165,OUTPUT!$Z$10:$Z$165,"MiscItems")</f>
        <v>MiscItems</v>
      </c>
      <c r="I80" s="553" t="str">
        <f t="shared" ca="1" si="1"/>
        <v xml:space="preserve"> </v>
      </c>
      <c r="J80" s="113" t="str" cm="1">
        <f t="array" aca="1" ref="J80" ca="1">IFERROR(_xlfn.XLOOKUP($A80&amp;BasicProjectData!$G$18,PRICES!$B$2:$B$3684&amp;PRICES!$A$2:$A$3684,PRICES!$H$2:$H$3684)," ")</f>
        <v xml:space="preserve"> </v>
      </c>
      <c r="K80" s="113" t="str" cm="1">
        <f t="array" aca="1" ref="K80" ca="1">IFERROR(_xlfn.XLOOKUP($A80&amp;"All Districts",PRICES!$B$2:$B$3684&amp;PRICES!$A$2:$A$3684,PRICES!$H$2:$H$3684)," ")</f>
        <v xml:space="preserve"> </v>
      </c>
      <c r="L80" s="556" t="str" cm="1">
        <f t="array" aca="1" ref="L80" ca="1">_xlfn.SWITCH(E80,J80,"District Price",K80,"State Price","Other/User Input/Override")</f>
        <v>District Price</v>
      </c>
    </row>
    <row r="81" spans="1:12">
      <c r="A81" s="110" t="str">
        <f t="array" aca="1" ref="A81" ca="1">IFERROR(INDEX(OUTPUT!$A$9:'OUTPUT'!$A$247,SMALL(IF(OUTPUT!$F$9:$F$247&lt;&gt;0,MATCH(OUTPUT!$A$9:'OUTPUT'!$A$247,OUTPUT!$A$9:'OUTPUT'!$A$247,0)),ROWS(ProjectEstimate!A$9:A81)),1),"")</f>
        <v/>
      </c>
      <c r="B81" s="111" t="str">
        <f ca="1">_xlfn.IFNA(OFFSET(INDEX(Output[Item '#],MATCH($A81,Output[Item '#],0)),0,1)," ")</f>
        <v xml:space="preserve"> </v>
      </c>
      <c r="C81" s="111" t="str">
        <f ca="1">_xlfn.IFNA(OFFSET(INDEX(Output[Item '#],MATCH($A81,Output[Item '#],0)),0,2)," ")</f>
        <v xml:space="preserve"> </v>
      </c>
      <c r="D81" s="111" t="str">
        <f ca="1">_xlfn.IFNA(OFFSET(INDEX(Output[Item '#],MATCH($A81,Output[Item '#],0)),0,3)," ")</f>
        <v xml:space="preserve"> </v>
      </c>
      <c r="E81" s="659" t="str">
        <f ca="1">_xlfn.IFNA(OFFSET(INDEX(Output[Item '#],MATCH($A81,Output[Item '#],0)),0,4)," ")</f>
        <v xml:space="preserve"> </v>
      </c>
      <c r="F81" s="659" t="str">
        <f ca="1">_xlfn.IFNA(OFFSET(INDEX(Output[Item '#],MATCH($A81,Output[Item '#],0)),0,5)," ")</f>
        <v xml:space="preserve"> </v>
      </c>
      <c r="G81" s="121"/>
      <c r="H81" s="584" t="str">
        <f ca="1">_xlfn.XLOOKUP(A81,OUTPUT!$Y$10:$Y$165,OUTPUT!$Z$10:$Z$165,"MiscItems")</f>
        <v>MiscItems</v>
      </c>
      <c r="I81" s="553" t="str">
        <f t="shared" ref="I81:I144" ca="1" si="2">IFERROR(IF(ISNUMBER( A81),HYPERLINK("#"&amp;$H81&amp;"!A"&amp;MATCH($A81,INDIRECT($H81&amp;"!$C$1:$C$300"),0),CONCATENATE("Go to ",$A81)),HYPERLINK("#'"&amp;$H81&amp;"'!A"&amp;MATCH($A81,INDIRECT("'"&amp;$H81&amp;"'!$C$1:$C$300"),0),CONCATENATE("Go to ",$A81)))," ")</f>
        <v xml:space="preserve"> </v>
      </c>
      <c r="J81" s="113" t="str" cm="1">
        <f t="array" aca="1" ref="J81" ca="1">IFERROR(_xlfn.XLOOKUP($A81&amp;BasicProjectData!$G$18,PRICES!$B$2:$B$3684&amp;PRICES!$A$2:$A$3684,PRICES!$H$2:$H$3684)," ")</f>
        <v xml:space="preserve"> </v>
      </c>
      <c r="K81" s="113" t="str" cm="1">
        <f t="array" aca="1" ref="K81" ca="1">IFERROR(_xlfn.XLOOKUP($A81&amp;"All Districts",PRICES!$B$2:$B$3684&amp;PRICES!$A$2:$A$3684,PRICES!$H$2:$H$3684)," ")</f>
        <v xml:space="preserve"> </v>
      </c>
      <c r="L81" s="556" t="str" cm="1">
        <f t="array" aca="1" ref="L81" ca="1">_xlfn.SWITCH(E81,J81,"District Price",K81,"State Price","Other/User Input/Override")</f>
        <v>District Price</v>
      </c>
    </row>
    <row r="82" spans="1:12">
      <c r="A82" s="110" t="str">
        <f t="array" aca="1" ref="A82" ca="1">IFERROR(INDEX(OUTPUT!$A$9:'OUTPUT'!$A$247,SMALL(IF(OUTPUT!$F$9:$F$247&lt;&gt;0,MATCH(OUTPUT!$A$9:'OUTPUT'!$A$247,OUTPUT!$A$9:'OUTPUT'!$A$247,0)),ROWS(ProjectEstimate!A$9:A82)),1),"")</f>
        <v/>
      </c>
      <c r="B82" s="111" t="str">
        <f ca="1">_xlfn.IFNA(OFFSET(INDEX(Output[Item '#],MATCH($A82,Output[Item '#],0)),0,1)," ")</f>
        <v xml:space="preserve"> </v>
      </c>
      <c r="C82" s="111" t="str">
        <f ca="1">_xlfn.IFNA(OFFSET(INDEX(Output[Item '#],MATCH($A82,Output[Item '#],0)),0,2)," ")</f>
        <v xml:space="preserve"> </v>
      </c>
      <c r="D82" s="111" t="str">
        <f ca="1">_xlfn.IFNA(OFFSET(INDEX(Output[Item '#],MATCH($A82,Output[Item '#],0)),0,3)," ")</f>
        <v xml:space="preserve"> </v>
      </c>
      <c r="E82" s="659" t="str">
        <f ca="1">_xlfn.IFNA(OFFSET(INDEX(Output[Item '#],MATCH($A82,Output[Item '#],0)),0,4)," ")</f>
        <v xml:space="preserve"> </v>
      </c>
      <c r="F82" s="659" t="str">
        <f ca="1">_xlfn.IFNA(OFFSET(INDEX(Output[Item '#],MATCH($A82,Output[Item '#],0)),0,5)," ")</f>
        <v xml:space="preserve"> </v>
      </c>
      <c r="G82" s="121"/>
      <c r="H82" s="584" t="str">
        <f ca="1">_xlfn.XLOOKUP(A82,OUTPUT!$Y$10:$Y$165,OUTPUT!$Z$10:$Z$165,"MiscItems")</f>
        <v>MiscItems</v>
      </c>
      <c r="I82" s="553" t="str">
        <f t="shared" ca="1" si="2"/>
        <v xml:space="preserve"> </v>
      </c>
      <c r="J82" s="113" t="str" cm="1">
        <f t="array" aca="1" ref="J82" ca="1">IFERROR(_xlfn.XLOOKUP($A82&amp;BasicProjectData!$G$18,PRICES!$B$2:$B$3684&amp;PRICES!$A$2:$A$3684,PRICES!$H$2:$H$3684)," ")</f>
        <v xml:space="preserve"> </v>
      </c>
      <c r="K82" s="113" t="str" cm="1">
        <f t="array" aca="1" ref="K82" ca="1">IFERROR(_xlfn.XLOOKUP($A82&amp;"All Districts",PRICES!$B$2:$B$3684&amp;PRICES!$A$2:$A$3684,PRICES!$H$2:$H$3684)," ")</f>
        <v xml:space="preserve"> </v>
      </c>
      <c r="L82" s="556" t="str" cm="1">
        <f t="array" aca="1" ref="L82" ca="1">_xlfn.SWITCH(E82,J82,"District Price",K82,"State Price","Other/User Input/Override")</f>
        <v>District Price</v>
      </c>
    </row>
    <row r="83" spans="1:12">
      <c r="A83" s="110" t="str">
        <f t="array" aca="1" ref="A83" ca="1">IFERROR(INDEX(OUTPUT!$A$9:'OUTPUT'!$A$247,SMALL(IF(OUTPUT!$F$9:$F$247&lt;&gt;0,MATCH(OUTPUT!$A$9:'OUTPUT'!$A$247,OUTPUT!$A$9:'OUTPUT'!$A$247,0)),ROWS(ProjectEstimate!A$9:A83)),1),"")</f>
        <v/>
      </c>
      <c r="B83" s="111" t="str">
        <f ca="1">_xlfn.IFNA(OFFSET(INDEX(Output[Item '#],MATCH($A83,Output[Item '#],0)),0,1)," ")</f>
        <v xml:space="preserve"> </v>
      </c>
      <c r="C83" s="111" t="str">
        <f ca="1">_xlfn.IFNA(OFFSET(INDEX(Output[Item '#],MATCH($A83,Output[Item '#],0)),0,2)," ")</f>
        <v xml:space="preserve"> </v>
      </c>
      <c r="D83" s="111" t="str">
        <f ca="1">_xlfn.IFNA(OFFSET(INDEX(Output[Item '#],MATCH($A83,Output[Item '#],0)),0,3)," ")</f>
        <v xml:space="preserve"> </v>
      </c>
      <c r="E83" s="659" t="str">
        <f ca="1">_xlfn.IFNA(OFFSET(INDEX(Output[Item '#],MATCH($A83,Output[Item '#],0)),0,4)," ")</f>
        <v xml:space="preserve"> </v>
      </c>
      <c r="F83" s="659" t="str">
        <f ca="1">_xlfn.IFNA(OFFSET(INDEX(Output[Item '#],MATCH($A83,Output[Item '#],0)),0,5)," ")</f>
        <v xml:space="preserve"> </v>
      </c>
      <c r="G83" s="121"/>
      <c r="H83" s="584" t="str">
        <f ca="1">_xlfn.XLOOKUP(A83,OUTPUT!$Y$10:$Y$165,OUTPUT!$Z$10:$Z$165,"MiscItems")</f>
        <v>MiscItems</v>
      </c>
      <c r="I83" s="553" t="str">
        <f t="shared" ca="1" si="2"/>
        <v xml:space="preserve"> </v>
      </c>
      <c r="J83" s="113" t="str" cm="1">
        <f t="array" aca="1" ref="J83" ca="1">IFERROR(_xlfn.XLOOKUP($A83&amp;BasicProjectData!$G$18,PRICES!$B$2:$B$3684&amp;PRICES!$A$2:$A$3684,PRICES!$H$2:$H$3684)," ")</f>
        <v xml:space="preserve"> </v>
      </c>
      <c r="K83" s="113" t="str" cm="1">
        <f t="array" aca="1" ref="K83" ca="1">IFERROR(_xlfn.XLOOKUP($A83&amp;"All Districts",PRICES!$B$2:$B$3684&amp;PRICES!$A$2:$A$3684,PRICES!$H$2:$H$3684)," ")</f>
        <v xml:space="preserve"> </v>
      </c>
      <c r="L83" s="556" t="str" cm="1">
        <f t="array" aca="1" ref="L83" ca="1">_xlfn.SWITCH(E83,J83,"District Price",K83,"State Price","Other/User Input/Override")</f>
        <v>District Price</v>
      </c>
    </row>
    <row r="84" spans="1:12">
      <c r="A84" s="110" t="str">
        <f t="array" aca="1" ref="A84" ca="1">IFERROR(INDEX(OUTPUT!$A$9:'OUTPUT'!$A$247,SMALL(IF(OUTPUT!$F$9:$F$247&lt;&gt;0,MATCH(OUTPUT!$A$9:'OUTPUT'!$A$247,OUTPUT!$A$9:'OUTPUT'!$A$247,0)),ROWS(ProjectEstimate!A$9:A84)),1),"")</f>
        <v/>
      </c>
      <c r="B84" s="111" t="str">
        <f ca="1">_xlfn.IFNA(OFFSET(INDEX(Output[Item '#],MATCH($A84,Output[Item '#],0)),0,1)," ")</f>
        <v xml:space="preserve"> </v>
      </c>
      <c r="C84" s="111" t="str">
        <f ca="1">_xlfn.IFNA(OFFSET(INDEX(Output[Item '#],MATCH($A84,Output[Item '#],0)),0,2)," ")</f>
        <v xml:space="preserve"> </v>
      </c>
      <c r="D84" s="111" t="str">
        <f ca="1">_xlfn.IFNA(OFFSET(INDEX(Output[Item '#],MATCH($A84,Output[Item '#],0)),0,3)," ")</f>
        <v xml:space="preserve"> </v>
      </c>
      <c r="E84" s="659" t="str">
        <f ca="1">_xlfn.IFNA(OFFSET(INDEX(Output[Item '#],MATCH($A84,Output[Item '#],0)),0,4)," ")</f>
        <v xml:space="preserve"> </v>
      </c>
      <c r="F84" s="659" t="str">
        <f ca="1">_xlfn.IFNA(OFFSET(INDEX(Output[Item '#],MATCH($A84,Output[Item '#],0)),0,5)," ")</f>
        <v xml:space="preserve"> </v>
      </c>
      <c r="G84" s="121"/>
      <c r="H84" s="584" t="str">
        <f ca="1">_xlfn.XLOOKUP(A84,OUTPUT!$Y$10:$Y$165,OUTPUT!$Z$10:$Z$165,"MiscItems")</f>
        <v>MiscItems</v>
      </c>
      <c r="I84" s="553" t="str">
        <f t="shared" ca="1" si="2"/>
        <v xml:space="preserve"> </v>
      </c>
      <c r="J84" s="113" t="str" cm="1">
        <f t="array" aca="1" ref="J84" ca="1">IFERROR(_xlfn.XLOOKUP($A84&amp;BasicProjectData!$G$18,PRICES!$B$2:$B$3684&amp;PRICES!$A$2:$A$3684,PRICES!$H$2:$H$3684)," ")</f>
        <v xml:space="preserve"> </v>
      </c>
      <c r="K84" s="113" t="str" cm="1">
        <f t="array" aca="1" ref="K84" ca="1">IFERROR(_xlfn.XLOOKUP($A84&amp;"All Districts",PRICES!$B$2:$B$3684&amp;PRICES!$A$2:$A$3684,PRICES!$H$2:$H$3684)," ")</f>
        <v xml:space="preserve"> </v>
      </c>
      <c r="L84" s="556" t="str" cm="1">
        <f t="array" aca="1" ref="L84" ca="1">_xlfn.SWITCH(E84,J84,"District Price",K84,"State Price","Other/User Input/Override")</f>
        <v>District Price</v>
      </c>
    </row>
    <row r="85" spans="1:12">
      <c r="A85" s="110" t="str">
        <f t="array" aca="1" ref="A85" ca="1">IFERROR(INDEX(OUTPUT!$A$9:'OUTPUT'!$A$247,SMALL(IF(OUTPUT!$F$9:$F$247&lt;&gt;0,MATCH(OUTPUT!$A$9:'OUTPUT'!$A$247,OUTPUT!$A$9:'OUTPUT'!$A$247,0)),ROWS(ProjectEstimate!A$9:A85)),1),"")</f>
        <v/>
      </c>
      <c r="B85" s="111" t="str">
        <f ca="1">_xlfn.IFNA(OFFSET(INDEX(Output[Item '#],MATCH($A85,Output[Item '#],0)),0,1)," ")</f>
        <v xml:space="preserve"> </v>
      </c>
      <c r="C85" s="111" t="str">
        <f ca="1">_xlfn.IFNA(OFFSET(INDEX(Output[Item '#],MATCH($A85,Output[Item '#],0)),0,2)," ")</f>
        <v xml:space="preserve"> </v>
      </c>
      <c r="D85" s="111" t="str">
        <f ca="1">_xlfn.IFNA(OFFSET(INDEX(Output[Item '#],MATCH($A85,Output[Item '#],0)),0,3)," ")</f>
        <v xml:space="preserve"> </v>
      </c>
      <c r="E85" s="659" t="str">
        <f ca="1">_xlfn.IFNA(OFFSET(INDEX(Output[Item '#],MATCH($A85,Output[Item '#],0)),0,4)," ")</f>
        <v xml:space="preserve"> </v>
      </c>
      <c r="F85" s="659" t="str">
        <f ca="1">_xlfn.IFNA(OFFSET(INDEX(Output[Item '#],MATCH($A85,Output[Item '#],0)),0,5)," ")</f>
        <v xml:space="preserve"> </v>
      </c>
      <c r="G85" s="121"/>
      <c r="H85" s="584" t="str">
        <f ca="1">_xlfn.XLOOKUP(A85,OUTPUT!$Y$10:$Y$165,OUTPUT!$Z$10:$Z$165,"MiscItems")</f>
        <v>MiscItems</v>
      </c>
      <c r="I85" s="553" t="str">
        <f t="shared" ca="1" si="2"/>
        <v xml:space="preserve"> </v>
      </c>
      <c r="J85" s="113" t="str" cm="1">
        <f t="array" aca="1" ref="J85" ca="1">IFERROR(_xlfn.XLOOKUP($A85&amp;BasicProjectData!$G$18,PRICES!$B$2:$B$3684&amp;PRICES!$A$2:$A$3684,PRICES!$H$2:$H$3684)," ")</f>
        <v xml:space="preserve"> </v>
      </c>
      <c r="K85" s="113" t="str" cm="1">
        <f t="array" aca="1" ref="K85" ca="1">IFERROR(_xlfn.XLOOKUP($A85&amp;"All Districts",PRICES!$B$2:$B$3684&amp;PRICES!$A$2:$A$3684,PRICES!$H$2:$H$3684)," ")</f>
        <v xml:space="preserve"> </v>
      </c>
      <c r="L85" s="556" t="str" cm="1">
        <f t="array" aca="1" ref="L85" ca="1">_xlfn.SWITCH(E85,J85,"District Price",K85,"State Price","Other/User Input/Override")</f>
        <v>District Price</v>
      </c>
    </row>
    <row r="86" spans="1:12">
      <c r="A86" s="110" t="str">
        <f t="array" aca="1" ref="A86" ca="1">IFERROR(INDEX(OUTPUT!$A$9:'OUTPUT'!$A$247,SMALL(IF(OUTPUT!$F$9:$F$247&lt;&gt;0,MATCH(OUTPUT!$A$9:'OUTPUT'!$A$247,OUTPUT!$A$9:'OUTPUT'!$A$247,0)),ROWS(ProjectEstimate!A$9:A86)),1),"")</f>
        <v/>
      </c>
      <c r="B86" s="111" t="str">
        <f ca="1">_xlfn.IFNA(OFFSET(INDEX(Output[Item '#],MATCH($A86,Output[Item '#],0)),0,1)," ")</f>
        <v xml:space="preserve"> </v>
      </c>
      <c r="C86" s="111" t="str">
        <f ca="1">_xlfn.IFNA(OFFSET(INDEX(Output[Item '#],MATCH($A86,Output[Item '#],0)),0,2)," ")</f>
        <v xml:space="preserve"> </v>
      </c>
      <c r="D86" s="111" t="str">
        <f ca="1">_xlfn.IFNA(OFFSET(INDEX(Output[Item '#],MATCH($A86,Output[Item '#],0)),0,3)," ")</f>
        <v xml:space="preserve"> </v>
      </c>
      <c r="E86" s="659" t="str">
        <f ca="1">_xlfn.IFNA(OFFSET(INDEX(Output[Item '#],MATCH($A86,Output[Item '#],0)),0,4)," ")</f>
        <v xml:space="preserve"> </v>
      </c>
      <c r="F86" s="659" t="str">
        <f ca="1">_xlfn.IFNA(OFFSET(INDEX(Output[Item '#],MATCH($A86,Output[Item '#],0)),0,5)," ")</f>
        <v xml:space="preserve"> </v>
      </c>
      <c r="G86" s="121"/>
      <c r="H86" s="584" t="str">
        <f ca="1">_xlfn.XLOOKUP(A86,OUTPUT!$Y$10:$Y$165,OUTPUT!$Z$10:$Z$165,"MiscItems")</f>
        <v>MiscItems</v>
      </c>
      <c r="I86" s="553" t="str">
        <f t="shared" ca="1" si="2"/>
        <v xml:space="preserve"> </v>
      </c>
      <c r="J86" s="113" t="str" cm="1">
        <f t="array" aca="1" ref="J86" ca="1">IFERROR(_xlfn.XLOOKUP($A86&amp;BasicProjectData!$G$18,PRICES!$B$2:$B$3684&amp;PRICES!$A$2:$A$3684,PRICES!$H$2:$H$3684)," ")</f>
        <v xml:space="preserve"> </v>
      </c>
      <c r="K86" s="113" t="str" cm="1">
        <f t="array" aca="1" ref="K86" ca="1">IFERROR(_xlfn.XLOOKUP($A86&amp;"All Districts",PRICES!$B$2:$B$3684&amp;PRICES!$A$2:$A$3684,PRICES!$H$2:$H$3684)," ")</f>
        <v xml:space="preserve"> </v>
      </c>
      <c r="L86" s="556" t="str" cm="1">
        <f t="array" aca="1" ref="L86" ca="1">_xlfn.SWITCH(E86,J86,"District Price",K86,"State Price","Other/User Input/Override")</f>
        <v>District Price</v>
      </c>
    </row>
    <row r="87" spans="1:12">
      <c r="A87" s="110" t="str">
        <f t="array" aca="1" ref="A87" ca="1">IFERROR(INDEX(OUTPUT!$A$9:'OUTPUT'!$A$247,SMALL(IF(OUTPUT!$F$9:$F$247&lt;&gt;0,MATCH(OUTPUT!$A$9:'OUTPUT'!$A$247,OUTPUT!$A$9:'OUTPUT'!$A$247,0)),ROWS(ProjectEstimate!A$9:A87)),1),"")</f>
        <v/>
      </c>
      <c r="B87" s="111" t="str">
        <f ca="1">_xlfn.IFNA(OFFSET(INDEX(Output[Item '#],MATCH($A87,Output[Item '#],0)),0,1)," ")</f>
        <v xml:space="preserve"> </v>
      </c>
      <c r="C87" s="111" t="str">
        <f ca="1">_xlfn.IFNA(OFFSET(INDEX(Output[Item '#],MATCH($A87,Output[Item '#],0)),0,2)," ")</f>
        <v xml:space="preserve"> </v>
      </c>
      <c r="D87" s="111" t="str">
        <f ca="1">_xlfn.IFNA(OFFSET(INDEX(Output[Item '#],MATCH($A87,Output[Item '#],0)),0,3)," ")</f>
        <v xml:space="preserve"> </v>
      </c>
      <c r="E87" s="659" t="str">
        <f ca="1">_xlfn.IFNA(OFFSET(INDEX(Output[Item '#],MATCH($A87,Output[Item '#],0)),0,4)," ")</f>
        <v xml:space="preserve"> </v>
      </c>
      <c r="F87" s="659" t="str">
        <f ca="1">_xlfn.IFNA(OFFSET(INDEX(Output[Item '#],MATCH($A87,Output[Item '#],0)),0,5)," ")</f>
        <v xml:space="preserve"> </v>
      </c>
      <c r="G87" s="121"/>
      <c r="H87" s="584" t="str">
        <f ca="1">_xlfn.XLOOKUP(A87,OUTPUT!$Y$10:$Y$165,OUTPUT!$Z$10:$Z$165,"MiscItems")</f>
        <v>MiscItems</v>
      </c>
      <c r="I87" s="553" t="str">
        <f t="shared" ca="1" si="2"/>
        <v xml:space="preserve"> </v>
      </c>
      <c r="J87" s="113" t="str" cm="1">
        <f t="array" aca="1" ref="J87" ca="1">IFERROR(_xlfn.XLOOKUP($A87&amp;BasicProjectData!$G$18,PRICES!$B$2:$B$3684&amp;PRICES!$A$2:$A$3684,PRICES!$H$2:$H$3684)," ")</f>
        <v xml:space="preserve"> </v>
      </c>
      <c r="K87" s="113" t="str" cm="1">
        <f t="array" aca="1" ref="K87" ca="1">IFERROR(_xlfn.XLOOKUP($A87&amp;"All Districts",PRICES!$B$2:$B$3684&amp;PRICES!$A$2:$A$3684,PRICES!$H$2:$H$3684)," ")</f>
        <v xml:space="preserve"> </v>
      </c>
      <c r="L87" s="556" t="str" cm="1">
        <f t="array" aca="1" ref="L87" ca="1">_xlfn.SWITCH(E87,J87,"District Price",K87,"State Price","Other/User Input/Override")</f>
        <v>District Price</v>
      </c>
    </row>
    <row r="88" spans="1:12">
      <c r="A88" s="110" t="str">
        <f t="array" aca="1" ref="A88" ca="1">IFERROR(INDEX(OUTPUT!$A$9:'OUTPUT'!$A$247,SMALL(IF(OUTPUT!$F$9:$F$247&lt;&gt;0,MATCH(OUTPUT!$A$9:'OUTPUT'!$A$247,OUTPUT!$A$9:'OUTPUT'!$A$247,0)),ROWS(ProjectEstimate!A$9:A88)),1),"")</f>
        <v/>
      </c>
      <c r="B88" s="111" t="str">
        <f ca="1">_xlfn.IFNA(OFFSET(INDEX(Output[Item '#],MATCH($A88,Output[Item '#],0)),0,1)," ")</f>
        <v xml:space="preserve"> </v>
      </c>
      <c r="C88" s="111" t="str">
        <f ca="1">_xlfn.IFNA(OFFSET(INDEX(Output[Item '#],MATCH($A88,Output[Item '#],0)),0,2)," ")</f>
        <v xml:space="preserve"> </v>
      </c>
      <c r="D88" s="111" t="str">
        <f ca="1">_xlfn.IFNA(OFFSET(INDEX(Output[Item '#],MATCH($A88,Output[Item '#],0)),0,3)," ")</f>
        <v xml:space="preserve"> </v>
      </c>
      <c r="E88" s="659" t="str">
        <f ca="1">_xlfn.IFNA(OFFSET(INDEX(Output[Item '#],MATCH($A88,Output[Item '#],0)),0,4)," ")</f>
        <v xml:space="preserve"> </v>
      </c>
      <c r="F88" s="659" t="str">
        <f ca="1">_xlfn.IFNA(OFFSET(INDEX(Output[Item '#],MATCH($A88,Output[Item '#],0)),0,5)," ")</f>
        <v xml:space="preserve"> </v>
      </c>
      <c r="G88" s="121"/>
      <c r="H88" s="584" t="str">
        <f ca="1">_xlfn.XLOOKUP(A88,OUTPUT!$Y$10:$Y$165,OUTPUT!$Z$10:$Z$165,"MiscItems")</f>
        <v>MiscItems</v>
      </c>
      <c r="I88" s="553" t="str">
        <f t="shared" ca="1" si="2"/>
        <v xml:space="preserve"> </v>
      </c>
      <c r="J88" s="113" t="str" cm="1">
        <f t="array" aca="1" ref="J88" ca="1">IFERROR(_xlfn.XLOOKUP($A88&amp;BasicProjectData!$G$18,PRICES!$B$2:$B$3684&amp;PRICES!$A$2:$A$3684,PRICES!$H$2:$H$3684)," ")</f>
        <v xml:space="preserve"> </v>
      </c>
      <c r="K88" s="113" t="str" cm="1">
        <f t="array" aca="1" ref="K88" ca="1">IFERROR(_xlfn.XLOOKUP($A88&amp;"All Districts",PRICES!$B$2:$B$3684&amp;PRICES!$A$2:$A$3684,PRICES!$H$2:$H$3684)," ")</f>
        <v xml:space="preserve"> </v>
      </c>
      <c r="L88" s="556" t="str" cm="1">
        <f t="array" aca="1" ref="L88" ca="1">_xlfn.SWITCH(E88,J88,"District Price",K88,"State Price","Other/User Input/Override")</f>
        <v>District Price</v>
      </c>
    </row>
    <row r="89" spans="1:12">
      <c r="A89" s="110" t="str">
        <f t="array" aca="1" ref="A89" ca="1">IFERROR(INDEX(OUTPUT!$A$9:'OUTPUT'!$A$247,SMALL(IF(OUTPUT!$F$9:$F$247&lt;&gt;0,MATCH(OUTPUT!$A$9:'OUTPUT'!$A$247,OUTPUT!$A$9:'OUTPUT'!$A$247,0)),ROWS(ProjectEstimate!A$9:A89)),1),"")</f>
        <v/>
      </c>
      <c r="B89" s="111" t="str">
        <f ca="1">_xlfn.IFNA(OFFSET(INDEX(Output[Item '#],MATCH($A89,Output[Item '#],0)),0,1)," ")</f>
        <v xml:space="preserve"> </v>
      </c>
      <c r="C89" s="111" t="str">
        <f ca="1">_xlfn.IFNA(OFFSET(INDEX(Output[Item '#],MATCH($A89,Output[Item '#],0)),0,2)," ")</f>
        <v xml:space="preserve"> </v>
      </c>
      <c r="D89" s="111" t="str">
        <f ca="1">_xlfn.IFNA(OFFSET(INDEX(Output[Item '#],MATCH($A89,Output[Item '#],0)),0,3)," ")</f>
        <v xml:space="preserve"> </v>
      </c>
      <c r="E89" s="659" t="str">
        <f ca="1">_xlfn.IFNA(OFFSET(INDEX(Output[Item '#],MATCH($A89,Output[Item '#],0)),0,4)," ")</f>
        <v xml:space="preserve"> </v>
      </c>
      <c r="F89" s="659" t="str">
        <f ca="1">_xlfn.IFNA(OFFSET(INDEX(Output[Item '#],MATCH($A89,Output[Item '#],0)),0,5)," ")</f>
        <v xml:space="preserve"> </v>
      </c>
      <c r="G89" s="121"/>
      <c r="H89" s="584" t="str">
        <f ca="1">_xlfn.XLOOKUP(A89,OUTPUT!$Y$10:$Y$165,OUTPUT!$Z$10:$Z$165,"MiscItems")</f>
        <v>MiscItems</v>
      </c>
      <c r="I89" s="553" t="str">
        <f t="shared" ca="1" si="2"/>
        <v xml:space="preserve"> </v>
      </c>
      <c r="J89" s="113" t="str" cm="1">
        <f t="array" aca="1" ref="J89" ca="1">IFERROR(_xlfn.XLOOKUP($A89&amp;BasicProjectData!$G$18,PRICES!$B$2:$B$3684&amp;PRICES!$A$2:$A$3684,PRICES!$H$2:$H$3684)," ")</f>
        <v xml:space="preserve"> </v>
      </c>
      <c r="K89" s="113" t="str" cm="1">
        <f t="array" aca="1" ref="K89" ca="1">IFERROR(_xlfn.XLOOKUP($A89&amp;"All Districts",PRICES!$B$2:$B$3684&amp;PRICES!$A$2:$A$3684,PRICES!$H$2:$H$3684)," ")</f>
        <v xml:space="preserve"> </v>
      </c>
      <c r="L89" s="556" t="str" cm="1">
        <f t="array" aca="1" ref="L89" ca="1">_xlfn.SWITCH(E89,J89,"District Price",K89,"State Price","Other/User Input/Override")</f>
        <v>District Price</v>
      </c>
    </row>
    <row r="90" spans="1:12">
      <c r="A90" s="110" t="str">
        <f t="array" aca="1" ref="A90" ca="1">IFERROR(INDEX(OUTPUT!$A$9:'OUTPUT'!$A$247,SMALL(IF(OUTPUT!$F$9:$F$247&lt;&gt;0,MATCH(OUTPUT!$A$9:'OUTPUT'!$A$247,OUTPUT!$A$9:'OUTPUT'!$A$247,0)),ROWS(ProjectEstimate!A$9:A90)),1),"")</f>
        <v/>
      </c>
      <c r="B90" s="111" t="str">
        <f ca="1">_xlfn.IFNA(OFFSET(INDEX(Output[Item '#],MATCH($A90,Output[Item '#],0)),0,1)," ")</f>
        <v xml:space="preserve"> </v>
      </c>
      <c r="C90" s="111" t="str">
        <f ca="1">_xlfn.IFNA(OFFSET(INDEX(Output[Item '#],MATCH($A90,Output[Item '#],0)),0,2)," ")</f>
        <v xml:space="preserve"> </v>
      </c>
      <c r="D90" s="111" t="str">
        <f ca="1">_xlfn.IFNA(OFFSET(INDEX(Output[Item '#],MATCH($A90,Output[Item '#],0)),0,3)," ")</f>
        <v xml:space="preserve"> </v>
      </c>
      <c r="E90" s="659" t="str">
        <f ca="1">_xlfn.IFNA(OFFSET(INDEX(Output[Item '#],MATCH($A90,Output[Item '#],0)),0,4)," ")</f>
        <v xml:space="preserve"> </v>
      </c>
      <c r="F90" s="659" t="str">
        <f ca="1">_xlfn.IFNA(OFFSET(INDEX(Output[Item '#],MATCH($A90,Output[Item '#],0)),0,5)," ")</f>
        <v xml:space="preserve"> </v>
      </c>
      <c r="G90" s="121"/>
      <c r="H90" s="584" t="str">
        <f ca="1">_xlfn.XLOOKUP(A90,OUTPUT!$Y$10:$Y$165,OUTPUT!$Z$10:$Z$165,"MiscItems")</f>
        <v>MiscItems</v>
      </c>
      <c r="I90" s="553" t="str">
        <f t="shared" ca="1" si="2"/>
        <v xml:space="preserve"> </v>
      </c>
      <c r="J90" s="113" t="str" cm="1">
        <f t="array" aca="1" ref="J90" ca="1">IFERROR(_xlfn.XLOOKUP($A90&amp;BasicProjectData!$G$18,PRICES!$B$2:$B$3684&amp;PRICES!$A$2:$A$3684,PRICES!$H$2:$H$3684)," ")</f>
        <v xml:space="preserve"> </v>
      </c>
      <c r="K90" s="113" t="str" cm="1">
        <f t="array" aca="1" ref="K90" ca="1">IFERROR(_xlfn.XLOOKUP($A90&amp;"All Districts",PRICES!$B$2:$B$3684&amp;PRICES!$A$2:$A$3684,PRICES!$H$2:$H$3684)," ")</f>
        <v xml:space="preserve"> </v>
      </c>
      <c r="L90" s="556" t="str" cm="1">
        <f t="array" aca="1" ref="L90" ca="1">_xlfn.SWITCH(E90,J90,"District Price",K90,"State Price","Other/User Input/Override")</f>
        <v>District Price</v>
      </c>
    </row>
    <row r="91" spans="1:12">
      <c r="A91" s="110" t="str">
        <f t="array" aca="1" ref="A91" ca="1">IFERROR(INDEX(OUTPUT!$A$9:'OUTPUT'!$A$247,SMALL(IF(OUTPUT!$F$9:$F$247&lt;&gt;0,MATCH(OUTPUT!$A$9:'OUTPUT'!$A$247,OUTPUT!$A$9:'OUTPUT'!$A$247,0)),ROWS(ProjectEstimate!A$9:A91)),1),"")</f>
        <v/>
      </c>
      <c r="B91" s="111" t="str">
        <f ca="1">_xlfn.IFNA(OFFSET(INDEX(Output[Item '#],MATCH($A91,Output[Item '#],0)),0,1)," ")</f>
        <v xml:space="preserve"> </v>
      </c>
      <c r="C91" s="111" t="str">
        <f ca="1">_xlfn.IFNA(OFFSET(INDEX(Output[Item '#],MATCH($A91,Output[Item '#],0)),0,2)," ")</f>
        <v xml:space="preserve"> </v>
      </c>
      <c r="D91" s="111" t="str">
        <f ca="1">_xlfn.IFNA(OFFSET(INDEX(Output[Item '#],MATCH($A91,Output[Item '#],0)),0,3)," ")</f>
        <v xml:space="preserve"> </v>
      </c>
      <c r="E91" s="659" t="str">
        <f ca="1">_xlfn.IFNA(OFFSET(INDEX(Output[Item '#],MATCH($A91,Output[Item '#],0)),0,4)," ")</f>
        <v xml:space="preserve"> </v>
      </c>
      <c r="F91" s="659" t="str">
        <f ca="1">_xlfn.IFNA(OFFSET(INDEX(Output[Item '#],MATCH($A91,Output[Item '#],0)),0,5)," ")</f>
        <v xml:space="preserve"> </v>
      </c>
      <c r="G91" s="121"/>
      <c r="H91" s="584" t="str">
        <f ca="1">_xlfn.XLOOKUP(A91,OUTPUT!$Y$10:$Y$165,OUTPUT!$Z$10:$Z$165,"MiscItems")</f>
        <v>MiscItems</v>
      </c>
      <c r="I91" s="553" t="str">
        <f t="shared" ca="1" si="2"/>
        <v xml:space="preserve"> </v>
      </c>
      <c r="J91" s="113" t="str" cm="1">
        <f t="array" aca="1" ref="J91" ca="1">IFERROR(_xlfn.XLOOKUP($A91&amp;BasicProjectData!$G$18,PRICES!$B$2:$B$3684&amp;PRICES!$A$2:$A$3684,PRICES!$H$2:$H$3684)," ")</f>
        <v xml:space="preserve"> </v>
      </c>
      <c r="K91" s="113" t="str" cm="1">
        <f t="array" aca="1" ref="K91" ca="1">IFERROR(_xlfn.XLOOKUP($A91&amp;"All Districts",PRICES!$B$2:$B$3684&amp;PRICES!$A$2:$A$3684,PRICES!$H$2:$H$3684)," ")</f>
        <v xml:space="preserve"> </v>
      </c>
      <c r="L91" s="556" t="str" cm="1">
        <f t="array" aca="1" ref="L91" ca="1">_xlfn.SWITCH(E91,J91,"District Price",K91,"State Price","Other/User Input/Override")</f>
        <v>District Price</v>
      </c>
    </row>
    <row r="92" spans="1:12">
      <c r="A92" s="110" t="str">
        <f t="array" aca="1" ref="A92" ca="1">IFERROR(INDEX(OUTPUT!$A$9:'OUTPUT'!$A$247,SMALL(IF(OUTPUT!$F$9:$F$247&lt;&gt;0,MATCH(OUTPUT!$A$9:'OUTPUT'!$A$247,OUTPUT!$A$9:'OUTPUT'!$A$247,0)),ROWS(ProjectEstimate!A$9:A92)),1),"")</f>
        <v/>
      </c>
      <c r="B92" s="111" t="str">
        <f ca="1">_xlfn.IFNA(OFFSET(INDEX(Output[Item '#],MATCH($A92,Output[Item '#],0)),0,1)," ")</f>
        <v xml:space="preserve"> </v>
      </c>
      <c r="C92" s="111" t="str">
        <f ca="1">_xlfn.IFNA(OFFSET(INDEX(Output[Item '#],MATCH($A92,Output[Item '#],0)),0,2)," ")</f>
        <v xml:space="preserve"> </v>
      </c>
      <c r="D92" s="111" t="str">
        <f ca="1">_xlfn.IFNA(OFFSET(INDEX(Output[Item '#],MATCH($A92,Output[Item '#],0)),0,3)," ")</f>
        <v xml:space="preserve"> </v>
      </c>
      <c r="E92" s="659" t="str">
        <f ca="1">_xlfn.IFNA(OFFSET(INDEX(Output[Item '#],MATCH($A92,Output[Item '#],0)),0,4)," ")</f>
        <v xml:space="preserve"> </v>
      </c>
      <c r="F92" s="659" t="str">
        <f ca="1">_xlfn.IFNA(OFFSET(INDEX(Output[Item '#],MATCH($A92,Output[Item '#],0)),0,5)," ")</f>
        <v xml:space="preserve"> </v>
      </c>
      <c r="G92" s="121"/>
      <c r="H92" s="584" t="str">
        <f ca="1">_xlfn.XLOOKUP(A92,OUTPUT!$Y$10:$Y$165,OUTPUT!$Z$10:$Z$165,"MiscItems")</f>
        <v>MiscItems</v>
      </c>
      <c r="I92" s="553" t="str">
        <f t="shared" ca="1" si="2"/>
        <v xml:space="preserve"> </v>
      </c>
      <c r="J92" s="113" t="str" cm="1">
        <f t="array" aca="1" ref="J92" ca="1">IFERROR(_xlfn.XLOOKUP($A92&amp;BasicProjectData!$G$18,PRICES!$B$2:$B$3684&amp;PRICES!$A$2:$A$3684,PRICES!$H$2:$H$3684)," ")</f>
        <v xml:space="preserve"> </v>
      </c>
      <c r="K92" s="113" t="str" cm="1">
        <f t="array" aca="1" ref="K92" ca="1">IFERROR(_xlfn.XLOOKUP($A92&amp;"All Districts",PRICES!$B$2:$B$3684&amp;PRICES!$A$2:$A$3684,PRICES!$H$2:$H$3684)," ")</f>
        <v xml:space="preserve"> </v>
      </c>
      <c r="L92" s="556" t="str" cm="1">
        <f t="array" aca="1" ref="L92" ca="1">_xlfn.SWITCH(E92,J92,"District Price",K92,"State Price","Other/User Input/Override")</f>
        <v>District Price</v>
      </c>
    </row>
    <row r="93" spans="1:12" ht="15" customHeight="1">
      <c r="A93" s="110" t="str">
        <f t="array" aca="1" ref="A93" ca="1">IFERROR(INDEX(OUTPUT!$A$9:'OUTPUT'!$A$247,SMALL(IF(OUTPUT!$F$9:$F$247&lt;&gt;0,MATCH(OUTPUT!$A$9:'OUTPUT'!$A$247,OUTPUT!$A$9:'OUTPUT'!$A$247,0)),ROWS(ProjectEstimate!A$9:A93)),1),"")</f>
        <v/>
      </c>
      <c r="B93" s="111" t="str">
        <f ca="1">_xlfn.IFNA(OFFSET(INDEX(Output[Item '#],MATCH($A93,Output[Item '#],0)),0,1)," ")</f>
        <v xml:space="preserve"> </v>
      </c>
      <c r="C93" s="111" t="str">
        <f ca="1">_xlfn.IFNA(OFFSET(INDEX(Output[Item '#],MATCH($A93,Output[Item '#],0)),0,2)," ")</f>
        <v xml:space="preserve"> </v>
      </c>
      <c r="D93" s="111" t="str">
        <f ca="1">_xlfn.IFNA(OFFSET(INDEX(Output[Item '#],MATCH($A93,Output[Item '#],0)),0,3)," ")</f>
        <v xml:space="preserve"> </v>
      </c>
      <c r="E93" s="659" t="str">
        <f ca="1">_xlfn.IFNA(OFFSET(INDEX(Output[Item '#],MATCH($A93,Output[Item '#],0)),0,4)," ")</f>
        <v xml:space="preserve"> </v>
      </c>
      <c r="F93" s="659" t="str">
        <f ca="1">_xlfn.IFNA(OFFSET(INDEX(Output[Item '#],MATCH($A93,Output[Item '#],0)),0,5)," ")</f>
        <v xml:space="preserve"> </v>
      </c>
      <c r="G93" s="121"/>
      <c r="H93" s="584" t="str">
        <f ca="1">_xlfn.XLOOKUP(A93,OUTPUT!$Y$10:$Y$165,OUTPUT!$Z$10:$Z$165,"MiscItems")</f>
        <v>MiscItems</v>
      </c>
      <c r="I93" s="553" t="str">
        <f t="shared" ca="1" si="2"/>
        <v xml:space="preserve"> </v>
      </c>
      <c r="J93" s="113" t="str" cm="1">
        <f t="array" aca="1" ref="J93" ca="1">IFERROR(_xlfn.XLOOKUP($A93&amp;BasicProjectData!$G$18,PRICES!$B$2:$B$3684&amp;PRICES!$A$2:$A$3684,PRICES!$H$2:$H$3684)," ")</f>
        <v xml:space="preserve"> </v>
      </c>
      <c r="K93" s="113" t="str" cm="1">
        <f t="array" aca="1" ref="K93" ca="1">IFERROR(_xlfn.XLOOKUP($A93&amp;"All Districts",PRICES!$B$2:$B$3684&amp;PRICES!$A$2:$A$3684,PRICES!$H$2:$H$3684)," ")</f>
        <v xml:space="preserve"> </v>
      </c>
      <c r="L93" s="556" t="str" cm="1">
        <f t="array" aca="1" ref="L93" ca="1">_xlfn.SWITCH(E93,J93,"District Price",K93,"State Price","Other/User Input/Override")</f>
        <v>District Price</v>
      </c>
    </row>
    <row r="94" spans="1:12">
      <c r="A94" s="110" t="str">
        <f t="array" aca="1" ref="A94" ca="1">IFERROR(INDEX(OUTPUT!$A$9:'OUTPUT'!$A$247,SMALL(IF(OUTPUT!$F$9:$F$247&lt;&gt;0,MATCH(OUTPUT!$A$9:'OUTPUT'!$A$247,OUTPUT!$A$9:'OUTPUT'!$A$247,0)),ROWS(ProjectEstimate!A$9:A94)),1),"")</f>
        <v/>
      </c>
      <c r="B94" s="111" t="str">
        <f ca="1">_xlfn.IFNA(OFFSET(INDEX(Output[Item '#],MATCH($A94,Output[Item '#],0)),0,1)," ")</f>
        <v xml:space="preserve"> </v>
      </c>
      <c r="C94" s="111" t="str">
        <f ca="1">_xlfn.IFNA(OFFSET(INDEX(Output[Item '#],MATCH($A94,Output[Item '#],0)),0,2)," ")</f>
        <v xml:space="preserve"> </v>
      </c>
      <c r="D94" s="111" t="str">
        <f ca="1">_xlfn.IFNA(OFFSET(INDEX(Output[Item '#],MATCH($A94,Output[Item '#],0)),0,3)," ")</f>
        <v xml:space="preserve"> </v>
      </c>
      <c r="E94" s="659" t="str">
        <f ca="1">_xlfn.IFNA(OFFSET(INDEX(Output[Item '#],MATCH($A94,Output[Item '#],0)),0,4)," ")</f>
        <v xml:space="preserve"> </v>
      </c>
      <c r="F94" s="659" t="str">
        <f ca="1">_xlfn.IFNA(OFFSET(INDEX(Output[Item '#],MATCH($A94,Output[Item '#],0)),0,5)," ")</f>
        <v xml:space="preserve"> </v>
      </c>
      <c r="G94" s="121"/>
      <c r="H94" s="584" t="str">
        <f ca="1">_xlfn.XLOOKUP(A94,OUTPUT!$Y$10:$Y$165,OUTPUT!$Z$10:$Z$165,"MiscItems")</f>
        <v>MiscItems</v>
      </c>
      <c r="I94" s="553" t="str">
        <f t="shared" ca="1" si="2"/>
        <v xml:space="preserve"> </v>
      </c>
      <c r="J94" s="113" t="str" cm="1">
        <f t="array" aca="1" ref="J94" ca="1">IFERROR(_xlfn.XLOOKUP($A94&amp;BasicProjectData!$G$18,PRICES!$B$2:$B$3684&amp;PRICES!$A$2:$A$3684,PRICES!$H$2:$H$3684)," ")</f>
        <v xml:space="preserve"> </v>
      </c>
      <c r="K94" s="113" t="str" cm="1">
        <f t="array" aca="1" ref="K94" ca="1">IFERROR(_xlfn.XLOOKUP($A94&amp;"All Districts",PRICES!$B$2:$B$3684&amp;PRICES!$A$2:$A$3684,PRICES!$H$2:$H$3684)," ")</f>
        <v xml:space="preserve"> </v>
      </c>
      <c r="L94" s="556" t="str" cm="1">
        <f t="array" aca="1" ref="L94" ca="1">_xlfn.SWITCH(E94,J94,"District Price",K94,"State Price","Other/User Input/Override")</f>
        <v>District Price</v>
      </c>
    </row>
    <row r="95" spans="1:12" ht="12.75" customHeight="1">
      <c r="A95" s="110" t="str">
        <f t="array" aca="1" ref="A95" ca="1">IFERROR(INDEX(OUTPUT!$A$9:'OUTPUT'!$A$247,SMALL(IF(OUTPUT!$F$9:$F$247&lt;&gt;0,MATCH(OUTPUT!$A$9:'OUTPUT'!$A$247,OUTPUT!$A$9:'OUTPUT'!$A$247,0)),ROWS(ProjectEstimate!A$9:A95)),1),"")</f>
        <v/>
      </c>
      <c r="B95" s="111" t="str">
        <f ca="1">_xlfn.IFNA(OFFSET(INDEX(Output[Item '#],MATCH($A95,Output[Item '#],0)),0,1)," ")</f>
        <v xml:space="preserve"> </v>
      </c>
      <c r="C95" s="111" t="str">
        <f ca="1">_xlfn.IFNA(OFFSET(INDEX(Output[Item '#],MATCH($A95,Output[Item '#],0)),0,2)," ")</f>
        <v xml:space="preserve"> </v>
      </c>
      <c r="D95" s="111" t="str">
        <f ca="1">_xlfn.IFNA(OFFSET(INDEX(Output[Item '#],MATCH($A95,Output[Item '#],0)),0,3)," ")</f>
        <v xml:space="preserve"> </v>
      </c>
      <c r="E95" s="659" t="str">
        <f ca="1">_xlfn.IFNA(OFFSET(INDEX(Output[Item '#],MATCH($A95,Output[Item '#],0)),0,4)," ")</f>
        <v xml:space="preserve"> </v>
      </c>
      <c r="F95" s="659" t="str">
        <f ca="1">_xlfn.IFNA(OFFSET(INDEX(Output[Item '#],MATCH($A95,Output[Item '#],0)),0,5)," ")</f>
        <v xml:space="preserve"> </v>
      </c>
      <c r="G95" s="121"/>
      <c r="H95" s="584" t="str">
        <f ca="1">_xlfn.XLOOKUP(A95,OUTPUT!$Y$10:$Y$165,OUTPUT!$Z$10:$Z$165,"MiscItems")</f>
        <v>MiscItems</v>
      </c>
      <c r="I95" s="553" t="str">
        <f t="shared" ca="1" si="2"/>
        <v xml:space="preserve"> </v>
      </c>
      <c r="J95" s="113" t="str" cm="1">
        <f t="array" aca="1" ref="J95" ca="1">IFERROR(_xlfn.XLOOKUP($A95&amp;BasicProjectData!$G$18,PRICES!$B$2:$B$3684&amp;PRICES!$A$2:$A$3684,PRICES!$H$2:$H$3684)," ")</f>
        <v xml:space="preserve"> </v>
      </c>
      <c r="K95" s="113" t="str" cm="1">
        <f t="array" aca="1" ref="K95" ca="1">IFERROR(_xlfn.XLOOKUP($A95&amp;"All Districts",PRICES!$B$2:$B$3684&amp;PRICES!$A$2:$A$3684,PRICES!$H$2:$H$3684)," ")</f>
        <v xml:space="preserve"> </v>
      </c>
      <c r="L95" s="556" t="str" cm="1">
        <f t="array" aca="1" ref="L95" ca="1">_xlfn.SWITCH(E95,J95,"District Price",K95,"State Price","Other/User Input/Override")</f>
        <v>District Price</v>
      </c>
    </row>
    <row r="96" spans="1:12" ht="12.75" customHeight="1">
      <c r="A96" s="110" t="str">
        <f t="array" aca="1" ref="A96" ca="1">IFERROR(INDEX(OUTPUT!$A$9:'OUTPUT'!$A$247,SMALL(IF(OUTPUT!$F$9:$F$247&lt;&gt;0,MATCH(OUTPUT!$A$9:'OUTPUT'!$A$247,OUTPUT!$A$9:'OUTPUT'!$A$247,0)),ROWS(ProjectEstimate!A$9:A96)),1),"")</f>
        <v/>
      </c>
      <c r="B96" s="111" t="str">
        <f ca="1">_xlfn.IFNA(OFFSET(INDEX(Output[Item '#],MATCH($A96,Output[Item '#],0)),0,1)," ")</f>
        <v xml:space="preserve"> </v>
      </c>
      <c r="C96" s="111" t="str">
        <f ca="1">_xlfn.IFNA(OFFSET(INDEX(Output[Item '#],MATCH($A96,Output[Item '#],0)),0,2)," ")</f>
        <v xml:space="preserve"> </v>
      </c>
      <c r="D96" s="111" t="str">
        <f ca="1">_xlfn.IFNA(OFFSET(INDEX(Output[Item '#],MATCH($A96,Output[Item '#],0)),0,3)," ")</f>
        <v xml:space="preserve"> </v>
      </c>
      <c r="E96" s="659" t="str">
        <f ca="1">_xlfn.IFNA(OFFSET(INDEX(Output[Item '#],MATCH($A96,Output[Item '#],0)),0,4)," ")</f>
        <v xml:space="preserve"> </v>
      </c>
      <c r="F96" s="659" t="str">
        <f ca="1">_xlfn.IFNA(OFFSET(INDEX(Output[Item '#],MATCH($A96,Output[Item '#],0)),0,5)," ")</f>
        <v xml:space="preserve"> </v>
      </c>
      <c r="G96" s="121"/>
      <c r="H96" s="584" t="str">
        <f ca="1">_xlfn.XLOOKUP(A96,OUTPUT!$Y$10:$Y$165,OUTPUT!$Z$10:$Z$165,"MiscItems")</f>
        <v>MiscItems</v>
      </c>
      <c r="I96" s="553" t="str">
        <f t="shared" ca="1" si="2"/>
        <v xml:space="preserve"> </v>
      </c>
      <c r="J96" s="113" t="str" cm="1">
        <f t="array" aca="1" ref="J96" ca="1">IFERROR(_xlfn.XLOOKUP($A96&amp;BasicProjectData!$G$18,PRICES!$B$2:$B$3684&amp;PRICES!$A$2:$A$3684,PRICES!$H$2:$H$3684)," ")</f>
        <v xml:space="preserve"> </v>
      </c>
      <c r="K96" s="113" t="str" cm="1">
        <f t="array" aca="1" ref="K96" ca="1">IFERROR(_xlfn.XLOOKUP($A96&amp;"All Districts",PRICES!$B$2:$B$3684&amp;PRICES!$A$2:$A$3684,PRICES!$H$2:$H$3684)," ")</f>
        <v xml:space="preserve"> </v>
      </c>
      <c r="L96" s="556" t="str" cm="1">
        <f t="array" aca="1" ref="L96" ca="1">_xlfn.SWITCH(E96,J96,"District Price",K96,"State Price","Other/User Input/Override")</f>
        <v>District Price</v>
      </c>
    </row>
    <row r="97" spans="1:12" ht="15.75" customHeight="1">
      <c r="A97" s="110" t="str">
        <f t="array" aca="1" ref="A97" ca="1">IFERROR(INDEX(OUTPUT!$A$9:'OUTPUT'!$A$247,SMALL(IF(OUTPUT!$F$9:$F$247&lt;&gt;0,MATCH(OUTPUT!$A$9:'OUTPUT'!$A$247,OUTPUT!$A$9:'OUTPUT'!$A$247,0)),ROWS(ProjectEstimate!A$9:A97)),1),"")</f>
        <v/>
      </c>
      <c r="B97" s="111" t="str">
        <f ca="1">_xlfn.IFNA(OFFSET(INDEX(Output[Item '#],MATCH($A97,Output[Item '#],0)),0,1)," ")</f>
        <v xml:space="preserve"> </v>
      </c>
      <c r="C97" s="111" t="str">
        <f ca="1">_xlfn.IFNA(OFFSET(INDEX(Output[Item '#],MATCH($A97,Output[Item '#],0)),0,2)," ")</f>
        <v xml:space="preserve"> </v>
      </c>
      <c r="D97" s="111" t="str">
        <f ca="1">_xlfn.IFNA(OFFSET(INDEX(Output[Item '#],MATCH($A97,Output[Item '#],0)),0,3)," ")</f>
        <v xml:space="preserve"> </v>
      </c>
      <c r="E97" s="659" t="str">
        <f ca="1">_xlfn.IFNA(OFFSET(INDEX(Output[Item '#],MATCH($A97,Output[Item '#],0)),0,4)," ")</f>
        <v xml:space="preserve"> </v>
      </c>
      <c r="F97" s="659" t="str">
        <f ca="1">_xlfn.IFNA(OFFSET(INDEX(Output[Item '#],MATCH($A97,Output[Item '#],0)),0,5)," ")</f>
        <v xml:space="preserve"> </v>
      </c>
      <c r="G97" s="121"/>
      <c r="H97" s="584" t="str">
        <f ca="1">_xlfn.XLOOKUP(A97,OUTPUT!$Y$10:$Y$165,OUTPUT!$Z$10:$Z$165,"MiscItems")</f>
        <v>MiscItems</v>
      </c>
      <c r="I97" s="553" t="str">
        <f t="shared" ca="1" si="2"/>
        <v xml:space="preserve"> </v>
      </c>
      <c r="J97" s="113" t="str" cm="1">
        <f t="array" aca="1" ref="J97" ca="1">IFERROR(_xlfn.XLOOKUP($A97&amp;BasicProjectData!$G$18,PRICES!$B$2:$B$3684&amp;PRICES!$A$2:$A$3684,PRICES!$H$2:$H$3684)," ")</f>
        <v xml:space="preserve"> </v>
      </c>
      <c r="K97" s="113" t="str" cm="1">
        <f t="array" aca="1" ref="K97" ca="1">IFERROR(_xlfn.XLOOKUP($A97&amp;"All Districts",PRICES!$B$2:$B$3684&amp;PRICES!$A$2:$A$3684,PRICES!$H$2:$H$3684)," ")</f>
        <v xml:space="preserve"> </v>
      </c>
      <c r="L97" s="556" t="str" cm="1">
        <f t="array" aca="1" ref="L97" ca="1">_xlfn.SWITCH(E97,J97,"District Price",K97,"State Price","Other/User Input/Override")</f>
        <v>District Price</v>
      </c>
    </row>
    <row r="98" spans="1:12">
      <c r="A98" s="110" t="str">
        <f t="array" aca="1" ref="A98" ca="1">IFERROR(INDEX(OUTPUT!$A$9:'OUTPUT'!$A$247,SMALL(IF(OUTPUT!$F$9:$F$247&lt;&gt;0,MATCH(OUTPUT!$A$9:'OUTPUT'!$A$247,OUTPUT!$A$9:'OUTPUT'!$A$247,0)),ROWS(ProjectEstimate!A$9:A98)),1),"")</f>
        <v/>
      </c>
      <c r="B98" s="111" t="str">
        <f ca="1">_xlfn.IFNA(OFFSET(INDEX(Output[Item '#],MATCH($A98,Output[Item '#],0)),0,1)," ")</f>
        <v xml:space="preserve"> </v>
      </c>
      <c r="C98" s="111" t="str">
        <f ca="1">_xlfn.IFNA(OFFSET(INDEX(Output[Item '#],MATCH($A98,Output[Item '#],0)),0,2)," ")</f>
        <v xml:space="preserve"> </v>
      </c>
      <c r="D98" s="111" t="str">
        <f ca="1">_xlfn.IFNA(OFFSET(INDEX(Output[Item '#],MATCH($A98,Output[Item '#],0)),0,3)," ")</f>
        <v xml:space="preserve"> </v>
      </c>
      <c r="E98" s="659" t="str">
        <f ca="1">_xlfn.IFNA(OFFSET(INDEX(Output[Item '#],MATCH($A98,Output[Item '#],0)),0,4)," ")</f>
        <v xml:space="preserve"> </v>
      </c>
      <c r="F98" s="659" t="str">
        <f ca="1">_xlfn.IFNA(OFFSET(INDEX(Output[Item '#],MATCH($A98,Output[Item '#],0)),0,5)," ")</f>
        <v xml:space="preserve"> </v>
      </c>
      <c r="G98" s="121"/>
      <c r="H98" s="584" t="str">
        <f ca="1">_xlfn.XLOOKUP(A98,OUTPUT!$Y$10:$Y$165,OUTPUT!$Z$10:$Z$165,"MiscItems")</f>
        <v>MiscItems</v>
      </c>
      <c r="I98" s="553" t="str">
        <f t="shared" ca="1" si="2"/>
        <v xml:space="preserve"> </v>
      </c>
      <c r="J98" s="113" t="str" cm="1">
        <f t="array" aca="1" ref="J98" ca="1">IFERROR(_xlfn.XLOOKUP($A98&amp;BasicProjectData!$G$18,PRICES!$B$2:$B$3684&amp;PRICES!$A$2:$A$3684,PRICES!$H$2:$H$3684)," ")</f>
        <v xml:space="preserve"> </v>
      </c>
      <c r="K98" s="113" t="str" cm="1">
        <f t="array" aca="1" ref="K98" ca="1">IFERROR(_xlfn.XLOOKUP($A98&amp;"All Districts",PRICES!$B$2:$B$3684&amp;PRICES!$A$2:$A$3684,PRICES!$H$2:$H$3684)," ")</f>
        <v xml:space="preserve"> </v>
      </c>
      <c r="L98" s="556" t="str" cm="1">
        <f t="array" aca="1" ref="L98" ca="1">_xlfn.SWITCH(E98,J98,"District Price",K98,"State Price","Other/User Input/Override")</f>
        <v>District Price</v>
      </c>
    </row>
    <row r="99" spans="1:12">
      <c r="A99" s="110" t="str">
        <f t="array" aca="1" ref="A99" ca="1">IFERROR(INDEX(OUTPUT!$A$9:'OUTPUT'!$A$247,SMALL(IF(OUTPUT!$F$9:$F$247&lt;&gt;0,MATCH(OUTPUT!$A$9:'OUTPUT'!$A$247,OUTPUT!$A$9:'OUTPUT'!$A$247,0)),ROWS(ProjectEstimate!A$9:A99)),1),"")</f>
        <v/>
      </c>
      <c r="B99" s="111" t="str">
        <f ca="1">_xlfn.IFNA(OFFSET(INDEX(Output[Item '#],MATCH($A99,Output[Item '#],0)),0,1)," ")</f>
        <v xml:space="preserve"> </v>
      </c>
      <c r="C99" s="111" t="str">
        <f ca="1">_xlfn.IFNA(OFFSET(INDEX(Output[Item '#],MATCH($A99,Output[Item '#],0)),0,2)," ")</f>
        <v xml:space="preserve"> </v>
      </c>
      <c r="D99" s="111" t="str">
        <f ca="1">_xlfn.IFNA(OFFSET(INDEX(Output[Item '#],MATCH($A99,Output[Item '#],0)),0,3)," ")</f>
        <v xml:space="preserve"> </v>
      </c>
      <c r="E99" s="659" t="str">
        <f ca="1">_xlfn.IFNA(OFFSET(INDEX(Output[Item '#],MATCH($A99,Output[Item '#],0)),0,4)," ")</f>
        <v xml:space="preserve"> </v>
      </c>
      <c r="F99" s="659" t="str">
        <f ca="1">_xlfn.IFNA(OFFSET(INDEX(Output[Item '#],MATCH($A99,Output[Item '#],0)),0,5)," ")</f>
        <v xml:space="preserve"> </v>
      </c>
      <c r="G99" s="121"/>
      <c r="H99" s="584" t="str">
        <f ca="1">_xlfn.XLOOKUP(A99,OUTPUT!$Y$10:$Y$165,OUTPUT!$Z$10:$Z$165,"MiscItems")</f>
        <v>MiscItems</v>
      </c>
      <c r="I99" s="553" t="str">
        <f t="shared" ca="1" si="2"/>
        <v xml:space="preserve"> </v>
      </c>
      <c r="J99" s="113" t="str" cm="1">
        <f t="array" aca="1" ref="J99" ca="1">IFERROR(_xlfn.XLOOKUP($A99&amp;BasicProjectData!$G$18,PRICES!$B$2:$B$3684&amp;PRICES!$A$2:$A$3684,PRICES!$H$2:$H$3684)," ")</f>
        <v xml:space="preserve"> </v>
      </c>
      <c r="K99" s="113" t="str" cm="1">
        <f t="array" aca="1" ref="K99" ca="1">IFERROR(_xlfn.XLOOKUP($A99&amp;"All Districts",PRICES!$B$2:$B$3684&amp;PRICES!$A$2:$A$3684,PRICES!$H$2:$H$3684)," ")</f>
        <v xml:space="preserve"> </v>
      </c>
      <c r="L99" s="556" t="str" cm="1">
        <f t="array" aca="1" ref="L99" ca="1">_xlfn.SWITCH(E99,J99,"District Price",K99,"State Price","Other/User Input/Override")</f>
        <v>District Price</v>
      </c>
    </row>
    <row r="100" spans="1:12">
      <c r="A100" s="110" t="str">
        <f t="array" aca="1" ref="A100" ca="1">IFERROR(INDEX(OUTPUT!$A$9:'OUTPUT'!$A$247,SMALL(IF(OUTPUT!$F$9:$F$247&lt;&gt;0,MATCH(OUTPUT!$A$9:'OUTPUT'!$A$247,OUTPUT!$A$9:'OUTPUT'!$A$247,0)),ROWS(ProjectEstimate!A$9:A100)),1),"")</f>
        <v/>
      </c>
      <c r="B100" s="111" t="str">
        <f ca="1">_xlfn.IFNA(OFFSET(INDEX(Output[Item '#],MATCH($A100,Output[Item '#],0)),0,1)," ")</f>
        <v xml:space="preserve"> </v>
      </c>
      <c r="C100" s="111" t="str">
        <f ca="1">_xlfn.IFNA(OFFSET(INDEX(Output[Item '#],MATCH($A100,Output[Item '#],0)),0,2)," ")</f>
        <v xml:space="preserve"> </v>
      </c>
      <c r="D100" s="111" t="str">
        <f ca="1">_xlfn.IFNA(OFFSET(INDEX(Output[Item '#],MATCH($A100,Output[Item '#],0)),0,3)," ")</f>
        <v xml:space="preserve"> </v>
      </c>
      <c r="E100" s="659" t="str">
        <f ca="1">_xlfn.IFNA(OFFSET(INDEX(Output[Item '#],MATCH($A100,Output[Item '#],0)),0,4)," ")</f>
        <v xml:space="preserve"> </v>
      </c>
      <c r="F100" s="659" t="str">
        <f ca="1">_xlfn.IFNA(OFFSET(INDEX(Output[Item '#],MATCH($A100,Output[Item '#],0)),0,5)," ")</f>
        <v xml:space="preserve"> </v>
      </c>
      <c r="G100" s="121"/>
      <c r="H100" s="584" t="str">
        <f ca="1">_xlfn.XLOOKUP(A100,OUTPUT!$Y$10:$Y$165,OUTPUT!$Z$10:$Z$165,"MiscItems")</f>
        <v>MiscItems</v>
      </c>
      <c r="I100" s="553" t="str">
        <f t="shared" ca="1" si="2"/>
        <v xml:space="preserve"> </v>
      </c>
      <c r="J100" s="113" t="str" cm="1">
        <f t="array" aca="1" ref="J100" ca="1">IFERROR(_xlfn.XLOOKUP($A100&amp;BasicProjectData!$G$18,PRICES!$B$2:$B$3684&amp;PRICES!$A$2:$A$3684,PRICES!$H$2:$H$3684)," ")</f>
        <v xml:space="preserve"> </v>
      </c>
      <c r="K100" s="113" t="str" cm="1">
        <f t="array" aca="1" ref="K100" ca="1">IFERROR(_xlfn.XLOOKUP($A100&amp;"All Districts",PRICES!$B$2:$B$3684&amp;PRICES!$A$2:$A$3684,PRICES!$H$2:$H$3684)," ")</f>
        <v xml:space="preserve"> </v>
      </c>
      <c r="L100" s="556" t="str" cm="1">
        <f t="array" aca="1" ref="L100" ca="1">_xlfn.SWITCH(E100,J100,"District Price",K100,"State Price","Other/User Input/Override")</f>
        <v>District Price</v>
      </c>
    </row>
    <row r="101" spans="1:12">
      <c r="A101" s="110" t="str">
        <f t="array" aca="1" ref="A101" ca="1">IFERROR(INDEX(OUTPUT!$A$9:'OUTPUT'!$A$247,SMALL(IF(OUTPUT!$F$9:$F$247&lt;&gt;0,MATCH(OUTPUT!$A$9:'OUTPUT'!$A$247,OUTPUT!$A$9:'OUTPUT'!$A$247,0)),ROWS(ProjectEstimate!A$9:A101)),1),"")</f>
        <v/>
      </c>
      <c r="B101" s="111" t="str">
        <f ca="1">_xlfn.IFNA(OFFSET(INDEX(Output[Item '#],MATCH($A101,Output[Item '#],0)),0,1)," ")</f>
        <v xml:space="preserve"> </v>
      </c>
      <c r="C101" s="111" t="str">
        <f ca="1">_xlfn.IFNA(OFFSET(INDEX(Output[Item '#],MATCH($A101,Output[Item '#],0)),0,2)," ")</f>
        <v xml:space="preserve"> </v>
      </c>
      <c r="D101" s="111" t="str">
        <f ca="1">_xlfn.IFNA(OFFSET(INDEX(Output[Item '#],MATCH($A101,Output[Item '#],0)),0,3)," ")</f>
        <v xml:space="preserve"> </v>
      </c>
      <c r="E101" s="659" t="str">
        <f ca="1">_xlfn.IFNA(OFFSET(INDEX(Output[Item '#],MATCH($A101,Output[Item '#],0)),0,4)," ")</f>
        <v xml:space="preserve"> </v>
      </c>
      <c r="F101" s="659" t="str">
        <f ca="1">_xlfn.IFNA(OFFSET(INDEX(Output[Item '#],MATCH($A101,Output[Item '#],0)),0,5)," ")</f>
        <v xml:space="preserve"> </v>
      </c>
      <c r="G101" s="121"/>
      <c r="H101" s="584" t="str">
        <f ca="1">_xlfn.XLOOKUP(A101,OUTPUT!$Y$10:$Y$165,OUTPUT!$Z$10:$Z$165,"MiscItems")</f>
        <v>MiscItems</v>
      </c>
      <c r="I101" s="553" t="str">
        <f t="shared" ca="1" si="2"/>
        <v xml:space="preserve"> </v>
      </c>
      <c r="J101" s="113" t="str" cm="1">
        <f t="array" aca="1" ref="J101" ca="1">IFERROR(_xlfn.XLOOKUP($A101&amp;BasicProjectData!$G$18,PRICES!$B$2:$B$3684&amp;PRICES!$A$2:$A$3684,PRICES!$H$2:$H$3684)," ")</f>
        <v xml:space="preserve"> </v>
      </c>
      <c r="K101" s="113" t="str" cm="1">
        <f t="array" aca="1" ref="K101" ca="1">IFERROR(_xlfn.XLOOKUP($A101&amp;"All Districts",PRICES!$B$2:$B$3684&amp;PRICES!$A$2:$A$3684,PRICES!$H$2:$H$3684)," ")</f>
        <v xml:space="preserve"> </v>
      </c>
      <c r="L101" s="556" t="str" cm="1">
        <f t="array" aca="1" ref="L101" ca="1">_xlfn.SWITCH(E101,J101,"District Price",K101,"State Price","Other/User Input/Override")</f>
        <v>District Price</v>
      </c>
    </row>
    <row r="102" spans="1:12">
      <c r="A102" s="110" t="str">
        <f t="array" aca="1" ref="A102" ca="1">IFERROR(INDEX(OUTPUT!$A$9:'OUTPUT'!$A$247,SMALL(IF(OUTPUT!$F$9:$F$247&lt;&gt;0,MATCH(OUTPUT!$A$9:'OUTPUT'!$A$247,OUTPUT!$A$9:'OUTPUT'!$A$247,0)),ROWS(ProjectEstimate!A$9:A102)),1),"")</f>
        <v/>
      </c>
      <c r="B102" s="111" t="str">
        <f ca="1">_xlfn.IFNA(OFFSET(INDEX(Output[Item '#],MATCH($A102,Output[Item '#],0)),0,1)," ")</f>
        <v xml:space="preserve"> </v>
      </c>
      <c r="C102" s="111" t="str">
        <f ca="1">_xlfn.IFNA(OFFSET(INDEX(Output[Item '#],MATCH($A102,Output[Item '#],0)),0,2)," ")</f>
        <v xml:space="preserve"> </v>
      </c>
      <c r="D102" s="111" t="str">
        <f ca="1">_xlfn.IFNA(OFFSET(INDEX(Output[Item '#],MATCH($A102,Output[Item '#],0)),0,3)," ")</f>
        <v xml:space="preserve"> </v>
      </c>
      <c r="E102" s="659" t="str">
        <f ca="1">_xlfn.IFNA(OFFSET(INDEX(Output[Item '#],MATCH($A102,Output[Item '#],0)),0,4)," ")</f>
        <v xml:space="preserve"> </v>
      </c>
      <c r="F102" s="659" t="str">
        <f ca="1">_xlfn.IFNA(OFFSET(INDEX(Output[Item '#],MATCH($A102,Output[Item '#],0)),0,5)," ")</f>
        <v xml:space="preserve"> </v>
      </c>
      <c r="G102" s="121"/>
      <c r="H102" s="584" t="str">
        <f ca="1">_xlfn.XLOOKUP(A102,OUTPUT!$Y$10:$Y$165,OUTPUT!$Z$10:$Z$165,"MiscItems")</f>
        <v>MiscItems</v>
      </c>
      <c r="I102" s="553" t="str">
        <f t="shared" ca="1" si="2"/>
        <v xml:space="preserve"> </v>
      </c>
      <c r="J102" s="113" t="str" cm="1">
        <f t="array" aca="1" ref="J102" ca="1">IFERROR(_xlfn.XLOOKUP($A102&amp;BasicProjectData!$G$18,PRICES!$B$2:$B$3684&amp;PRICES!$A$2:$A$3684,PRICES!$H$2:$H$3684)," ")</f>
        <v xml:space="preserve"> </v>
      </c>
      <c r="K102" s="113" t="str" cm="1">
        <f t="array" aca="1" ref="K102" ca="1">IFERROR(_xlfn.XLOOKUP($A102&amp;"All Districts",PRICES!$B$2:$B$3684&amp;PRICES!$A$2:$A$3684,PRICES!$H$2:$H$3684)," ")</f>
        <v xml:space="preserve"> </v>
      </c>
      <c r="L102" s="556" t="str" cm="1">
        <f t="array" aca="1" ref="L102" ca="1">_xlfn.SWITCH(E102,J102,"District Price",K102,"State Price","Other/User Input/Override")</f>
        <v>District Price</v>
      </c>
    </row>
    <row r="103" spans="1:12">
      <c r="A103" s="110" t="str">
        <f t="array" aca="1" ref="A103" ca="1">IFERROR(INDEX(OUTPUT!$A$9:'OUTPUT'!$A$247,SMALL(IF(OUTPUT!$F$9:$F$247&lt;&gt;0,MATCH(OUTPUT!$A$9:'OUTPUT'!$A$247,OUTPUT!$A$9:'OUTPUT'!$A$247,0)),ROWS(ProjectEstimate!A$9:A103)),1),"")</f>
        <v/>
      </c>
      <c r="B103" s="111" t="str">
        <f ca="1">_xlfn.IFNA(OFFSET(INDEX(Output[Item '#],MATCH($A103,Output[Item '#],0)),0,1)," ")</f>
        <v xml:space="preserve"> </v>
      </c>
      <c r="C103" s="111" t="str">
        <f ca="1">_xlfn.IFNA(OFFSET(INDEX(Output[Item '#],MATCH($A103,Output[Item '#],0)),0,2)," ")</f>
        <v xml:space="preserve"> </v>
      </c>
      <c r="D103" s="111" t="str">
        <f ca="1">_xlfn.IFNA(OFFSET(INDEX(Output[Item '#],MATCH($A103,Output[Item '#],0)),0,3)," ")</f>
        <v xml:space="preserve"> </v>
      </c>
      <c r="E103" s="659" t="str">
        <f ca="1">_xlfn.IFNA(OFFSET(INDEX(Output[Item '#],MATCH($A103,Output[Item '#],0)),0,4)," ")</f>
        <v xml:space="preserve"> </v>
      </c>
      <c r="F103" s="659" t="str">
        <f ca="1">_xlfn.IFNA(OFFSET(INDEX(Output[Item '#],MATCH($A103,Output[Item '#],0)),0,5)," ")</f>
        <v xml:space="preserve"> </v>
      </c>
      <c r="G103" s="121"/>
      <c r="H103" s="584" t="str">
        <f ca="1">_xlfn.XLOOKUP(A103,OUTPUT!$Y$10:$Y$165,OUTPUT!$Z$10:$Z$165,"MiscItems")</f>
        <v>MiscItems</v>
      </c>
      <c r="I103" s="553" t="str">
        <f t="shared" ca="1" si="2"/>
        <v xml:space="preserve"> </v>
      </c>
      <c r="J103" s="113" t="str" cm="1">
        <f t="array" aca="1" ref="J103" ca="1">IFERROR(_xlfn.XLOOKUP($A103&amp;BasicProjectData!$G$18,PRICES!$B$2:$B$3684&amp;PRICES!$A$2:$A$3684,PRICES!$H$2:$H$3684)," ")</f>
        <v xml:space="preserve"> </v>
      </c>
      <c r="K103" s="113" t="str" cm="1">
        <f t="array" aca="1" ref="K103" ca="1">IFERROR(_xlfn.XLOOKUP($A103&amp;"All Districts",PRICES!$B$2:$B$3684&amp;PRICES!$A$2:$A$3684,PRICES!$H$2:$H$3684)," ")</f>
        <v xml:space="preserve"> </v>
      </c>
      <c r="L103" s="556" t="str" cm="1">
        <f t="array" aca="1" ref="L103" ca="1">_xlfn.SWITCH(E103,J103,"District Price",K103,"State Price","Other/User Input/Override")</f>
        <v>District Price</v>
      </c>
    </row>
    <row r="104" spans="1:12">
      <c r="A104" s="110" t="str">
        <f t="array" aca="1" ref="A104" ca="1">IFERROR(INDEX(OUTPUT!$A$9:'OUTPUT'!$A$247,SMALL(IF(OUTPUT!$F$9:$F$247&lt;&gt;0,MATCH(OUTPUT!$A$9:'OUTPUT'!$A$247,OUTPUT!$A$9:'OUTPUT'!$A$247,0)),ROWS(ProjectEstimate!A$9:A104)),1),"")</f>
        <v/>
      </c>
      <c r="B104" s="111" t="str">
        <f ca="1">_xlfn.IFNA(OFFSET(INDEX(Output[Item '#],MATCH($A104,Output[Item '#],0)),0,1)," ")</f>
        <v xml:space="preserve"> </v>
      </c>
      <c r="C104" s="111" t="str">
        <f ca="1">_xlfn.IFNA(OFFSET(INDEX(Output[Item '#],MATCH($A104,Output[Item '#],0)),0,2)," ")</f>
        <v xml:space="preserve"> </v>
      </c>
      <c r="D104" s="111" t="str">
        <f ca="1">_xlfn.IFNA(OFFSET(INDEX(Output[Item '#],MATCH($A104,Output[Item '#],0)),0,3)," ")</f>
        <v xml:space="preserve"> </v>
      </c>
      <c r="E104" s="659" t="str">
        <f ca="1">_xlfn.IFNA(OFFSET(INDEX(Output[Item '#],MATCH($A104,Output[Item '#],0)),0,4)," ")</f>
        <v xml:space="preserve"> </v>
      </c>
      <c r="F104" s="659" t="str">
        <f ca="1">_xlfn.IFNA(OFFSET(INDEX(Output[Item '#],MATCH($A104,Output[Item '#],0)),0,5)," ")</f>
        <v xml:space="preserve"> </v>
      </c>
      <c r="G104" s="121"/>
      <c r="H104" s="584" t="str">
        <f ca="1">_xlfn.XLOOKUP(A104,OUTPUT!$Y$10:$Y$165,OUTPUT!$Z$10:$Z$165,"MiscItems")</f>
        <v>MiscItems</v>
      </c>
      <c r="I104" s="553" t="str">
        <f t="shared" ca="1" si="2"/>
        <v xml:space="preserve"> </v>
      </c>
      <c r="J104" s="113" t="str" cm="1">
        <f t="array" aca="1" ref="J104" ca="1">IFERROR(_xlfn.XLOOKUP($A104&amp;BasicProjectData!$G$18,PRICES!$B$2:$B$3684&amp;PRICES!$A$2:$A$3684,PRICES!$H$2:$H$3684)," ")</f>
        <v xml:space="preserve"> </v>
      </c>
      <c r="K104" s="113" t="str" cm="1">
        <f t="array" aca="1" ref="K104" ca="1">IFERROR(_xlfn.XLOOKUP($A104&amp;"All Districts",PRICES!$B$2:$B$3684&amp;PRICES!$A$2:$A$3684,PRICES!$H$2:$H$3684)," ")</f>
        <v xml:space="preserve"> </v>
      </c>
      <c r="L104" s="556" t="str" cm="1">
        <f t="array" aca="1" ref="L104" ca="1">_xlfn.SWITCH(E104,J104,"District Price",K104,"State Price","Other/User Input/Override")</f>
        <v>District Price</v>
      </c>
    </row>
    <row r="105" spans="1:12">
      <c r="A105" s="110" t="str">
        <f t="array" aca="1" ref="A105" ca="1">IFERROR(INDEX(OUTPUT!$A$9:'OUTPUT'!$A$247,SMALL(IF(OUTPUT!$F$9:$F$247&lt;&gt;0,MATCH(OUTPUT!$A$9:'OUTPUT'!$A$247,OUTPUT!$A$9:'OUTPUT'!$A$247,0)),ROWS(ProjectEstimate!A$9:A105)),1),"")</f>
        <v/>
      </c>
      <c r="B105" s="111" t="str">
        <f ca="1">_xlfn.IFNA(OFFSET(INDEX(Output[Item '#],MATCH($A105,Output[Item '#],0)),0,1)," ")</f>
        <v xml:space="preserve"> </v>
      </c>
      <c r="C105" s="111" t="str">
        <f ca="1">_xlfn.IFNA(OFFSET(INDEX(Output[Item '#],MATCH($A105,Output[Item '#],0)),0,2)," ")</f>
        <v xml:space="preserve"> </v>
      </c>
      <c r="D105" s="111" t="str">
        <f ca="1">_xlfn.IFNA(OFFSET(INDEX(Output[Item '#],MATCH($A105,Output[Item '#],0)),0,3)," ")</f>
        <v xml:space="preserve"> </v>
      </c>
      <c r="E105" s="659" t="str">
        <f ca="1">_xlfn.IFNA(OFFSET(INDEX(Output[Item '#],MATCH($A105,Output[Item '#],0)),0,4)," ")</f>
        <v xml:space="preserve"> </v>
      </c>
      <c r="F105" s="659" t="str">
        <f ca="1">_xlfn.IFNA(OFFSET(INDEX(Output[Item '#],MATCH($A105,Output[Item '#],0)),0,5)," ")</f>
        <v xml:space="preserve"> </v>
      </c>
      <c r="G105" s="121"/>
      <c r="H105" s="584" t="str">
        <f ca="1">_xlfn.XLOOKUP(A105,OUTPUT!$Y$10:$Y$165,OUTPUT!$Z$10:$Z$165,"MiscItems")</f>
        <v>MiscItems</v>
      </c>
      <c r="I105" s="553" t="str">
        <f t="shared" ca="1" si="2"/>
        <v xml:space="preserve"> </v>
      </c>
      <c r="J105" s="113" t="str" cm="1">
        <f t="array" aca="1" ref="J105" ca="1">IFERROR(_xlfn.XLOOKUP($A105&amp;BasicProjectData!$G$18,PRICES!$B$2:$B$3684&amp;PRICES!$A$2:$A$3684,PRICES!$H$2:$H$3684)," ")</f>
        <v xml:space="preserve"> </v>
      </c>
      <c r="K105" s="113" t="str" cm="1">
        <f t="array" aca="1" ref="K105" ca="1">IFERROR(_xlfn.XLOOKUP($A105&amp;"All Districts",PRICES!$B$2:$B$3684&amp;PRICES!$A$2:$A$3684,PRICES!$H$2:$H$3684)," ")</f>
        <v xml:space="preserve"> </v>
      </c>
      <c r="L105" s="556" t="str" cm="1">
        <f t="array" aca="1" ref="L105" ca="1">_xlfn.SWITCH(E105,J105,"District Price",K105,"State Price","Other/User Input/Override")</f>
        <v>District Price</v>
      </c>
    </row>
    <row r="106" spans="1:12">
      <c r="A106" s="110" t="str">
        <f t="array" aca="1" ref="A106" ca="1">IFERROR(INDEX(OUTPUT!$A$9:'OUTPUT'!$A$247,SMALL(IF(OUTPUT!$F$9:$F$247&lt;&gt;0,MATCH(OUTPUT!$A$9:'OUTPUT'!$A$247,OUTPUT!$A$9:'OUTPUT'!$A$247,0)),ROWS(ProjectEstimate!A$9:A106)),1),"")</f>
        <v/>
      </c>
      <c r="B106" s="111" t="str">
        <f ca="1">_xlfn.IFNA(OFFSET(INDEX(Output[Item '#],MATCH($A106,Output[Item '#],0)),0,1)," ")</f>
        <v xml:space="preserve"> </v>
      </c>
      <c r="C106" s="111" t="str">
        <f ca="1">_xlfn.IFNA(OFFSET(INDEX(Output[Item '#],MATCH($A106,Output[Item '#],0)),0,2)," ")</f>
        <v xml:space="preserve"> </v>
      </c>
      <c r="D106" s="111" t="str">
        <f ca="1">_xlfn.IFNA(OFFSET(INDEX(Output[Item '#],MATCH($A106,Output[Item '#],0)),0,3)," ")</f>
        <v xml:space="preserve"> </v>
      </c>
      <c r="E106" s="659" t="str">
        <f ca="1">_xlfn.IFNA(OFFSET(INDEX(Output[Item '#],MATCH($A106,Output[Item '#],0)),0,4)," ")</f>
        <v xml:space="preserve"> </v>
      </c>
      <c r="F106" s="659" t="str">
        <f ca="1">_xlfn.IFNA(OFFSET(INDEX(Output[Item '#],MATCH($A106,Output[Item '#],0)),0,5)," ")</f>
        <v xml:space="preserve"> </v>
      </c>
      <c r="G106" s="121"/>
      <c r="H106" s="584" t="str">
        <f ca="1">_xlfn.XLOOKUP(A106,OUTPUT!$Y$10:$Y$165,OUTPUT!$Z$10:$Z$165,"MiscItems")</f>
        <v>MiscItems</v>
      </c>
      <c r="I106" s="553" t="str">
        <f t="shared" ca="1" si="2"/>
        <v xml:space="preserve"> </v>
      </c>
      <c r="J106" s="113" t="str" cm="1">
        <f t="array" aca="1" ref="J106" ca="1">IFERROR(_xlfn.XLOOKUP($A106&amp;BasicProjectData!$G$18,PRICES!$B$2:$B$3684&amp;PRICES!$A$2:$A$3684,PRICES!$H$2:$H$3684)," ")</f>
        <v xml:space="preserve"> </v>
      </c>
      <c r="K106" s="113" t="str" cm="1">
        <f t="array" aca="1" ref="K106" ca="1">IFERROR(_xlfn.XLOOKUP($A106&amp;"All Districts",PRICES!$B$2:$B$3684&amp;PRICES!$A$2:$A$3684,PRICES!$H$2:$H$3684)," ")</f>
        <v xml:space="preserve"> </v>
      </c>
      <c r="L106" s="556" t="str" cm="1">
        <f t="array" aca="1" ref="L106" ca="1">_xlfn.SWITCH(E106,J106,"District Price",K106,"State Price","Other/User Input/Override")</f>
        <v>District Price</v>
      </c>
    </row>
    <row r="107" spans="1:12">
      <c r="A107" s="110" t="str">
        <f t="array" aca="1" ref="A107" ca="1">IFERROR(INDEX(OUTPUT!$A$9:'OUTPUT'!$A$247,SMALL(IF(OUTPUT!$F$9:$F$247&lt;&gt;0,MATCH(OUTPUT!$A$9:'OUTPUT'!$A$247,OUTPUT!$A$9:'OUTPUT'!$A$247,0)),ROWS(ProjectEstimate!A$9:A107)),1),"")</f>
        <v/>
      </c>
      <c r="B107" s="111" t="str">
        <f ca="1">_xlfn.IFNA(OFFSET(INDEX(Output[Item '#],MATCH($A107,Output[Item '#],0)),0,1)," ")</f>
        <v xml:space="preserve"> </v>
      </c>
      <c r="C107" s="111" t="str">
        <f ca="1">_xlfn.IFNA(OFFSET(INDEX(Output[Item '#],MATCH($A107,Output[Item '#],0)),0,2)," ")</f>
        <v xml:space="preserve"> </v>
      </c>
      <c r="D107" s="111" t="str">
        <f ca="1">_xlfn.IFNA(OFFSET(INDEX(Output[Item '#],MATCH($A107,Output[Item '#],0)),0,3)," ")</f>
        <v xml:space="preserve"> </v>
      </c>
      <c r="E107" s="659" t="str">
        <f ca="1">_xlfn.IFNA(OFFSET(INDEX(Output[Item '#],MATCH($A107,Output[Item '#],0)),0,4)," ")</f>
        <v xml:space="preserve"> </v>
      </c>
      <c r="F107" s="659" t="str">
        <f ca="1">_xlfn.IFNA(OFFSET(INDEX(Output[Item '#],MATCH($A107,Output[Item '#],0)),0,5)," ")</f>
        <v xml:space="preserve"> </v>
      </c>
      <c r="G107" s="121"/>
      <c r="H107" s="584" t="str">
        <f ca="1">_xlfn.XLOOKUP(A107,OUTPUT!$Y$10:$Y$165,OUTPUT!$Z$10:$Z$165,"MiscItems")</f>
        <v>MiscItems</v>
      </c>
      <c r="I107" s="553" t="str">
        <f t="shared" ca="1" si="2"/>
        <v xml:space="preserve"> </v>
      </c>
      <c r="J107" s="113" t="str" cm="1">
        <f t="array" aca="1" ref="J107" ca="1">IFERROR(_xlfn.XLOOKUP($A107&amp;BasicProjectData!$G$18,PRICES!$B$2:$B$3684&amp;PRICES!$A$2:$A$3684,PRICES!$H$2:$H$3684)," ")</f>
        <v xml:space="preserve"> </v>
      </c>
      <c r="K107" s="113" t="str" cm="1">
        <f t="array" aca="1" ref="K107" ca="1">IFERROR(_xlfn.XLOOKUP($A107&amp;"All Districts",PRICES!$B$2:$B$3684&amp;PRICES!$A$2:$A$3684,PRICES!$H$2:$H$3684)," ")</f>
        <v xml:space="preserve"> </v>
      </c>
      <c r="L107" s="556" t="str" cm="1">
        <f t="array" aca="1" ref="L107" ca="1">_xlfn.SWITCH(E107,J107,"District Price",K107,"State Price","Other/User Input/Override")</f>
        <v>District Price</v>
      </c>
    </row>
    <row r="108" spans="1:12">
      <c r="A108" s="110" t="str">
        <f t="array" aca="1" ref="A108" ca="1">IFERROR(INDEX(OUTPUT!$A$9:'OUTPUT'!$A$247,SMALL(IF(OUTPUT!$F$9:$F$247&lt;&gt;0,MATCH(OUTPUT!$A$9:'OUTPUT'!$A$247,OUTPUT!$A$9:'OUTPUT'!$A$247,0)),ROWS(ProjectEstimate!A$9:A108)),1),"")</f>
        <v/>
      </c>
      <c r="B108" s="111" t="str">
        <f ca="1">_xlfn.IFNA(OFFSET(INDEX(Output[Item '#],MATCH($A108,Output[Item '#],0)),0,1)," ")</f>
        <v xml:space="preserve"> </v>
      </c>
      <c r="C108" s="111" t="str">
        <f ca="1">_xlfn.IFNA(OFFSET(INDEX(Output[Item '#],MATCH($A108,Output[Item '#],0)),0,2)," ")</f>
        <v xml:space="preserve"> </v>
      </c>
      <c r="D108" s="111" t="str">
        <f ca="1">_xlfn.IFNA(OFFSET(INDEX(Output[Item '#],MATCH($A108,Output[Item '#],0)),0,3)," ")</f>
        <v xml:space="preserve"> </v>
      </c>
      <c r="E108" s="659" t="str">
        <f ca="1">_xlfn.IFNA(OFFSET(INDEX(Output[Item '#],MATCH($A108,Output[Item '#],0)),0,4)," ")</f>
        <v xml:space="preserve"> </v>
      </c>
      <c r="F108" s="659" t="str">
        <f ca="1">_xlfn.IFNA(OFFSET(INDEX(Output[Item '#],MATCH($A108,Output[Item '#],0)),0,5)," ")</f>
        <v xml:space="preserve"> </v>
      </c>
      <c r="G108" s="121"/>
      <c r="H108" s="584" t="str">
        <f ca="1">_xlfn.XLOOKUP(A108,OUTPUT!$Y$10:$Y$165,OUTPUT!$Z$10:$Z$165,"MiscItems")</f>
        <v>MiscItems</v>
      </c>
      <c r="I108" s="553" t="str">
        <f t="shared" ca="1" si="2"/>
        <v xml:space="preserve"> </v>
      </c>
      <c r="J108" s="113" t="str" cm="1">
        <f t="array" aca="1" ref="J108" ca="1">IFERROR(_xlfn.XLOOKUP($A108&amp;BasicProjectData!$G$18,PRICES!$B$2:$B$3684&amp;PRICES!$A$2:$A$3684,PRICES!$H$2:$H$3684)," ")</f>
        <v xml:space="preserve"> </v>
      </c>
      <c r="K108" s="113" t="str" cm="1">
        <f t="array" aca="1" ref="K108" ca="1">IFERROR(_xlfn.XLOOKUP($A108&amp;"All Districts",PRICES!$B$2:$B$3684&amp;PRICES!$A$2:$A$3684,PRICES!$H$2:$H$3684)," ")</f>
        <v xml:space="preserve"> </v>
      </c>
      <c r="L108" s="556" t="str" cm="1">
        <f t="array" aca="1" ref="L108" ca="1">_xlfn.SWITCH(E108,J108,"District Price",K108,"State Price","Other/User Input/Override")</f>
        <v>District Price</v>
      </c>
    </row>
    <row r="109" spans="1:12">
      <c r="A109" s="110" t="str">
        <f t="array" aca="1" ref="A109" ca="1">IFERROR(INDEX(OUTPUT!$A$9:'OUTPUT'!$A$247,SMALL(IF(OUTPUT!$F$9:$F$247&lt;&gt;0,MATCH(OUTPUT!$A$9:'OUTPUT'!$A$247,OUTPUT!$A$9:'OUTPUT'!$A$247,0)),ROWS(ProjectEstimate!A$9:A109)),1),"")</f>
        <v/>
      </c>
      <c r="B109" s="111" t="str">
        <f ca="1">_xlfn.IFNA(OFFSET(INDEX(Output[Item '#],MATCH($A109,Output[Item '#],0)),0,1)," ")</f>
        <v xml:space="preserve"> </v>
      </c>
      <c r="C109" s="111" t="str">
        <f ca="1">_xlfn.IFNA(OFFSET(INDEX(Output[Item '#],MATCH($A109,Output[Item '#],0)),0,2)," ")</f>
        <v xml:space="preserve"> </v>
      </c>
      <c r="D109" s="111" t="str">
        <f ca="1">_xlfn.IFNA(OFFSET(INDEX(Output[Item '#],MATCH($A109,Output[Item '#],0)),0,3)," ")</f>
        <v xml:space="preserve"> </v>
      </c>
      <c r="E109" s="659" t="str">
        <f ca="1">_xlfn.IFNA(OFFSET(INDEX(Output[Item '#],MATCH($A109,Output[Item '#],0)),0,4)," ")</f>
        <v xml:space="preserve"> </v>
      </c>
      <c r="F109" s="659" t="str">
        <f ca="1">_xlfn.IFNA(OFFSET(INDEX(Output[Item '#],MATCH($A109,Output[Item '#],0)),0,5)," ")</f>
        <v xml:space="preserve"> </v>
      </c>
      <c r="G109" s="121"/>
      <c r="H109" s="584" t="str">
        <f ca="1">_xlfn.XLOOKUP(A109,OUTPUT!$Y$10:$Y$165,OUTPUT!$Z$10:$Z$165,"MiscItems")</f>
        <v>MiscItems</v>
      </c>
      <c r="I109" s="553" t="str">
        <f t="shared" ca="1" si="2"/>
        <v xml:space="preserve"> </v>
      </c>
      <c r="J109" s="113" t="str" cm="1">
        <f t="array" aca="1" ref="J109" ca="1">IFERROR(_xlfn.XLOOKUP($A109&amp;BasicProjectData!$G$18,PRICES!$B$2:$B$3684&amp;PRICES!$A$2:$A$3684,PRICES!$H$2:$H$3684)," ")</f>
        <v xml:space="preserve"> </v>
      </c>
      <c r="K109" s="113" t="str" cm="1">
        <f t="array" aca="1" ref="K109" ca="1">IFERROR(_xlfn.XLOOKUP($A109&amp;"All Districts",PRICES!$B$2:$B$3684&amp;PRICES!$A$2:$A$3684,PRICES!$H$2:$H$3684)," ")</f>
        <v xml:space="preserve"> </v>
      </c>
      <c r="L109" s="556" t="str" cm="1">
        <f t="array" aca="1" ref="L109" ca="1">_xlfn.SWITCH(E109,J109,"District Price",K109,"State Price","Other/User Input/Override")</f>
        <v>District Price</v>
      </c>
    </row>
    <row r="110" spans="1:12">
      <c r="A110" s="110" t="str">
        <f t="array" aca="1" ref="A110" ca="1">IFERROR(INDEX(OUTPUT!$A$9:'OUTPUT'!$A$247,SMALL(IF(OUTPUT!$F$9:$F$247&lt;&gt;0,MATCH(OUTPUT!$A$9:'OUTPUT'!$A$247,OUTPUT!$A$9:'OUTPUT'!$A$247,0)),ROWS(ProjectEstimate!A$9:A110)),1),"")</f>
        <v/>
      </c>
      <c r="B110" s="111" t="str">
        <f ca="1">_xlfn.IFNA(OFFSET(INDEX(Output[Item '#],MATCH($A110,Output[Item '#],0)),0,1)," ")</f>
        <v xml:space="preserve"> </v>
      </c>
      <c r="C110" s="111" t="str">
        <f ca="1">_xlfn.IFNA(OFFSET(INDEX(Output[Item '#],MATCH($A110,Output[Item '#],0)),0,2)," ")</f>
        <v xml:space="preserve"> </v>
      </c>
      <c r="D110" s="111" t="str">
        <f ca="1">_xlfn.IFNA(OFFSET(INDEX(Output[Item '#],MATCH($A110,Output[Item '#],0)),0,3)," ")</f>
        <v xml:space="preserve"> </v>
      </c>
      <c r="E110" s="659" t="str">
        <f ca="1">_xlfn.IFNA(OFFSET(INDEX(Output[Item '#],MATCH($A110,Output[Item '#],0)),0,4)," ")</f>
        <v xml:space="preserve"> </v>
      </c>
      <c r="F110" s="659" t="str">
        <f ca="1">_xlfn.IFNA(OFFSET(INDEX(Output[Item '#],MATCH($A110,Output[Item '#],0)),0,5)," ")</f>
        <v xml:space="preserve"> </v>
      </c>
      <c r="G110" s="121"/>
      <c r="H110" s="584" t="str">
        <f ca="1">_xlfn.XLOOKUP(A110,OUTPUT!$Y$10:$Y$165,OUTPUT!$Z$10:$Z$165,"MiscItems")</f>
        <v>MiscItems</v>
      </c>
      <c r="I110" s="553" t="str">
        <f t="shared" ca="1" si="2"/>
        <v xml:space="preserve"> </v>
      </c>
      <c r="J110" s="113" t="str" cm="1">
        <f t="array" aca="1" ref="J110" ca="1">IFERROR(_xlfn.XLOOKUP($A110&amp;BasicProjectData!$G$18,PRICES!$B$2:$B$3684&amp;PRICES!$A$2:$A$3684,PRICES!$H$2:$H$3684)," ")</f>
        <v xml:space="preserve"> </v>
      </c>
      <c r="K110" s="113" t="str" cm="1">
        <f t="array" aca="1" ref="K110" ca="1">IFERROR(_xlfn.XLOOKUP($A110&amp;"All Districts",PRICES!$B$2:$B$3684&amp;PRICES!$A$2:$A$3684,PRICES!$H$2:$H$3684)," ")</f>
        <v xml:space="preserve"> </v>
      </c>
      <c r="L110" s="556" t="str" cm="1">
        <f t="array" aca="1" ref="L110" ca="1">_xlfn.SWITCH(E110,J110,"District Price",K110,"State Price","Other/User Input/Override")</f>
        <v>District Price</v>
      </c>
    </row>
    <row r="111" spans="1:12">
      <c r="A111" s="110" t="str">
        <f t="array" aca="1" ref="A111" ca="1">IFERROR(INDEX(OUTPUT!$A$9:'OUTPUT'!$A$247,SMALL(IF(OUTPUT!$F$9:$F$247&lt;&gt;0,MATCH(OUTPUT!$A$9:'OUTPUT'!$A$247,OUTPUT!$A$9:'OUTPUT'!$A$247,0)),ROWS(ProjectEstimate!A$9:A111)),1),"")</f>
        <v/>
      </c>
      <c r="B111" s="111" t="str">
        <f ca="1">_xlfn.IFNA(OFFSET(INDEX(Output[Item '#],MATCH($A111,Output[Item '#],0)),0,1)," ")</f>
        <v xml:space="preserve"> </v>
      </c>
      <c r="C111" s="111" t="str">
        <f ca="1">_xlfn.IFNA(OFFSET(INDEX(Output[Item '#],MATCH($A111,Output[Item '#],0)),0,2)," ")</f>
        <v xml:space="preserve"> </v>
      </c>
      <c r="D111" s="111" t="str">
        <f ca="1">_xlfn.IFNA(OFFSET(INDEX(Output[Item '#],MATCH($A111,Output[Item '#],0)),0,3)," ")</f>
        <v xml:space="preserve"> </v>
      </c>
      <c r="E111" s="659" t="str">
        <f ca="1">_xlfn.IFNA(OFFSET(INDEX(Output[Item '#],MATCH($A111,Output[Item '#],0)),0,4)," ")</f>
        <v xml:space="preserve"> </v>
      </c>
      <c r="F111" s="659" t="str">
        <f ca="1">_xlfn.IFNA(OFFSET(INDEX(Output[Item '#],MATCH($A111,Output[Item '#],0)),0,5)," ")</f>
        <v xml:space="preserve"> </v>
      </c>
      <c r="G111" s="121"/>
      <c r="H111" s="584" t="str">
        <f ca="1">_xlfn.XLOOKUP(A111,OUTPUT!$Y$10:$Y$165,OUTPUT!$Z$10:$Z$165,"MiscItems")</f>
        <v>MiscItems</v>
      </c>
      <c r="I111" s="553" t="str">
        <f t="shared" ca="1" si="2"/>
        <v xml:space="preserve"> </v>
      </c>
      <c r="J111" s="113" t="str" cm="1">
        <f t="array" aca="1" ref="J111" ca="1">IFERROR(_xlfn.XLOOKUP($A111&amp;BasicProjectData!$G$18,PRICES!$B$2:$B$3684&amp;PRICES!$A$2:$A$3684,PRICES!$H$2:$H$3684)," ")</f>
        <v xml:space="preserve"> </v>
      </c>
      <c r="K111" s="113" t="str" cm="1">
        <f t="array" aca="1" ref="K111" ca="1">IFERROR(_xlfn.XLOOKUP($A111&amp;"All Districts",PRICES!$B$2:$B$3684&amp;PRICES!$A$2:$A$3684,PRICES!$H$2:$H$3684)," ")</f>
        <v xml:space="preserve"> </v>
      </c>
      <c r="L111" s="556" t="str" cm="1">
        <f t="array" aca="1" ref="L111" ca="1">_xlfn.SWITCH(E111,J111,"District Price",K111,"State Price","Other/User Input/Override")</f>
        <v>District Price</v>
      </c>
    </row>
    <row r="112" spans="1:12">
      <c r="A112" s="110" t="str">
        <f t="array" aca="1" ref="A112" ca="1">IFERROR(INDEX(OUTPUT!$A$9:'OUTPUT'!$A$247,SMALL(IF(OUTPUT!$F$9:$F$247&lt;&gt;0,MATCH(OUTPUT!$A$9:'OUTPUT'!$A$247,OUTPUT!$A$9:'OUTPUT'!$A$247,0)),ROWS(ProjectEstimate!A$9:A112)),1),"")</f>
        <v/>
      </c>
      <c r="B112" s="111" t="str">
        <f ca="1">_xlfn.IFNA(OFFSET(INDEX(Output[Item '#],MATCH($A112,Output[Item '#],0)),0,1)," ")</f>
        <v xml:space="preserve"> </v>
      </c>
      <c r="C112" s="111" t="str">
        <f ca="1">_xlfn.IFNA(OFFSET(INDEX(Output[Item '#],MATCH($A112,Output[Item '#],0)),0,2)," ")</f>
        <v xml:space="preserve"> </v>
      </c>
      <c r="D112" s="111" t="str">
        <f ca="1">_xlfn.IFNA(OFFSET(INDEX(Output[Item '#],MATCH($A112,Output[Item '#],0)),0,3)," ")</f>
        <v xml:space="preserve"> </v>
      </c>
      <c r="E112" s="659" t="str">
        <f ca="1">_xlfn.IFNA(OFFSET(INDEX(Output[Item '#],MATCH($A112,Output[Item '#],0)),0,4)," ")</f>
        <v xml:space="preserve"> </v>
      </c>
      <c r="F112" s="659" t="str">
        <f ca="1">_xlfn.IFNA(OFFSET(INDEX(Output[Item '#],MATCH($A112,Output[Item '#],0)),0,5)," ")</f>
        <v xml:space="preserve"> </v>
      </c>
      <c r="G112" s="121"/>
      <c r="H112" s="584" t="str">
        <f ca="1">_xlfn.XLOOKUP(A112,OUTPUT!$Y$10:$Y$165,OUTPUT!$Z$10:$Z$165,"MiscItems")</f>
        <v>MiscItems</v>
      </c>
      <c r="I112" s="553" t="str">
        <f t="shared" ca="1" si="2"/>
        <v xml:space="preserve"> </v>
      </c>
      <c r="J112" s="113" t="str" cm="1">
        <f t="array" aca="1" ref="J112" ca="1">IFERROR(_xlfn.XLOOKUP($A112&amp;BasicProjectData!$G$18,PRICES!$B$2:$B$3684&amp;PRICES!$A$2:$A$3684,PRICES!$H$2:$H$3684)," ")</f>
        <v xml:space="preserve"> </v>
      </c>
      <c r="K112" s="113" t="str" cm="1">
        <f t="array" aca="1" ref="K112" ca="1">IFERROR(_xlfn.XLOOKUP($A112&amp;"All Districts",PRICES!$B$2:$B$3684&amp;PRICES!$A$2:$A$3684,PRICES!$H$2:$H$3684)," ")</f>
        <v xml:space="preserve"> </v>
      </c>
      <c r="L112" s="556" t="str" cm="1">
        <f t="array" aca="1" ref="L112" ca="1">_xlfn.SWITCH(E112,J112,"District Price",K112,"State Price","Other/User Input/Override")</f>
        <v>District Price</v>
      </c>
    </row>
    <row r="113" spans="1:12">
      <c r="A113" s="110" t="str">
        <f t="array" aca="1" ref="A113" ca="1">IFERROR(INDEX(OUTPUT!$A$9:'OUTPUT'!$A$247,SMALL(IF(OUTPUT!$F$9:$F$247&lt;&gt;0,MATCH(OUTPUT!$A$9:'OUTPUT'!$A$247,OUTPUT!$A$9:'OUTPUT'!$A$247,0)),ROWS(ProjectEstimate!A$9:A113)),1),"")</f>
        <v/>
      </c>
      <c r="B113" s="111" t="str">
        <f ca="1">_xlfn.IFNA(OFFSET(INDEX(Output[Item '#],MATCH($A113,Output[Item '#],0)),0,1)," ")</f>
        <v xml:space="preserve"> </v>
      </c>
      <c r="C113" s="111" t="str">
        <f ca="1">_xlfn.IFNA(OFFSET(INDEX(Output[Item '#],MATCH($A113,Output[Item '#],0)),0,2)," ")</f>
        <v xml:space="preserve"> </v>
      </c>
      <c r="D113" s="111" t="str">
        <f ca="1">_xlfn.IFNA(OFFSET(INDEX(Output[Item '#],MATCH($A113,Output[Item '#],0)),0,3)," ")</f>
        <v xml:space="preserve"> </v>
      </c>
      <c r="E113" s="659" t="str">
        <f ca="1">_xlfn.IFNA(OFFSET(INDEX(Output[Item '#],MATCH($A113,Output[Item '#],0)),0,4)," ")</f>
        <v xml:space="preserve"> </v>
      </c>
      <c r="F113" s="659" t="str">
        <f ca="1">_xlfn.IFNA(OFFSET(INDEX(Output[Item '#],MATCH($A113,Output[Item '#],0)),0,5)," ")</f>
        <v xml:space="preserve"> </v>
      </c>
      <c r="G113" s="121"/>
      <c r="H113" s="584" t="str">
        <f ca="1">_xlfn.XLOOKUP(A113,OUTPUT!$Y$10:$Y$165,OUTPUT!$Z$10:$Z$165,"MiscItems")</f>
        <v>MiscItems</v>
      </c>
      <c r="I113" s="553" t="str">
        <f t="shared" ca="1" si="2"/>
        <v xml:space="preserve"> </v>
      </c>
      <c r="J113" s="113" t="str" cm="1">
        <f t="array" aca="1" ref="J113" ca="1">IFERROR(_xlfn.XLOOKUP($A113&amp;BasicProjectData!$G$18,PRICES!$B$2:$B$3684&amp;PRICES!$A$2:$A$3684,PRICES!$H$2:$H$3684)," ")</f>
        <v xml:space="preserve"> </v>
      </c>
      <c r="K113" s="113" t="str" cm="1">
        <f t="array" aca="1" ref="K113" ca="1">IFERROR(_xlfn.XLOOKUP($A113&amp;"All Districts",PRICES!$B$2:$B$3684&amp;PRICES!$A$2:$A$3684,PRICES!$H$2:$H$3684)," ")</f>
        <v xml:space="preserve"> </v>
      </c>
      <c r="L113" s="556" t="str" cm="1">
        <f t="array" aca="1" ref="L113" ca="1">_xlfn.SWITCH(E113,J113,"District Price",K113,"State Price","Other/User Input/Override")</f>
        <v>District Price</v>
      </c>
    </row>
    <row r="114" spans="1:12">
      <c r="A114" s="110" t="str">
        <f t="array" aca="1" ref="A114" ca="1">IFERROR(INDEX(OUTPUT!$A$9:'OUTPUT'!$A$247,SMALL(IF(OUTPUT!$F$9:$F$247&lt;&gt;0,MATCH(OUTPUT!$A$9:'OUTPUT'!$A$247,OUTPUT!$A$9:'OUTPUT'!$A$247,0)),ROWS(ProjectEstimate!A$9:A114)),1),"")</f>
        <v/>
      </c>
      <c r="B114" s="111" t="str">
        <f ca="1">_xlfn.IFNA(OFFSET(INDEX(Output[Item '#],MATCH($A114,Output[Item '#],0)),0,1)," ")</f>
        <v xml:space="preserve"> </v>
      </c>
      <c r="C114" s="111" t="str">
        <f ca="1">_xlfn.IFNA(OFFSET(INDEX(Output[Item '#],MATCH($A114,Output[Item '#],0)),0,2)," ")</f>
        <v xml:space="preserve"> </v>
      </c>
      <c r="D114" s="111" t="str">
        <f ca="1">_xlfn.IFNA(OFFSET(INDEX(Output[Item '#],MATCH($A114,Output[Item '#],0)),0,3)," ")</f>
        <v xml:space="preserve"> </v>
      </c>
      <c r="E114" s="659" t="str">
        <f ca="1">_xlfn.IFNA(OFFSET(INDEX(Output[Item '#],MATCH($A114,Output[Item '#],0)),0,4)," ")</f>
        <v xml:space="preserve"> </v>
      </c>
      <c r="F114" s="659" t="str">
        <f ca="1">_xlfn.IFNA(OFFSET(INDEX(Output[Item '#],MATCH($A114,Output[Item '#],0)),0,5)," ")</f>
        <v xml:space="preserve"> </v>
      </c>
      <c r="G114" s="121"/>
      <c r="H114" s="584" t="str">
        <f ca="1">_xlfn.XLOOKUP(A114,OUTPUT!$Y$10:$Y$165,OUTPUT!$Z$10:$Z$165,"MiscItems")</f>
        <v>MiscItems</v>
      </c>
      <c r="I114" s="553" t="str">
        <f t="shared" ca="1" si="2"/>
        <v xml:space="preserve"> </v>
      </c>
      <c r="J114" s="113" t="str" cm="1">
        <f t="array" aca="1" ref="J114" ca="1">IFERROR(_xlfn.XLOOKUP($A114&amp;BasicProjectData!$G$18,PRICES!$B$2:$B$3684&amp;PRICES!$A$2:$A$3684,PRICES!$H$2:$H$3684)," ")</f>
        <v xml:space="preserve"> </v>
      </c>
      <c r="K114" s="113" t="str" cm="1">
        <f t="array" aca="1" ref="K114" ca="1">IFERROR(_xlfn.XLOOKUP($A114&amp;"All Districts",PRICES!$B$2:$B$3684&amp;PRICES!$A$2:$A$3684,PRICES!$H$2:$H$3684)," ")</f>
        <v xml:space="preserve"> </v>
      </c>
      <c r="L114" s="556" t="str" cm="1">
        <f t="array" aca="1" ref="L114" ca="1">_xlfn.SWITCH(E114,J114,"District Price",K114,"State Price","Other/User Input/Override")</f>
        <v>District Price</v>
      </c>
    </row>
    <row r="115" spans="1:12">
      <c r="A115" s="110" t="str">
        <f t="array" aca="1" ref="A115" ca="1">IFERROR(INDEX(OUTPUT!$A$9:'OUTPUT'!$A$247,SMALL(IF(OUTPUT!$F$9:$F$247&lt;&gt;0,MATCH(OUTPUT!$A$9:'OUTPUT'!$A$247,OUTPUT!$A$9:'OUTPUT'!$A$247,0)),ROWS(ProjectEstimate!A$9:A115)),1),"")</f>
        <v/>
      </c>
      <c r="B115" s="111" t="str">
        <f ca="1">_xlfn.IFNA(OFFSET(INDEX(Output[Item '#],MATCH($A115,Output[Item '#],0)),0,1)," ")</f>
        <v xml:space="preserve"> </v>
      </c>
      <c r="C115" s="111" t="str">
        <f ca="1">_xlfn.IFNA(OFFSET(INDEX(Output[Item '#],MATCH($A115,Output[Item '#],0)),0,2)," ")</f>
        <v xml:space="preserve"> </v>
      </c>
      <c r="D115" s="111" t="str">
        <f ca="1">_xlfn.IFNA(OFFSET(INDEX(Output[Item '#],MATCH($A115,Output[Item '#],0)),0,3)," ")</f>
        <v xml:space="preserve"> </v>
      </c>
      <c r="E115" s="659" t="str">
        <f ca="1">_xlfn.IFNA(OFFSET(INDEX(Output[Item '#],MATCH($A115,Output[Item '#],0)),0,4)," ")</f>
        <v xml:space="preserve"> </v>
      </c>
      <c r="F115" s="659" t="str">
        <f ca="1">_xlfn.IFNA(OFFSET(INDEX(Output[Item '#],MATCH($A115,Output[Item '#],0)),0,5)," ")</f>
        <v xml:space="preserve"> </v>
      </c>
      <c r="G115" s="121"/>
      <c r="H115" s="584" t="str">
        <f ca="1">_xlfn.XLOOKUP(A115,OUTPUT!$Y$10:$Y$165,OUTPUT!$Z$10:$Z$165,"MiscItems")</f>
        <v>MiscItems</v>
      </c>
      <c r="I115" s="553" t="str">
        <f t="shared" ca="1" si="2"/>
        <v xml:space="preserve"> </v>
      </c>
      <c r="J115" s="113" t="str" cm="1">
        <f t="array" aca="1" ref="J115" ca="1">IFERROR(_xlfn.XLOOKUP($A115&amp;BasicProjectData!$G$18,PRICES!$B$2:$B$3684&amp;PRICES!$A$2:$A$3684,PRICES!$H$2:$H$3684)," ")</f>
        <v xml:space="preserve"> </v>
      </c>
      <c r="K115" s="113" t="str" cm="1">
        <f t="array" aca="1" ref="K115" ca="1">IFERROR(_xlfn.XLOOKUP($A115&amp;"All Districts",PRICES!$B$2:$B$3684&amp;PRICES!$A$2:$A$3684,PRICES!$H$2:$H$3684)," ")</f>
        <v xml:space="preserve"> </v>
      </c>
      <c r="L115" s="556" t="str" cm="1">
        <f t="array" aca="1" ref="L115" ca="1">_xlfn.SWITCH(E115,J115,"District Price",K115,"State Price","Other/User Input/Override")</f>
        <v>District Price</v>
      </c>
    </row>
    <row r="116" spans="1:12">
      <c r="A116" s="110" t="str">
        <f t="array" aca="1" ref="A116" ca="1">IFERROR(INDEX(OUTPUT!$A$9:'OUTPUT'!$A$247,SMALL(IF(OUTPUT!$F$9:$F$247&lt;&gt;0,MATCH(OUTPUT!$A$9:'OUTPUT'!$A$247,OUTPUT!$A$9:'OUTPUT'!$A$247,0)),ROWS(ProjectEstimate!A$9:A116)),1),"")</f>
        <v/>
      </c>
      <c r="B116" s="111" t="str">
        <f ca="1">_xlfn.IFNA(OFFSET(INDEX(Output[Item '#],MATCH($A116,Output[Item '#],0)),0,1)," ")</f>
        <v xml:space="preserve"> </v>
      </c>
      <c r="C116" s="111" t="str">
        <f ca="1">_xlfn.IFNA(OFFSET(INDEX(Output[Item '#],MATCH($A116,Output[Item '#],0)),0,2)," ")</f>
        <v xml:space="preserve"> </v>
      </c>
      <c r="D116" s="111" t="str">
        <f ca="1">_xlfn.IFNA(OFFSET(INDEX(Output[Item '#],MATCH($A116,Output[Item '#],0)),0,3)," ")</f>
        <v xml:space="preserve"> </v>
      </c>
      <c r="E116" s="659" t="str">
        <f ca="1">_xlfn.IFNA(OFFSET(INDEX(Output[Item '#],MATCH($A116,Output[Item '#],0)),0,4)," ")</f>
        <v xml:space="preserve"> </v>
      </c>
      <c r="F116" s="659" t="str">
        <f ca="1">_xlfn.IFNA(OFFSET(INDEX(Output[Item '#],MATCH($A116,Output[Item '#],0)),0,5)," ")</f>
        <v xml:space="preserve"> </v>
      </c>
      <c r="G116" s="121"/>
      <c r="H116" s="584" t="str">
        <f ca="1">_xlfn.XLOOKUP(A116,OUTPUT!$Y$10:$Y$165,OUTPUT!$Z$10:$Z$165,"MiscItems")</f>
        <v>MiscItems</v>
      </c>
      <c r="I116" s="553" t="str">
        <f t="shared" ca="1" si="2"/>
        <v xml:space="preserve"> </v>
      </c>
      <c r="J116" s="113" t="str" cm="1">
        <f t="array" aca="1" ref="J116" ca="1">IFERROR(_xlfn.XLOOKUP($A116&amp;BasicProjectData!$G$18,PRICES!$B$2:$B$3684&amp;PRICES!$A$2:$A$3684,PRICES!$H$2:$H$3684)," ")</f>
        <v xml:space="preserve"> </v>
      </c>
      <c r="K116" s="113" t="str" cm="1">
        <f t="array" aca="1" ref="K116" ca="1">IFERROR(_xlfn.XLOOKUP($A116&amp;"All Districts",PRICES!$B$2:$B$3684&amp;PRICES!$A$2:$A$3684,PRICES!$H$2:$H$3684)," ")</f>
        <v xml:space="preserve"> </v>
      </c>
      <c r="L116" s="556" t="str" cm="1">
        <f t="array" aca="1" ref="L116" ca="1">_xlfn.SWITCH(E116,J116,"District Price",K116,"State Price","Other/User Input/Override")</f>
        <v>District Price</v>
      </c>
    </row>
    <row r="117" spans="1:12">
      <c r="A117" s="110" t="str">
        <f t="array" aca="1" ref="A117" ca="1">IFERROR(INDEX(OUTPUT!$A$9:'OUTPUT'!$A$247,SMALL(IF(OUTPUT!$F$9:$F$247&lt;&gt;0,MATCH(OUTPUT!$A$9:'OUTPUT'!$A$247,OUTPUT!$A$9:'OUTPUT'!$A$247,0)),ROWS(ProjectEstimate!A$9:A117)),1),"")</f>
        <v/>
      </c>
      <c r="B117" s="111" t="str">
        <f ca="1">_xlfn.IFNA(OFFSET(INDEX(Output[Item '#],MATCH($A117,Output[Item '#],0)),0,1)," ")</f>
        <v xml:space="preserve"> </v>
      </c>
      <c r="C117" s="111" t="str">
        <f ca="1">_xlfn.IFNA(OFFSET(INDEX(Output[Item '#],MATCH($A117,Output[Item '#],0)),0,2)," ")</f>
        <v xml:space="preserve"> </v>
      </c>
      <c r="D117" s="111" t="str">
        <f ca="1">_xlfn.IFNA(OFFSET(INDEX(Output[Item '#],MATCH($A117,Output[Item '#],0)),0,3)," ")</f>
        <v xml:space="preserve"> </v>
      </c>
      <c r="E117" s="659" t="str">
        <f ca="1">_xlfn.IFNA(OFFSET(INDEX(Output[Item '#],MATCH($A117,Output[Item '#],0)),0,4)," ")</f>
        <v xml:space="preserve"> </v>
      </c>
      <c r="F117" s="659" t="str">
        <f ca="1">_xlfn.IFNA(OFFSET(INDEX(Output[Item '#],MATCH($A117,Output[Item '#],0)),0,5)," ")</f>
        <v xml:space="preserve"> </v>
      </c>
      <c r="G117" s="121"/>
      <c r="H117" s="584" t="str">
        <f ca="1">_xlfn.XLOOKUP(A117,OUTPUT!$Y$10:$Y$165,OUTPUT!$Z$10:$Z$165,"MiscItems")</f>
        <v>MiscItems</v>
      </c>
      <c r="I117" s="553" t="str">
        <f t="shared" ca="1" si="2"/>
        <v xml:space="preserve"> </v>
      </c>
      <c r="J117" s="113" t="str" cm="1">
        <f t="array" aca="1" ref="J117" ca="1">IFERROR(_xlfn.XLOOKUP($A117&amp;BasicProjectData!$G$18,PRICES!$B$2:$B$3684&amp;PRICES!$A$2:$A$3684,PRICES!$H$2:$H$3684)," ")</f>
        <v xml:space="preserve"> </v>
      </c>
      <c r="K117" s="113" t="str" cm="1">
        <f t="array" aca="1" ref="K117" ca="1">IFERROR(_xlfn.XLOOKUP($A117&amp;"All Districts",PRICES!$B$2:$B$3684&amp;PRICES!$A$2:$A$3684,PRICES!$H$2:$H$3684)," ")</f>
        <v xml:space="preserve"> </v>
      </c>
      <c r="L117" s="556" t="str" cm="1">
        <f t="array" aca="1" ref="L117" ca="1">_xlfn.SWITCH(E117,J117,"District Price",K117,"State Price","Other/User Input/Override")</f>
        <v>District Price</v>
      </c>
    </row>
    <row r="118" spans="1:12">
      <c r="A118" s="110" t="str">
        <f t="array" aca="1" ref="A118" ca="1">IFERROR(INDEX(OUTPUT!$A$9:'OUTPUT'!$A$247,SMALL(IF(OUTPUT!$F$9:$F$247&lt;&gt;0,MATCH(OUTPUT!$A$9:'OUTPUT'!$A$247,OUTPUT!$A$9:'OUTPUT'!$A$247,0)),ROWS(ProjectEstimate!A$9:A118)),1),"")</f>
        <v/>
      </c>
      <c r="B118" s="111" t="str">
        <f ca="1">_xlfn.IFNA(OFFSET(INDEX(Output[Item '#],MATCH($A118,Output[Item '#],0)),0,1)," ")</f>
        <v xml:space="preserve"> </v>
      </c>
      <c r="C118" s="111" t="str">
        <f ca="1">_xlfn.IFNA(OFFSET(INDEX(Output[Item '#],MATCH($A118,Output[Item '#],0)),0,2)," ")</f>
        <v xml:space="preserve"> </v>
      </c>
      <c r="D118" s="111" t="str">
        <f ca="1">_xlfn.IFNA(OFFSET(INDEX(Output[Item '#],MATCH($A118,Output[Item '#],0)),0,3)," ")</f>
        <v xml:space="preserve"> </v>
      </c>
      <c r="E118" s="659" t="str">
        <f ca="1">_xlfn.IFNA(OFFSET(INDEX(Output[Item '#],MATCH($A118,Output[Item '#],0)),0,4)," ")</f>
        <v xml:space="preserve"> </v>
      </c>
      <c r="F118" s="659" t="str">
        <f ca="1">_xlfn.IFNA(OFFSET(INDEX(Output[Item '#],MATCH($A118,Output[Item '#],0)),0,5)," ")</f>
        <v xml:space="preserve"> </v>
      </c>
      <c r="G118" s="121"/>
      <c r="H118" s="584" t="str">
        <f ca="1">_xlfn.XLOOKUP(A118,OUTPUT!$Y$10:$Y$165,OUTPUT!$Z$10:$Z$165,"MiscItems")</f>
        <v>MiscItems</v>
      </c>
      <c r="I118" s="553" t="str">
        <f t="shared" ca="1" si="2"/>
        <v xml:space="preserve"> </v>
      </c>
      <c r="J118" s="113" t="str" cm="1">
        <f t="array" aca="1" ref="J118" ca="1">IFERROR(_xlfn.XLOOKUP($A118&amp;BasicProjectData!$G$18,PRICES!$B$2:$B$3684&amp;PRICES!$A$2:$A$3684,PRICES!$H$2:$H$3684)," ")</f>
        <v xml:space="preserve"> </v>
      </c>
      <c r="K118" s="113" t="str" cm="1">
        <f t="array" aca="1" ref="K118" ca="1">IFERROR(_xlfn.XLOOKUP($A118&amp;"All Districts",PRICES!$B$2:$B$3684&amp;PRICES!$A$2:$A$3684,PRICES!$H$2:$H$3684)," ")</f>
        <v xml:space="preserve"> </v>
      </c>
      <c r="L118" s="556" t="str" cm="1">
        <f t="array" aca="1" ref="L118" ca="1">_xlfn.SWITCH(E118,J118,"District Price",K118,"State Price","Other/User Input/Override")</f>
        <v>District Price</v>
      </c>
    </row>
    <row r="119" spans="1:12">
      <c r="A119" s="110" t="str">
        <f t="array" aca="1" ref="A119" ca="1">IFERROR(INDEX(OUTPUT!$A$9:'OUTPUT'!$A$247,SMALL(IF(OUTPUT!$F$9:$F$247&lt;&gt;0,MATCH(OUTPUT!$A$9:'OUTPUT'!$A$247,OUTPUT!$A$9:'OUTPUT'!$A$247,0)),ROWS(ProjectEstimate!A$9:A119)),1),"")</f>
        <v/>
      </c>
      <c r="B119" s="111" t="str">
        <f ca="1">_xlfn.IFNA(OFFSET(INDEX(Output[Item '#],MATCH($A119,Output[Item '#],0)),0,1)," ")</f>
        <v xml:space="preserve"> </v>
      </c>
      <c r="C119" s="111" t="str">
        <f ca="1">_xlfn.IFNA(OFFSET(INDEX(Output[Item '#],MATCH($A119,Output[Item '#],0)),0,2)," ")</f>
        <v xml:space="preserve"> </v>
      </c>
      <c r="D119" s="111" t="str">
        <f ca="1">_xlfn.IFNA(OFFSET(INDEX(Output[Item '#],MATCH($A119,Output[Item '#],0)),0,3)," ")</f>
        <v xml:space="preserve"> </v>
      </c>
      <c r="E119" s="659" t="str">
        <f ca="1">_xlfn.IFNA(OFFSET(INDEX(Output[Item '#],MATCH($A119,Output[Item '#],0)),0,4)," ")</f>
        <v xml:space="preserve"> </v>
      </c>
      <c r="F119" s="659" t="str">
        <f ca="1">_xlfn.IFNA(OFFSET(INDEX(Output[Item '#],MATCH($A119,Output[Item '#],0)),0,5)," ")</f>
        <v xml:space="preserve"> </v>
      </c>
      <c r="G119" s="121"/>
      <c r="H119" s="584" t="str">
        <f ca="1">_xlfn.XLOOKUP(A119,OUTPUT!$Y$10:$Y$165,OUTPUT!$Z$10:$Z$165,"MiscItems")</f>
        <v>MiscItems</v>
      </c>
      <c r="I119" s="553" t="str">
        <f t="shared" ca="1" si="2"/>
        <v xml:space="preserve"> </v>
      </c>
      <c r="J119" s="113" t="str" cm="1">
        <f t="array" aca="1" ref="J119" ca="1">IFERROR(_xlfn.XLOOKUP($A119&amp;BasicProjectData!$G$18,PRICES!$B$2:$B$3684&amp;PRICES!$A$2:$A$3684,PRICES!$H$2:$H$3684)," ")</f>
        <v xml:space="preserve"> </v>
      </c>
      <c r="K119" s="113" t="str" cm="1">
        <f t="array" aca="1" ref="K119" ca="1">IFERROR(_xlfn.XLOOKUP($A119&amp;"All Districts",PRICES!$B$2:$B$3684&amp;PRICES!$A$2:$A$3684,PRICES!$H$2:$H$3684)," ")</f>
        <v xml:space="preserve"> </v>
      </c>
      <c r="L119" s="556" t="str" cm="1">
        <f t="array" aca="1" ref="L119" ca="1">_xlfn.SWITCH(E119,J119,"District Price",K119,"State Price","Other/User Input/Override")</f>
        <v>District Price</v>
      </c>
    </row>
    <row r="120" spans="1:12">
      <c r="A120" s="110" t="str">
        <f t="array" aca="1" ref="A120" ca="1">IFERROR(INDEX(OUTPUT!$A$9:'OUTPUT'!$A$247,SMALL(IF(OUTPUT!$F$9:$F$247&lt;&gt;0,MATCH(OUTPUT!$A$9:'OUTPUT'!$A$247,OUTPUT!$A$9:'OUTPUT'!$A$247,0)),ROWS(ProjectEstimate!A$9:A120)),1),"")</f>
        <v/>
      </c>
      <c r="B120" s="111" t="str">
        <f ca="1">_xlfn.IFNA(OFFSET(INDEX(Output[Item '#],MATCH($A120,Output[Item '#],0)),0,1)," ")</f>
        <v xml:space="preserve"> </v>
      </c>
      <c r="C120" s="111" t="str">
        <f ca="1">_xlfn.IFNA(OFFSET(INDEX(Output[Item '#],MATCH($A120,Output[Item '#],0)),0,2)," ")</f>
        <v xml:space="preserve"> </v>
      </c>
      <c r="D120" s="111" t="str">
        <f ca="1">_xlfn.IFNA(OFFSET(INDEX(Output[Item '#],MATCH($A120,Output[Item '#],0)),0,3)," ")</f>
        <v xml:space="preserve"> </v>
      </c>
      <c r="E120" s="659" t="str">
        <f ca="1">_xlfn.IFNA(OFFSET(INDEX(Output[Item '#],MATCH($A120,Output[Item '#],0)),0,4)," ")</f>
        <v xml:space="preserve"> </v>
      </c>
      <c r="F120" s="659" t="str">
        <f ca="1">_xlfn.IFNA(OFFSET(INDEX(Output[Item '#],MATCH($A120,Output[Item '#],0)),0,5)," ")</f>
        <v xml:space="preserve"> </v>
      </c>
      <c r="G120" s="121"/>
      <c r="H120" s="584" t="str">
        <f ca="1">_xlfn.XLOOKUP(A120,OUTPUT!$Y$10:$Y$165,OUTPUT!$Z$10:$Z$165,"MiscItems")</f>
        <v>MiscItems</v>
      </c>
      <c r="I120" s="553" t="str">
        <f t="shared" ca="1" si="2"/>
        <v xml:space="preserve"> </v>
      </c>
      <c r="J120" s="113" t="str" cm="1">
        <f t="array" aca="1" ref="J120" ca="1">IFERROR(_xlfn.XLOOKUP($A120&amp;BasicProjectData!$G$18,PRICES!$B$2:$B$3684&amp;PRICES!$A$2:$A$3684,PRICES!$H$2:$H$3684)," ")</f>
        <v xml:space="preserve"> </v>
      </c>
      <c r="K120" s="113" t="str" cm="1">
        <f t="array" aca="1" ref="K120" ca="1">IFERROR(_xlfn.XLOOKUP($A120&amp;"All Districts",PRICES!$B$2:$B$3684&amp;PRICES!$A$2:$A$3684,PRICES!$H$2:$H$3684)," ")</f>
        <v xml:space="preserve"> </v>
      </c>
      <c r="L120" s="556" t="str" cm="1">
        <f t="array" aca="1" ref="L120" ca="1">_xlfn.SWITCH(E120,J120,"District Price",K120,"State Price","Other/User Input/Override")</f>
        <v>District Price</v>
      </c>
    </row>
    <row r="121" spans="1:12">
      <c r="A121" s="110" t="str">
        <f t="array" aca="1" ref="A121" ca="1">IFERROR(INDEX(OUTPUT!$A$9:'OUTPUT'!$A$247,SMALL(IF(OUTPUT!$F$9:$F$247&lt;&gt;0,MATCH(OUTPUT!$A$9:'OUTPUT'!$A$247,OUTPUT!$A$9:'OUTPUT'!$A$247,0)),ROWS(ProjectEstimate!A$9:A121)),1),"")</f>
        <v/>
      </c>
      <c r="B121" s="111" t="str">
        <f ca="1">_xlfn.IFNA(OFFSET(INDEX(Output[Item '#],MATCH($A121,Output[Item '#],0)),0,1)," ")</f>
        <v xml:space="preserve"> </v>
      </c>
      <c r="C121" s="111" t="str">
        <f ca="1">_xlfn.IFNA(OFFSET(INDEX(Output[Item '#],MATCH($A121,Output[Item '#],0)),0,2)," ")</f>
        <v xml:space="preserve"> </v>
      </c>
      <c r="D121" s="111" t="str">
        <f ca="1">_xlfn.IFNA(OFFSET(INDEX(Output[Item '#],MATCH($A121,Output[Item '#],0)),0,3)," ")</f>
        <v xml:space="preserve"> </v>
      </c>
      <c r="E121" s="659" t="str">
        <f ca="1">_xlfn.IFNA(OFFSET(INDEX(Output[Item '#],MATCH($A121,Output[Item '#],0)),0,4)," ")</f>
        <v xml:space="preserve"> </v>
      </c>
      <c r="F121" s="659" t="str">
        <f ca="1">_xlfn.IFNA(OFFSET(INDEX(Output[Item '#],MATCH($A121,Output[Item '#],0)),0,5)," ")</f>
        <v xml:space="preserve"> </v>
      </c>
      <c r="G121" s="121"/>
      <c r="H121" s="584" t="str">
        <f ca="1">_xlfn.XLOOKUP(A121,OUTPUT!$Y$10:$Y$165,OUTPUT!$Z$10:$Z$165,"MiscItems")</f>
        <v>MiscItems</v>
      </c>
      <c r="I121" s="553" t="str">
        <f t="shared" ca="1" si="2"/>
        <v xml:space="preserve"> </v>
      </c>
      <c r="J121" s="113" t="str" cm="1">
        <f t="array" aca="1" ref="J121" ca="1">IFERROR(_xlfn.XLOOKUP($A121&amp;BasicProjectData!$G$18,PRICES!$B$2:$B$3684&amp;PRICES!$A$2:$A$3684,PRICES!$H$2:$H$3684)," ")</f>
        <v xml:space="preserve"> </v>
      </c>
      <c r="K121" s="113" t="str" cm="1">
        <f t="array" aca="1" ref="K121" ca="1">IFERROR(_xlfn.XLOOKUP($A121&amp;"All Districts",PRICES!$B$2:$B$3684&amp;PRICES!$A$2:$A$3684,PRICES!$H$2:$H$3684)," ")</f>
        <v xml:space="preserve"> </v>
      </c>
      <c r="L121" s="556" t="str" cm="1">
        <f t="array" aca="1" ref="L121" ca="1">_xlfn.SWITCH(E121,J121,"District Price",K121,"State Price","Other/User Input/Override")</f>
        <v>District Price</v>
      </c>
    </row>
    <row r="122" spans="1:12">
      <c r="A122" s="110" t="str">
        <f t="array" aca="1" ref="A122" ca="1">IFERROR(INDEX(OUTPUT!$A$9:'OUTPUT'!$A$247,SMALL(IF(OUTPUT!$F$9:$F$247&lt;&gt;0,MATCH(OUTPUT!$A$9:'OUTPUT'!$A$247,OUTPUT!$A$9:'OUTPUT'!$A$247,0)),ROWS(ProjectEstimate!A$9:A122)),1),"")</f>
        <v/>
      </c>
      <c r="B122" s="111" t="str">
        <f ca="1">_xlfn.IFNA(OFFSET(INDEX(Output[Item '#],MATCH($A122,Output[Item '#],0)),0,1)," ")</f>
        <v xml:space="preserve"> </v>
      </c>
      <c r="C122" s="111" t="str">
        <f ca="1">_xlfn.IFNA(OFFSET(INDEX(Output[Item '#],MATCH($A122,Output[Item '#],0)),0,2)," ")</f>
        <v xml:space="preserve"> </v>
      </c>
      <c r="D122" s="111" t="str">
        <f ca="1">_xlfn.IFNA(OFFSET(INDEX(Output[Item '#],MATCH($A122,Output[Item '#],0)),0,3)," ")</f>
        <v xml:space="preserve"> </v>
      </c>
      <c r="E122" s="659" t="str">
        <f ca="1">_xlfn.IFNA(OFFSET(INDEX(Output[Item '#],MATCH($A122,Output[Item '#],0)),0,4)," ")</f>
        <v xml:space="preserve"> </v>
      </c>
      <c r="F122" s="659" t="str">
        <f ca="1">_xlfn.IFNA(OFFSET(INDEX(Output[Item '#],MATCH($A122,Output[Item '#],0)),0,5)," ")</f>
        <v xml:space="preserve"> </v>
      </c>
      <c r="G122" s="121"/>
      <c r="H122" s="584" t="str">
        <f ca="1">_xlfn.XLOOKUP(A122,OUTPUT!$Y$10:$Y$165,OUTPUT!$Z$10:$Z$165,"MiscItems")</f>
        <v>MiscItems</v>
      </c>
      <c r="I122" s="553" t="str">
        <f t="shared" ca="1" si="2"/>
        <v xml:space="preserve"> </v>
      </c>
      <c r="J122" s="113" t="str" cm="1">
        <f t="array" aca="1" ref="J122" ca="1">IFERROR(_xlfn.XLOOKUP($A122&amp;BasicProjectData!$G$18,PRICES!$B$2:$B$3684&amp;PRICES!$A$2:$A$3684,PRICES!$H$2:$H$3684)," ")</f>
        <v xml:space="preserve"> </v>
      </c>
      <c r="K122" s="113" t="str" cm="1">
        <f t="array" aca="1" ref="K122" ca="1">IFERROR(_xlfn.XLOOKUP($A122&amp;"All Districts",PRICES!$B$2:$B$3684&amp;PRICES!$A$2:$A$3684,PRICES!$H$2:$H$3684)," ")</f>
        <v xml:space="preserve"> </v>
      </c>
      <c r="L122" s="556" t="str" cm="1">
        <f t="array" aca="1" ref="L122" ca="1">_xlfn.SWITCH(E122,J122,"District Price",K122,"State Price","Other/User Input/Override")</f>
        <v>District Price</v>
      </c>
    </row>
    <row r="123" spans="1:12">
      <c r="A123" s="110" t="str">
        <f t="array" aca="1" ref="A123" ca="1">IFERROR(INDEX(OUTPUT!$A$9:'OUTPUT'!$A$247,SMALL(IF(OUTPUT!$F$9:$F$247&lt;&gt;0,MATCH(OUTPUT!$A$9:'OUTPUT'!$A$247,OUTPUT!$A$9:'OUTPUT'!$A$247,0)),ROWS(ProjectEstimate!A$9:A123)),1),"")</f>
        <v/>
      </c>
      <c r="B123" s="111" t="str">
        <f ca="1">_xlfn.IFNA(OFFSET(INDEX(Output[Item '#],MATCH($A123,Output[Item '#],0)),0,1)," ")</f>
        <v xml:space="preserve"> </v>
      </c>
      <c r="C123" s="111" t="str">
        <f ca="1">_xlfn.IFNA(OFFSET(INDEX(Output[Item '#],MATCH($A123,Output[Item '#],0)),0,2)," ")</f>
        <v xml:space="preserve"> </v>
      </c>
      <c r="D123" s="111" t="str">
        <f ca="1">_xlfn.IFNA(OFFSET(INDEX(Output[Item '#],MATCH($A123,Output[Item '#],0)),0,3)," ")</f>
        <v xml:space="preserve"> </v>
      </c>
      <c r="E123" s="659" t="str">
        <f ca="1">_xlfn.IFNA(OFFSET(INDEX(Output[Item '#],MATCH($A123,Output[Item '#],0)),0,4)," ")</f>
        <v xml:space="preserve"> </v>
      </c>
      <c r="F123" s="659" t="str">
        <f ca="1">_xlfn.IFNA(OFFSET(INDEX(Output[Item '#],MATCH($A123,Output[Item '#],0)),0,5)," ")</f>
        <v xml:space="preserve"> </v>
      </c>
      <c r="G123" s="121"/>
      <c r="H123" s="584" t="str">
        <f ca="1">_xlfn.XLOOKUP(A123,OUTPUT!$Y$10:$Y$165,OUTPUT!$Z$10:$Z$165,"MiscItems")</f>
        <v>MiscItems</v>
      </c>
      <c r="I123" s="553" t="str">
        <f t="shared" ca="1" si="2"/>
        <v xml:space="preserve"> </v>
      </c>
      <c r="J123" s="113" t="str" cm="1">
        <f t="array" aca="1" ref="J123" ca="1">IFERROR(_xlfn.XLOOKUP($A123&amp;BasicProjectData!$G$18,PRICES!$B$2:$B$3684&amp;PRICES!$A$2:$A$3684,PRICES!$H$2:$H$3684)," ")</f>
        <v xml:space="preserve"> </v>
      </c>
      <c r="K123" s="113" t="str" cm="1">
        <f t="array" aca="1" ref="K123" ca="1">IFERROR(_xlfn.XLOOKUP($A123&amp;"All Districts",PRICES!$B$2:$B$3684&amp;PRICES!$A$2:$A$3684,PRICES!$H$2:$H$3684)," ")</f>
        <v xml:space="preserve"> </v>
      </c>
      <c r="L123" s="556" t="str" cm="1">
        <f t="array" aca="1" ref="L123" ca="1">_xlfn.SWITCH(E123,J123,"District Price",K123,"State Price","Other/User Input/Override")</f>
        <v>District Price</v>
      </c>
    </row>
    <row r="124" spans="1:12">
      <c r="A124" s="110" t="str">
        <f t="array" aca="1" ref="A124" ca="1">IFERROR(INDEX(OUTPUT!$A$9:'OUTPUT'!$A$247,SMALL(IF(OUTPUT!$F$9:$F$247&lt;&gt;0,MATCH(OUTPUT!$A$9:'OUTPUT'!$A$247,OUTPUT!$A$9:'OUTPUT'!$A$247,0)),ROWS(ProjectEstimate!A$9:A124)),1),"")</f>
        <v/>
      </c>
      <c r="B124" s="111" t="str">
        <f ca="1">_xlfn.IFNA(OFFSET(INDEX(Output[Item '#],MATCH($A124,Output[Item '#],0)),0,1)," ")</f>
        <v xml:space="preserve"> </v>
      </c>
      <c r="C124" s="111" t="str">
        <f ca="1">_xlfn.IFNA(OFFSET(INDEX(Output[Item '#],MATCH($A124,Output[Item '#],0)),0,2)," ")</f>
        <v xml:space="preserve"> </v>
      </c>
      <c r="D124" s="111" t="str">
        <f ca="1">_xlfn.IFNA(OFFSET(INDEX(Output[Item '#],MATCH($A124,Output[Item '#],0)),0,3)," ")</f>
        <v xml:space="preserve"> </v>
      </c>
      <c r="E124" s="659" t="str">
        <f ca="1">_xlfn.IFNA(OFFSET(INDEX(Output[Item '#],MATCH($A124,Output[Item '#],0)),0,4)," ")</f>
        <v xml:space="preserve"> </v>
      </c>
      <c r="F124" s="659" t="str">
        <f ca="1">_xlfn.IFNA(OFFSET(INDEX(Output[Item '#],MATCH($A124,Output[Item '#],0)),0,5)," ")</f>
        <v xml:space="preserve"> </v>
      </c>
      <c r="G124" s="121"/>
      <c r="H124" s="584" t="str">
        <f ca="1">_xlfn.XLOOKUP(A124,OUTPUT!$Y$10:$Y$165,OUTPUT!$Z$10:$Z$165,"MiscItems")</f>
        <v>MiscItems</v>
      </c>
      <c r="I124" s="553" t="str">
        <f t="shared" ca="1" si="2"/>
        <v xml:space="preserve"> </v>
      </c>
      <c r="J124" s="113" t="str" cm="1">
        <f t="array" aca="1" ref="J124" ca="1">IFERROR(_xlfn.XLOOKUP($A124&amp;BasicProjectData!$G$18,PRICES!$B$2:$B$3684&amp;PRICES!$A$2:$A$3684,PRICES!$H$2:$H$3684)," ")</f>
        <v xml:space="preserve"> </v>
      </c>
      <c r="K124" s="113" t="str" cm="1">
        <f t="array" aca="1" ref="K124" ca="1">IFERROR(_xlfn.XLOOKUP($A124&amp;"All Districts",PRICES!$B$2:$B$3684&amp;PRICES!$A$2:$A$3684,PRICES!$H$2:$H$3684)," ")</f>
        <v xml:space="preserve"> </v>
      </c>
      <c r="L124" s="556" t="str" cm="1">
        <f t="array" aca="1" ref="L124" ca="1">_xlfn.SWITCH(E124,J124,"District Price",K124,"State Price","Other/User Input/Override")</f>
        <v>District Price</v>
      </c>
    </row>
    <row r="125" spans="1:12">
      <c r="A125" s="110" t="str">
        <f t="array" aca="1" ref="A125" ca="1">IFERROR(INDEX(OUTPUT!$A$9:'OUTPUT'!$A$247,SMALL(IF(OUTPUT!$F$9:$F$247&lt;&gt;0,MATCH(OUTPUT!$A$9:'OUTPUT'!$A$247,OUTPUT!$A$9:'OUTPUT'!$A$247,0)),ROWS(ProjectEstimate!A$9:A125)),1),"")</f>
        <v/>
      </c>
      <c r="B125" s="111" t="str">
        <f ca="1">_xlfn.IFNA(OFFSET(INDEX(Output[Item '#],MATCH($A125,Output[Item '#],0)),0,1)," ")</f>
        <v xml:space="preserve"> </v>
      </c>
      <c r="C125" s="111" t="str">
        <f ca="1">_xlfn.IFNA(OFFSET(INDEX(Output[Item '#],MATCH($A125,Output[Item '#],0)),0,2)," ")</f>
        <v xml:space="preserve"> </v>
      </c>
      <c r="D125" s="111" t="str">
        <f ca="1">_xlfn.IFNA(OFFSET(INDEX(Output[Item '#],MATCH($A125,Output[Item '#],0)),0,3)," ")</f>
        <v xml:space="preserve"> </v>
      </c>
      <c r="E125" s="659" t="str">
        <f ca="1">_xlfn.IFNA(OFFSET(INDEX(Output[Item '#],MATCH($A125,Output[Item '#],0)),0,4)," ")</f>
        <v xml:space="preserve"> </v>
      </c>
      <c r="F125" s="659" t="str">
        <f ca="1">_xlfn.IFNA(OFFSET(INDEX(Output[Item '#],MATCH($A125,Output[Item '#],0)),0,5)," ")</f>
        <v xml:space="preserve"> </v>
      </c>
      <c r="G125" s="121"/>
      <c r="H125" s="584" t="str">
        <f ca="1">_xlfn.XLOOKUP(A125,OUTPUT!$Y$10:$Y$165,OUTPUT!$Z$10:$Z$165,"MiscItems")</f>
        <v>MiscItems</v>
      </c>
      <c r="I125" s="553" t="str">
        <f t="shared" ca="1" si="2"/>
        <v xml:space="preserve"> </v>
      </c>
      <c r="J125" s="113" t="str" cm="1">
        <f t="array" aca="1" ref="J125" ca="1">IFERROR(_xlfn.XLOOKUP($A125&amp;BasicProjectData!$G$18,PRICES!$B$2:$B$3684&amp;PRICES!$A$2:$A$3684,PRICES!$H$2:$H$3684)," ")</f>
        <v xml:space="preserve"> </v>
      </c>
      <c r="K125" s="113" t="str" cm="1">
        <f t="array" aca="1" ref="K125" ca="1">IFERROR(_xlfn.XLOOKUP($A125&amp;"All Districts",PRICES!$B$2:$B$3684&amp;PRICES!$A$2:$A$3684,PRICES!$H$2:$H$3684)," ")</f>
        <v xml:space="preserve"> </v>
      </c>
      <c r="L125" s="556" t="str" cm="1">
        <f t="array" aca="1" ref="L125" ca="1">_xlfn.SWITCH(E125,J125,"District Price",K125,"State Price","Other/User Input/Override")</f>
        <v>District Price</v>
      </c>
    </row>
    <row r="126" spans="1:12">
      <c r="A126" s="110" t="str">
        <f t="array" aca="1" ref="A126" ca="1">IFERROR(INDEX(OUTPUT!$A$9:'OUTPUT'!$A$247,SMALL(IF(OUTPUT!$F$9:$F$247&lt;&gt;0,MATCH(OUTPUT!$A$9:'OUTPUT'!$A$247,OUTPUT!$A$9:'OUTPUT'!$A$247,0)),ROWS(ProjectEstimate!A$9:A126)),1),"")</f>
        <v/>
      </c>
      <c r="B126" s="111" t="str">
        <f ca="1">_xlfn.IFNA(OFFSET(INDEX(Output[Item '#],MATCH($A126,Output[Item '#],0)),0,1)," ")</f>
        <v xml:space="preserve"> </v>
      </c>
      <c r="C126" s="111" t="str">
        <f ca="1">_xlfn.IFNA(OFFSET(INDEX(Output[Item '#],MATCH($A126,Output[Item '#],0)),0,2)," ")</f>
        <v xml:space="preserve"> </v>
      </c>
      <c r="D126" s="111" t="str">
        <f ca="1">_xlfn.IFNA(OFFSET(INDEX(Output[Item '#],MATCH($A126,Output[Item '#],0)),0,3)," ")</f>
        <v xml:space="preserve"> </v>
      </c>
      <c r="E126" s="659" t="str">
        <f ca="1">_xlfn.IFNA(OFFSET(INDEX(Output[Item '#],MATCH($A126,Output[Item '#],0)),0,4)," ")</f>
        <v xml:space="preserve"> </v>
      </c>
      <c r="F126" s="659" t="str">
        <f ca="1">_xlfn.IFNA(OFFSET(INDEX(Output[Item '#],MATCH($A126,Output[Item '#],0)),0,5)," ")</f>
        <v xml:space="preserve"> </v>
      </c>
      <c r="G126" s="121"/>
      <c r="H126" s="584" t="str">
        <f ca="1">_xlfn.XLOOKUP(A126,OUTPUT!$Y$10:$Y$165,OUTPUT!$Z$10:$Z$165,"MiscItems")</f>
        <v>MiscItems</v>
      </c>
      <c r="I126" s="553" t="str">
        <f t="shared" ca="1" si="2"/>
        <v xml:space="preserve"> </v>
      </c>
      <c r="J126" s="113" t="str" cm="1">
        <f t="array" aca="1" ref="J126" ca="1">IFERROR(_xlfn.XLOOKUP($A126&amp;BasicProjectData!$G$18,PRICES!$B$2:$B$3684&amp;PRICES!$A$2:$A$3684,PRICES!$H$2:$H$3684)," ")</f>
        <v xml:space="preserve"> </v>
      </c>
      <c r="K126" s="113" t="str" cm="1">
        <f t="array" aca="1" ref="K126" ca="1">IFERROR(_xlfn.XLOOKUP($A126&amp;"All Districts",PRICES!$B$2:$B$3684&amp;PRICES!$A$2:$A$3684,PRICES!$H$2:$H$3684)," ")</f>
        <v xml:space="preserve"> </v>
      </c>
      <c r="L126" s="556" t="str" cm="1">
        <f t="array" aca="1" ref="L126" ca="1">_xlfn.SWITCH(E126,J126,"District Price",K126,"State Price","Other/User Input/Override")</f>
        <v>District Price</v>
      </c>
    </row>
    <row r="127" spans="1:12">
      <c r="A127" s="110" t="str">
        <f t="array" aca="1" ref="A127" ca="1">IFERROR(INDEX(OUTPUT!$A$9:'OUTPUT'!$A$247,SMALL(IF(OUTPUT!$F$9:$F$247&lt;&gt;0,MATCH(OUTPUT!$A$9:'OUTPUT'!$A$247,OUTPUT!$A$9:'OUTPUT'!$A$247,0)),ROWS(ProjectEstimate!A$9:A127)),1),"")</f>
        <v/>
      </c>
      <c r="B127" s="111" t="str">
        <f ca="1">_xlfn.IFNA(OFFSET(INDEX(Output[Item '#],MATCH($A127,Output[Item '#],0)),0,1)," ")</f>
        <v xml:space="preserve"> </v>
      </c>
      <c r="C127" s="111" t="str">
        <f ca="1">_xlfn.IFNA(OFFSET(INDEX(Output[Item '#],MATCH($A127,Output[Item '#],0)),0,2)," ")</f>
        <v xml:space="preserve"> </v>
      </c>
      <c r="D127" s="111" t="str">
        <f ca="1">_xlfn.IFNA(OFFSET(INDEX(Output[Item '#],MATCH($A127,Output[Item '#],0)),0,3)," ")</f>
        <v xml:space="preserve"> </v>
      </c>
      <c r="E127" s="659" t="str">
        <f ca="1">_xlfn.IFNA(OFFSET(INDEX(Output[Item '#],MATCH($A127,Output[Item '#],0)),0,4)," ")</f>
        <v xml:space="preserve"> </v>
      </c>
      <c r="F127" s="659" t="str">
        <f ca="1">_xlfn.IFNA(OFFSET(INDEX(Output[Item '#],MATCH($A127,Output[Item '#],0)),0,5)," ")</f>
        <v xml:space="preserve"> </v>
      </c>
      <c r="G127" s="121"/>
      <c r="H127" s="584" t="str">
        <f ca="1">_xlfn.XLOOKUP(A127,OUTPUT!$Y$10:$Y$165,OUTPUT!$Z$10:$Z$165,"MiscItems")</f>
        <v>MiscItems</v>
      </c>
      <c r="I127" s="553" t="str">
        <f t="shared" ca="1" si="2"/>
        <v xml:space="preserve"> </v>
      </c>
      <c r="J127" s="113" t="str" cm="1">
        <f t="array" aca="1" ref="J127" ca="1">IFERROR(_xlfn.XLOOKUP($A127&amp;BasicProjectData!$G$18,PRICES!$B$2:$B$3684&amp;PRICES!$A$2:$A$3684,PRICES!$H$2:$H$3684)," ")</f>
        <v xml:space="preserve"> </v>
      </c>
      <c r="K127" s="113" t="str" cm="1">
        <f t="array" aca="1" ref="K127" ca="1">IFERROR(_xlfn.XLOOKUP($A127&amp;"All Districts",PRICES!$B$2:$B$3684&amp;PRICES!$A$2:$A$3684,PRICES!$H$2:$H$3684)," ")</f>
        <v xml:space="preserve"> </v>
      </c>
      <c r="L127" s="556" t="str" cm="1">
        <f t="array" aca="1" ref="L127" ca="1">_xlfn.SWITCH(E127,J127,"District Price",K127,"State Price","Other/User Input/Override")</f>
        <v>District Price</v>
      </c>
    </row>
    <row r="128" spans="1:12">
      <c r="A128" s="110" t="str">
        <f t="array" aca="1" ref="A128" ca="1">IFERROR(INDEX(OUTPUT!$A$9:'OUTPUT'!$A$247,SMALL(IF(OUTPUT!$F$9:$F$247&lt;&gt;0,MATCH(OUTPUT!$A$9:'OUTPUT'!$A$247,OUTPUT!$A$9:'OUTPUT'!$A$247,0)),ROWS(ProjectEstimate!A$9:A128)),1),"")</f>
        <v/>
      </c>
      <c r="B128" s="111" t="str">
        <f ca="1">_xlfn.IFNA(OFFSET(INDEX(Output[Item '#],MATCH($A128,Output[Item '#],0)),0,1)," ")</f>
        <v xml:space="preserve"> </v>
      </c>
      <c r="C128" s="111" t="str">
        <f ca="1">_xlfn.IFNA(OFFSET(INDEX(Output[Item '#],MATCH($A128,Output[Item '#],0)),0,2)," ")</f>
        <v xml:space="preserve"> </v>
      </c>
      <c r="D128" s="111" t="str">
        <f ca="1">_xlfn.IFNA(OFFSET(INDEX(Output[Item '#],MATCH($A128,Output[Item '#],0)),0,3)," ")</f>
        <v xml:space="preserve"> </v>
      </c>
      <c r="E128" s="659" t="str">
        <f ca="1">_xlfn.IFNA(OFFSET(INDEX(Output[Item '#],MATCH($A128,Output[Item '#],0)),0,4)," ")</f>
        <v xml:space="preserve"> </v>
      </c>
      <c r="F128" s="659" t="str">
        <f ca="1">_xlfn.IFNA(OFFSET(INDEX(Output[Item '#],MATCH($A128,Output[Item '#],0)),0,5)," ")</f>
        <v xml:space="preserve"> </v>
      </c>
      <c r="G128" s="121"/>
      <c r="H128" s="584" t="str">
        <f ca="1">_xlfn.XLOOKUP(A128,OUTPUT!$Y$10:$Y$165,OUTPUT!$Z$10:$Z$165,"MiscItems")</f>
        <v>MiscItems</v>
      </c>
      <c r="I128" s="553" t="str">
        <f t="shared" ca="1" si="2"/>
        <v xml:space="preserve"> </v>
      </c>
      <c r="J128" s="113" t="str" cm="1">
        <f t="array" aca="1" ref="J128" ca="1">IFERROR(_xlfn.XLOOKUP($A128&amp;BasicProjectData!$G$18,PRICES!$B$2:$B$3684&amp;PRICES!$A$2:$A$3684,PRICES!$H$2:$H$3684)," ")</f>
        <v xml:space="preserve"> </v>
      </c>
      <c r="K128" s="113" t="str" cm="1">
        <f t="array" aca="1" ref="K128" ca="1">IFERROR(_xlfn.XLOOKUP($A128&amp;"All Districts",PRICES!$B$2:$B$3684&amp;PRICES!$A$2:$A$3684,PRICES!$H$2:$H$3684)," ")</f>
        <v xml:space="preserve"> </v>
      </c>
      <c r="L128" s="556" t="str" cm="1">
        <f t="array" aca="1" ref="L128" ca="1">_xlfn.SWITCH(E128,J128,"District Price",K128,"State Price","Other/User Input/Override")</f>
        <v>District Price</v>
      </c>
    </row>
    <row r="129" spans="1:12">
      <c r="A129" s="110" t="str">
        <f t="array" aca="1" ref="A129" ca="1">IFERROR(INDEX(OUTPUT!$A$9:'OUTPUT'!$A$247,SMALL(IF(OUTPUT!$F$9:$F$247&lt;&gt;0,MATCH(OUTPUT!$A$9:'OUTPUT'!$A$247,OUTPUT!$A$9:'OUTPUT'!$A$247,0)),ROWS(ProjectEstimate!A$9:A129)),1),"")</f>
        <v/>
      </c>
      <c r="B129" s="111" t="str">
        <f ca="1">_xlfn.IFNA(OFFSET(INDEX(Output[Item '#],MATCH($A129,Output[Item '#],0)),0,1)," ")</f>
        <v xml:space="preserve"> </v>
      </c>
      <c r="C129" s="111" t="str">
        <f ca="1">_xlfn.IFNA(OFFSET(INDEX(Output[Item '#],MATCH($A129,Output[Item '#],0)),0,2)," ")</f>
        <v xml:space="preserve"> </v>
      </c>
      <c r="D129" s="111" t="str">
        <f ca="1">_xlfn.IFNA(OFFSET(INDEX(Output[Item '#],MATCH($A129,Output[Item '#],0)),0,3)," ")</f>
        <v xml:space="preserve"> </v>
      </c>
      <c r="E129" s="659" t="str">
        <f ca="1">_xlfn.IFNA(OFFSET(INDEX(Output[Item '#],MATCH($A129,Output[Item '#],0)),0,4)," ")</f>
        <v xml:space="preserve"> </v>
      </c>
      <c r="F129" s="659" t="str">
        <f ca="1">_xlfn.IFNA(OFFSET(INDEX(Output[Item '#],MATCH($A129,Output[Item '#],0)),0,5)," ")</f>
        <v xml:space="preserve"> </v>
      </c>
      <c r="G129" s="121"/>
      <c r="H129" s="584" t="str">
        <f ca="1">_xlfn.XLOOKUP(A129,OUTPUT!$Y$10:$Y$165,OUTPUT!$Z$10:$Z$165,"MiscItems")</f>
        <v>MiscItems</v>
      </c>
      <c r="I129" s="553" t="str">
        <f t="shared" ca="1" si="2"/>
        <v xml:space="preserve"> </v>
      </c>
      <c r="J129" s="113" t="str" cm="1">
        <f t="array" aca="1" ref="J129" ca="1">IFERROR(_xlfn.XLOOKUP($A129&amp;BasicProjectData!$G$18,PRICES!$B$2:$B$3684&amp;PRICES!$A$2:$A$3684,PRICES!$H$2:$H$3684)," ")</f>
        <v xml:space="preserve"> </v>
      </c>
      <c r="K129" s="113" t="str" cm="1">
        <f t="array" aca="1" ref="K129" ca="1">IFERROR(_xlfn.XLOOKUP($A129&amp;"All Districts",PRICES!$B$2:$B$3684&amp;PRICES!$A$2:$A$3684,PRICES!$H$2:$H$3684)," ")</f>
        <v xml:space="preserve"> </v>
      </c>
      <c r="L129" s="556" t="str" cm="1">
        <f t="array" aca="1" ref="L129" ca="1">_xlfn.SWITCH(E129,J129,"District Price",K129,"State Price","Other/User Input/Override")</f>
        <v>District Price</v>
      </c>
    </row>
    <row r="130" spans="1:12">
      <c r="A130" s="110" t="str">
        <f t="array" aca="1" ref="A130" ca="1">IFERROR(INDEX(OUTPUT!$A$9:'OUTPUT'!$A$247,SMALL(IF(OUTPUT!$F$9:$F$247&lt;&gt;0,MATCH(OUTPUT!$A$9:'OUTPUT'!$A$247,OUTPUT!$A$9:'OUTPUT'!$A$247,0)),ROWS(ProjectEstimate!A$9:A130)),1),"")</f>
        <v/>
      </c>
      <c r="B130" s="111" t="str">
        <f ca="1">_xlfn.IFNA(OFFSET(INDEX(Output[Item '#],MATCH($A130,Output[Item '#],0)),0,1)," ")</f>
        <v xml:space="preserve"> </v>
      </c>
      <c r="C130" s="111" t="str">
        <f ca="1">_xlfn.IFNA(OFFSET(INDEX(Output[Item '#],MATCH($A130,Output[Item '#],0)),0,2)," ")</f>
        <v xml:space="preserve"> </v>
      </c>
      <c r="D130" s="111" t="str">
        <f ca="1">_xlfn.IFNA(OFFSET(INDEX(Output[Item '#],MATCH($A130,Output[Item '#],0)),0,3)," ")</f>
        <v xml:space="preserve"> </v>
      </c>
      <c r="E130" s="659" t="str">
        <f ca="1">_xlfn.IFNA(OFFSET(INDEX(Output[Item '#],MATCH($A130,Output[Item '#],0)),0,4)," ")</f>
        <v xml:space="preserve"> </v>
      </c>
      <c r="F130" s="659" t="str">
        <f ca="1">_xlfn.IFNA(OFFSET(INDEX(Output[Item '#],MATCH($A130,Output[Item '#],0)),0,5)," ")</f>
        <v xml:space="preserve"> </v>
      </c>
      <c r="G130" s="121"/>
      <c r="H130" s="584" t="str">
        <f ca="1">_xlfn.XLOOKUP(A130,OUTPUT!$Y$10:$Y$165,OUTPUT!$Z$10:$Z$165,"MiscItems")</f>
        <v>MiscItems</v>
      </c>
      <c r="I130" s="553" t="str">
        <f t="shared" ca="1" si="2"/>
        <v xml:space="preserve"> </v>
      </c>
      <c r="J130" s="113" t="str" cm="1">
        <f t="array" aca="1" ref="J130" ca="1">IFERROR(_xlfn.XLOOKUP($A130&amp;BasicProjectData!$G$18,PRICES!$B$2:$B$3684&amp;PRICES!$A$2:$A$3684,PRICES!$H$2:$H$3684)," ")</f>
        <v xml:space="preserve"> </v>
      </c>
      <c r="K130" s="113" t="str" cm="1">
        <f t="array" aca="1" ref="K130" ca="1">IFERROR(_xlfn.XLOOKUP($A130&amp;"All Districts",PRICES!$B$2:$B$3684&amp;PRICES!$A$2:$A$3684,PRICES!$H$2:$H$3684)," ")</f>
        <v xml:space="preserve"> </v>
      </c>
      <c r="L130" s="556" t="str" cm="1">
        <f t="array" aca="1" ref="L130" ca="1">_xlfn.SWITCH(E130,J130,"District Price",K130,"State Price","Other/User Input/Override")</f>
        <v>District Price</v>
      </c>
    </row>
    <row r="131" spans="1:12">
      <c r="A131" s="110" t="str">
        <f t="array" aca="1" ref="A131" ca="1">IFERROR(INDEX(OUTPUT!$A$9:'OUTPUT'!$A$247,SMALL(IF(OUTPUT!$F$9:$F$247&lt;&gt;0,MATCH(OUTPUT!$A$9:'OUTPUT'!$A$247,OUTPUT!$A$9:'OUTPUT'!$A$247,0)),ROWS(ProjectEstimate!A$9:A131)),1),"")</f>
        <v/>
      </c>
      <c r="B131" s="111" t="str">
        <f ca="1">_xlfn.IFNA(OFFSET(INDEX(Output[Item '#],MATCH($A131,Output[Item '#],0)),0,1)," ")</f>
        <v xml:space="preserve"> </v>
      </c>
      <c r="C131" s="111" t="str">
        <f ca="1">_xlfn.IFNA(OFFSET(INDEX(Output[Item '#],MATCH($A131,Output[Item '#],0)),0,2)," ")</f>
        <v xml:space="preserve"> </v>
      </c>
      <c r="D131" s="111" t="str">
        <f ca="1">_xlfn.IFNA(OFFSET(INDEX(Output[Item '#],MATCH($A131,Output[Item '#],0)),0,3)," ")</f>
        <v xml:space="preserve"> </v>
      </c>
      <c r="E131" s="659" t="str">
        <f ca="1">_xlfn.IFNA(OFFSET(INDEX(Output[Item '#],MATCH($A131,Output[Item '#],0)),0,4)," ")</f>
        <v xml:space="preserve"> </v>
      </c>
      <c r="F131" s="659" t="str">
        <f ca="1">_xlfn.IFNA(OFFSET(INDEX(Output[Item '#],MATCH($A131,Output[Item '#],0)),0,5)," ")</f>
        <v xml:space="preserve"> </v>
      </c>
      <c r="G131" s="121"/>
      <c r="H131" s="584" t="str">
        <f ca="1">_xlfn.XLOOKUP(A131,OUTPUT!$Y$10:$Y$165,OUTPUT!$Z$10:$Z$165,"MiscItems")</f>
        <v>MiscItems</v>
      </c>
      <c r="I131" s="553" t="str">
        <f t="shared" ca="1" si="2"/>
        <v xml:space="preserve"> </v>
      </c>
      <c r="J131" s="113" t="str" cm="1">
        <f t="array" aca="1" ref="J131" ca="1">IFERROR(_xlfn.XLOOKUP($A131&amp;BasicProjectData!$G$18,PRICES!$B$2:$B$3684&amp;PRICES!$A$2:$A$3684,PRICES!$H$2:$H$3684)," ")</f>
        <v xml:space="preserve"> </v>
      </c>
      <c r="K131" s="113" t="str" cm="1">
        <f t="array" aca="1" ref="K131" ca="1">IFERROR(_xlfn.XLOOKUP($A131&amp;"All Districts",PRICES!$B$2:$B$3684&amp;PRICES!$A$2:$A$3684,PRICES!$H$2:$H$3684)," ")</f>
        <v xml:space="preserve"> </v>
      </c>
      <c r="L131" s="556" t="str" cm="1">
        <f t="array" aca="1" ref="L131" ca="1">_xlfn.SWITCH(E131,J131,"District Price",K131,"State Price","Other/User Input/Override")</f>
        <v>District Price</v>
      </c>
    </row>
    <row r="132" spans="1:12">
      <c r="A132" s="110" t="str">
        <f t="array" aca="1" ref="A132" ca="1">IFERROR(INDEX(OUTPUT!$A$9:'OUTPUT'!$A$247,SMALL(IF(OUTPUT!$F$9:$F$247&lt;&gt;0,MATCH(OUTPUT!$A$9:'OUTPUT'!$A$247,OUTPUT!$A$9:'OUTPUT'!$A$247,0)),ROWS(ProjectEstimate!A$9:A132)),1),"")</f>
        <v/>
      </c>
      <c r="B132" s="111" t="str">
        <f ca="1">_xlfn.IFNA(OFFSET(INDEX(Output[Item '#],MATCH($A132,Output[Item '#],0)),0,1)," ")</f>
        <v xml:space="preserve"> </v>
      </c>
      <c r="C132" s="111" t="str">
        <f ca="1">_xlfn.IFNA(OFFSET(INDEX(Output[Item '#],MATCH($A132,Output[Item '#],0)),0,2)," ")</f>
        <v xml:space="preserve"> </v>
      </c>
      <c r="D132" s="111" t="str">
        <f ca="1">_xlfn.IFNA(OFFSET(INDEX(Output[Item '#],MATCH($A132,Output[Item '#],0)),0,3)," ")</f>
        <v xml:space="preserve"> </v>
      </c>
      <c r="E132" s="659" t="str">
        <f ca="1">_xlfn.IFNA(OFFSET(INDEX(Output[Item '#],MATCH($A132,Output[Item '#],0)),0,4)," ")</f>
        <v xml:space="preserve"> </v>
      </c>
      <c r="F132" s="659" t="str">
        <f ca="1">_xlfn.IFNA(OFFSET(INDEX(Output[Item '#],MATCH($A132,Output[Item '#],0)),0,5)," ")</f>
        <v xml:space="preserve"> </v>
      </c>
      <c r="G132" s="121"/>
      <c r="H132" s="584" t="str">
        <f ca="1">_xlfn.XLOOKUP(A132,OUTPUT!$Y$10:$Y$165,OUTPUT!$Z$10:$Z$165,"MiscItems")</f>
        <v>MiscItems</v>
      </c>
      <c r="I132" s="553" t="str">
        <f t="shared" ca="1" si="2"/>
        <v xml:space="preserve"> </v>
      </c>
      <c r="J132" s="113" t="str" cm="1">
        <f t="array" aca="1" ref="J132" ca="1">IFERROR(_xlfn.XLOOKUP($A132&amp;BasicProjectData!$G$18,PRICES!$B$2:$B$3684&amp;PRICES!$A$2:$A$3684,PRICES!$H$2:$H$3684)," ")</f>
        <v xml:space="preserve"> </v>
      </c>
      <c r="K132" s="113" t="str" cm="1">
        <f t="array" aca="1" ref="K132" ca="1">IFERROR(_xlfn.XLOOKUP($A132&amp;"All Districts",PRICES!$B$2:$B$3684&amp;PRICES!$A$2:$A$3684,PRICES!$H$2:$H$3684)," ")</f>
        <v xml:space="preserve"> </v>
      </c>
      <c r="L132" s="556" t="str" cm="1">
        <f t="array" aca="1" ref="L132" ca="1">_xlfn.SWITCH(E132,J132,"District Price",K132,"State Price","Other/User Input/Override")</f>
        <v>District Price</v>
      </c>
    </row>
    <row r="133" spans="1:12">
      <c r="A133" s="110" t="str">
        <f t="array" aca="1" ref="A133" ca="1">IFERROR(INDEX(OUTPUT!$A$9:'OUTPUT'!$A$247,SMALL(IF(OUTPUT!$F$9:$F$247&lt;&gt;0,MATCH(OUTPUT!$A$9:'OUTPUT'!$A$247,OUTPUT!$A$9:'OUTPUT'!$A$247,0)),ROWS(ProjectEstimate!A$9:A133)),1),"")</f>
        <v/>
      </c>
      <c r="B133" s="111" t="str">
        <f ca="1">_xlfn.IFNA(OFFSET(INDEX(Output[Item '#],MATCH($A133,Output[Item '#],0)),0,1)," ")</f>
        <v xml:space="preserve"> </v>
      </c>
      <c r="C133" s="111" t="str">
        <f ca="1">_xlfn.IFNA(OFFSET(INDEX(Output[Item '#],MATCH($A133,Output[Item '#],0)),0,2)," ")</f>
        <v xml:space="preserve"> </v>
      </c>
      <c r="D133" s="111" t="str">
        <f ca="1">_xlfn.IFNA(OFFSET(INDEX(Output[Item '#],MATCH($A133,Output[Item '#],0)),0,3)," ")</f>
        <v xml:space="preserve"> </v>
      </c>
      <c r="E133" s="659" t="str">
        <f ca="1">_xlfn.IFNA(OFFSET(INDEX(Output[Item '#],MATCH($A133,Output[Item '#],0)),0,4)," ")</f>
        <v xml:space="preserve"> </v>
      </c>
      <c r="F133" s="659" t="str">
        <f ca="1">_xlfn.IFNA(OFFSET(INDEX(Output[Item '#],MATCH($A133,Output[Item '#],0)),0,5)," ")</f>
        <v xml:space="preserve"> </v>
      </c>
      <c r="G133" s="121"/>
      <c r="H133" s="584" t="str">
        <f ca="1">_xlfn.XLOOKUP(A133,OUTPUT!$Y$10:$Y$165,OUTPUT!$Z$10:$Z$165,"MiscItems")</f>
        <v>MiscItems</v>
      </c>
      <c r="I133" s="553" t="str">
        <f t="shared" ca="1" si="2"/>
        <v xml:space="preserve"> </v>
      </c>
      <c r="J133" s="113" t="str" cm="1">
        <f t="array" aca="1" ref="J133" ca="1">IFERROR(_xlfn.XLOOKUP($A133&amp;BasicProjectData!$G$18,PRICES!$B$2:$B$3684&amp;PRICES!$A$2:$A$3684,PRICES!$H$2:$H$3684)," ")</f>
        <v xml:space="preserve"> </v>
      </c>
      <c r="K133" s="113" t="str" cm="1">
        <f t="array" aca="1" ref="K133" ca="1">IFERROR(_xlfn.XLOOKUP($A133&amp;"All Districts",PRICES!$B$2:$B$3684&amp;PRICES!$A$2:$A$3684,PRICES!$H$2:$H$3684)," ")</f>
        <v xml:space="preserve"> </v>
      </c>
      <c r="L133" s="556" t="str" cm="1">
        <f t="array" aca="1" ref="L133" ca="1">_xlfn.SWITCH(E133,J133,"District Price",K133,"State Price","Other/User Input/Override")</f>
        <v>District Price</v>
      </c>
    </row>
    <row r="134" spans="1:12">
      <c r="A134" s="110" t="str">
        <f t="array" aca="1" ref="A134" ca="1">IFERROR(INDEX(OUTPUT!$A$9:'OUTPUT'!$A$247,SMALL(IF(OUTPUT!$F$9:$F$247&lt;&gt;0,MATCH(OUTPUT!$A$9:'OUTPUT'!$A$247,OUTPUT!$A$9:'OUTPUT'!$A$247,0)),ROWS(ProjectEstimate!A$9:A134)),1),"")</f>
        <v/>
      </c>
      <c r="B134" s="111" t="str">
        <f ca="1">_xlfn.IFNA(OFFSET(INDEX(Output[Item '#],MATCH($A134,Output[Item '#],0)),0,1)," ")</f>
        <v xml:space="preserve"> </v>
      </c>
      <c r="C134" s="111" t="str">
        <f ca="1">_xlfn.IFNA(OFFSET(INDEX(Output[Item '#],MATCH($A134,Output[Item '#],0)),0,2)," ")</f>
        <v xml:space="preserve"> </v>
      </c>
      <c r="D134" s="111" t="str">
        <f ca="1">_xlfn.IFNA(OFFSET(INDEX(Output[Item '#],MATCH($A134,Output[Item '#],0)),0,3)," ")</f>
        <v xml:space="preserve"> </v>
      </c>
      <c r="E134" s="659" t="str">
        <f ca="1">_xlfn.IFNA(OFFSET(INDEX(Output[Item '#],MATCH($A134,Output[Item '#],0)),0,4)," ")</f>
        <v xml:space="preserve"> </v>
      </c>
      <c r="F134" s="659" t="str">
        <f ca="1">_xlfn.IFNA(OFFSET(INDEX(Output[Item '#],MATCH($A134,Output[Item '#],0)),0,5)," ")</f>
        <v xml:space="preserve"> </v>
      </c>
      <c r="G134" s="121"/>
      <c r="H134" s="584" t="str">
        <f ca="1">_xlfn.XLOOKUP(A134,OUTPUT!$Y$10:$Y$165,OUTPUT!$Z$10:$Z$165,"MiscItems")</f>
        <v>MiscItems</v>
      </c>
      <c r="I134" s="553" t="str">
        <f t="shared" ca="1" si="2"/>
        <v xml:space="preserve"> </v>
      </c>
      <c r="J134" s="113" t="str" cm="1">
        <f t="array" aca="1" ref="J134" ca="1">IFERROR(_xlfn.XLOOKUP($A134&amp;BasicProjectData!$G$18,PRICES!$B$2:$B$3684&amp;PRICES!$A$2:$A$3684,PRICES!$H$2:$H$3684)," ")</f>
        <v xml:space="preserve"> </v>
      </c>
      <c r="K134" s="113" t="str" cm="1">
        <f t="array" aca="1" ref="K134" ca="1">IFERROR(_xlfn.XLOOKUP($A134&amp;"All Districts",PRICES!$B$2:$B$3684&amp;PRICES!$A$2:$A$3684,PRICES!$H$2:$H$3684)," ")</f>
        <v xml:space="preserve"> </v>
      </c>
      <c r="L134" s="556" t="str" cm="1">
        <f t="array" aca="1" ref="L134" ca="1">_xlfn.SWITCH(E134,J134,"District Price",K134,"State Price","Other/User Input/Override")</f>
        <v>District Price</v>
      </c>
    </row>
    <row r="135" spans="1:12">
      <c r="A135" s="110" t="str">
        <f t="array" aca="1" ref="A135" ca="1">IFERROR(INDEX(OUTPUT!$A$9:'OUTPUT'!$A$247,SMALL(IF(OUTPUT!$F$9:$F$247&lt;&gt;0,MATCH(OUTPUT!$A$9:'OUTPUT'!$A$247,OUTPUT!$A$9:'OUTPUT'!$A$247,0)),ROWS(ProjectEstimate!A$9:A135)),1),"")</f>
        <v/>
      </c>
      <c r="B135" s="111" t="str">
        <f ca="1">_xlfn.IFNA(OFFSET(INDEX(Output[Item '#],MATCH($A135,Output[Item '#],0)),0,1)," ")</f>
        <v xml:space="preserve"> </v>
      </c>
      <c r="C135" s="111" t="str">
        <f ca="1">_xlfn.IFNA(OFFSET(INDEX(Output[Item '#],MATCH($A135,Output[Item '#],0)),0,2)," ")</f>
        <v xml:space="preserve"> </v>
      </c>
      <c r="D135" s="111" t="str">
        <f ca="1">_xlfn.IFNA(OFFSET(INDEX(Output[Item '#],MATCH($A135,Output[Item '#],0)),0,3)," ")</f>
        <v xml:space="preserve"> </v>
      </c>
      <c r="E135" s="659" t="str">
        <f ca="1">_xlfn.IFNA(OFFSET(INDEX(Output[Item '#],MATCH($A135,Output[Item '#],0)),0,4)," ")</f>
        <v xml:space="preserve"> </v>
      </c>
      <c r="F135" s="659" t="str">
        <f ca="1">_xlfn.IFNA(OFFSET(INDEX(Output[Item '#],MATCH($A135,Output[Item '#],0)),0,5)," ")</f>
        <v xml:space="preserve"> </v>
      </c>
      <c r="G135" s="121"/>
      <c r="H135" s="584" t="str">
        <f ca="1">_xlfn.XLOOKUP(A135,OUTPUT!$Y$10:$Y$165,OUTPUT!$Z$10:$Z$165,"MiscItems")</f>
        <v>MiscItems</v>
      </c>
      <c r="I135" s="553" t="str">
        <f t="shared" ca="1" si="2"/>
        <v xml:space="preserve"> </v>
      </c>
      <c r="J135" s="113" t="str" cm="1">
        <f t="array" aca="1" ref="J135" ca="1">IFERROR(_xlfn.XLOOKUP($A135&amp;BasicProjectData!$G$18,PRICES!$B$2:$B$3684&amp;PRICES!$A$2:$A$3684,PRICES!$H$2:$H$3684)," ")</f>
        <v xml:space="preserve"> </v>
      </c>
      <c r="K135" s="113" t="str" cm="1">
        <f t="array" aca="1" ref="K135" ca="1">IFERROR(_xlfn.XLOOKUP($A135&amp;"All Districts",PRICES!$B$2:$B$3684&amp;PRICES!$A$2:$A$3684,PRICES!$H$2:$H$3684)," ")</f>
        <v xml:space="preserve"> </v>
      </c>
      <c r="L135" s="556" t="str" cm="1">
        <f t="array" aca="1" ref="L135" ca="1">_xlfn.SWITCH(E135,J135,"District Price",K135,"State Price","Other/User Input/Override")</f>
        <v>District Price</v>
      </c>
    </row>
    <row r="136" spans="1:12">
      <c r="A136" s="110" t="str">
        <f t="array" aca="1" ref="A136" ca="1">IFERROR(INDEX(OUTPUT!$A$9:'OUTPUT'!$A$247,SMALL(IF(OUTPUT!$F$9:$F$247&lt;&gt;0,MATCH(OUTPUT!$A$9:'OUTPUT'!$A$247,OUTPUT!$A$9:'OUTPUT'!$A$247,0)),ROWS(ProjectEstimate!A$9:A136)),1),"")</f>
        <v/>
      </c>
      <c r="B136" s="111" t="str">
        <f ca="1">_xlfn.IFNA(OFFSET(INDEX(Output[Item '#],MATCH($A136,Output[Item '#],0)),0,1)," ")</f>
        <v xml:space="preserve"> </v>
      </c>
      <c r="C136" s="111" t="str">
        <f ca="1">_xlfn.IFNA(OFFSET(INDEX(Output[Item '#],MATCH($A136,Output[Item '#],0)),0,2)," ")</f>
        <v xml:space="preserve"> </v>
      </c>
      <c r="D136" s="111" t="str">
        <f ca="1">_xlfn.IFNA(OFFSET(INDEX(Output[Item '#],MATCH($A136,Output[Item '#],0)),0,3)," ")</f>
        <v xml:space="preserve"> </v>
      </c>
      <c r="E136" s="659" t="str">
        <f ca="1">_xlfn.IFNA(OFFSET(INDEX(Output[Item '#],MATCH($A136,Output[Item '#],0)),0,4)," ")</f>
        <v xml:space="preserve"> </v>
      </c>
      <c r="F136" s="659" t="str">
        <f ca="1">_xlfn.IFNA(OFFSET(INDEX(Output[Item '#],MATCH($A136,Output[Item '#],0)),0,5)," ")</f>
        <v xml:space="preserve"> </v>
      </c>
      <c r="G136" s="121"/>
      <c r="H136" s="584" t="str">
        <f ca="1">_xlfn.XLOOKUP(A136,OUTPUT!$Y$10:$Y$165,OUTPUT!$Z$10:$Z$165,"MiscItems")</f>
        <v>MiscItems</v>
      </c>
      <c r="I136" s="553" t="str">
        <f t="shared" ca="1" si="2"/>
        <v xml:space="preserve"> </v>
      </c>
      <c r="J136" s="113" t="str" cm="1">
        <f t="array" aca="1" ref="J136" ca="1">IFERROR(_xlfn.XLOOKUP($A136&amp;BasicProjectData!$G$18,PRICES!$B$2:$B$3684&amp;PRICES!$A$2:$A$3684,PRICES!$H$2:$H$3684)," ")</f>
        <v xml:space="preserve"> </v>
      </c>
      <c r="K136" s="113" t="str" cm="1">
        <f t="array" aca="1" ref="K136" ca="1">IFERROR(_xlfn.XLOOKUP($A136&amp;"All Districts",PRICES!$B$2:$B$3684&amp;PRICES!$A$2:$A$3684,PRICES!$H$2:$H$3684)," ")</f>
        <v xml:space="preserve"> </v>
      </c>
      <c r="L136" s="556" t="str" cm="1">
        <f t="array" aca="1" ref="L136" ca="1">_xlfn.SWITCH(E136,J136,"District Price",K136,"State Price","Other/User Input/Override")</f>
        <v>District Price</v>
      </c>
    </row>
    <row r="137" spans="1:12">
      <c r="A137" s="110" t="str">
        <f t="array" aca="1" ref="A137" ca="1">IFERROR(INDEX(OUTPUT!$A$9:'OUTPUT'!$A$247,SMALL(IF(OUTPUT!$F$9:$F$247&lt;&gt;0,MATCH(OUTPUT!$A$9:'OUTPUT'!$A$247,OUTPUT!$A$9:'OUTPUT'!$A$247,0)),ROWS(ProjectEstimate!A$9:A137)),1),"")</f>
        <v/>
      </c>
      <c r="B137" s="111" t="str">
        <f ca="1">_xlfn.IFNA(OFFSET(INDEX(Output[Item '#],MATCH($A137,Output[Item '#],0)),0,1)," ")</f>
        <v xml:space="preserve"> </v>
      </c>
      <c r="C137" s="111" t="str">
        <f ca="1">_xlfn.IFNA(OFFSET(INDEX(Output[Item '#],MATCH($A137,Output[Item '#],0)),0,2)," ")</f>
        <v xml:space="preserve"> </v>
      </c>
      <c r="D137" s="111" t="str">
        <f ca="1">_xlfn.IFNA(OFFSET(INDEX(Output[Item '#],MATCH($A137,Output[Item '#],0)),0,3)," ")</f>
        <v xml:space="preserve"> </v>
      </c>
      <c r="E137" s="659" t="str">
        <f ca="1">_xlfn.IFNA(OFFSET(INDEX(Output[Item '#],MATCH($A137,Output[Item '#],0)),0,4)," ")</f>
        <v xml:space="preserve"> </v>
      </c>
      <c r="F137" s="659" t="str">
        <f ca="1">_xlfn.IFNA(OFFSET(INDEX(Output[Item '#],MATCH($A137,Output[Item '#],0)),0,5)," ")</f>
        <v xml:space="preserve"> </v>
      </c>
      <c r="G137" s="121"/>
      <c r="H137" s="584" t="str">
        <f ca="1">_xlfn.XLOOKUP(A137,OUTPUT!$Y$10:$Y$165,OUTPUT!$Z$10:$Z$165,"MiscItems")</f>
        <v>MiscItems</v>
      </c>
      <c r="I137" s="553" t="str">
        <f t="shared" ca="1" si="2"/>
        <v xml:space="preserve"> </v>
      </c>
      <c r="J137" s="113" t="str" cm="1">
        <f t="array" aca="1" ref="J137" ca="1">IFERROR(_xlfn.XLOOKUP($A137&amp;BasicProjectData!$G$18,PRICES!$B$2:$B$3684&amp;PRICES!$A$2:$A$3684,PRICES!$H$2:$H$3684)," ")</f>
        <v xml:space="preserve"> </v>
      </c>
      <c r="K137" s="113" t="str" cm="1">
        <f t="array" aca="1" ref="K137" ca="1">IFERROR(_xlfn.XLOOKUP($A137&amp;"All Districts",PRICES!$B$2:$B$3684&amp;PRICES!$A$2:$A$3684,PRICES!$H$2:$H$3684)," ")</f>
        <v xml:space="preserve"> </v>
      </c>
      <c r="L137" s="556" t="str" cm="1">
        <f t="array" aca="1" ref="L137" ca="1">_xlfn.SWITCH(E137,J137,"District Price",K137,"State Price","Other/User Input/Override")</f>
        <v>District Price</v>
      </c>
    </row>
    <row r="138" spans="1:12">
      <c r="A138" s="110" t="str">
        <f t="array" aca="1" ref="A138" ca="1">IFERROR(INDEX(OUTPUT!$A$9:'OUTPUT'!$A$247,SMALL(IF(OUTPUT!$F$9:$F$247&lt;&gt;0,MATCH(OUTPUT!$A$9:'OUTPUT'!$A$247,OUTPUT!$A$9:'OUTPUT'!$A$247,0)),ROWS(ProjectEstimate!A$9:A138)),1),"")</f>
        <v/>
      </c>
      <c r="B138" s="111" t="str">
        <f ca="1">_xlfn.IFNA(OFFSET(INDEX(Output[Item '#],MATCH($A138,Output[Item '#],0)),0,1)," ")</f>
        <v xml:space="preserve"> </v>
      </c>
      <c r="C138" s="111" t="str">
        <f ca="1">_xlfn.IFNA(OFFSET(INDEX(Output[Item '#],MATCH($A138,Output[Item '#],0)),0,2)," ")</f>
        <v xml:space="preserve"> </v>
      </c>
      <c r="D138" s="111" t="str">
        <f ca="1">_xlfn.IFNA(OFFSET(INDEX(Output[Item '#],MATCH($A138,Output[Item '#],0)),0,3)," ")</f>
        <v xml:space="preserve"> </v>
      </c>
      <c r="E138" s="659" t="str">
        <f ca="1">_xlfn.IFNA(OFFSET(INDEX(Output[Item '#],MATCH($A138,Output[Item '#],0)),0,4)," ")</f>
        <v xml:space="preserve"> </v>
      </c>
      <c r="F138" s="659" t="str">
        <f ca="1">_xlfn.IFNA(OFFSET(INDEX(Output[Item '#],MATCH($A138,Output[Item '#],0)),0,5)," ")</f>
        <v xml:space="preserve"> </v>
      </c>
      <c r="G138" s="121"/>
      <c r="H138" s="584" t="str">
        <f ca="1">_xlfn.XLOOKUP(A138,OUTPUT!$Y$10:$Y$165,OUTPUT!$Z$10:$Z$165,"MiscItems")</f>
        <v>MiscItems</v>
      </c>
      <c r="I138" s="553" t="str">
        <f t="shared" ca="1" si="2"/>
        <v xml:space="preserve"> </v>
      </c>
      <c r="J138" s="113" t="str" cm="1">
        <f t="array" aca="1" ref="J138" ca="1">IFERROR(_xlfn.XLOOKUP($A138&amp;BasicProjectData!$G$18,PRICES!$B$2:$B$3684&amp;PRICES!$A$2:$A$3684,PRICES!$H$2:$H$3684)," ")</f>
        <v xml:space="preserve"> </v>
      </c>
      <c r="K138" s="113" t="str" cm="1">
        <f t="array" aca="1" ref="K138" ca="1">IFERROR(_xlfn.XLOOKUP($A138&amp;"All Districts",PRICES!$B$2:$B$3684&amp;PRICES!$A$2:$A$3684,PRICES!$H$2:$H$3684)," ")</f>
        <v xml:space="preserve"> </v>
      </c>
      <c r="L138" s="556" t="str" cm="1">
        <f t="array" aca="1" ref="L138" ca="1">_xlfn.SWITCH(E138,J138,"District Price",K138,"State Price","Other/User Input/Override")</f>
        <v>District Price</v>
      </c>
    </row>
    <row r="139" spans="1:12">
      <c r="A139" s="110" t="str">
        <f t="array" aca="1" ref="A139" ca="1">IFERROR(INDEX(OUTPUT!$A$9:'OUTPUT'!$A$247,SMALL(IF(OUTPUT!$F$9:$F$247&lt;&gt;0,MATCH(OUTPUT!$A$9:'OUTPUT'!$A$247,OUTPUT!$A$9:'OUTPUT'!$A$247,0)),ROWS(ProjectEstimate!A$9:A139)),1),"")</f>
        <v/>
      </c>
      <c r="B139" s="111" t="str">
        <f ca="1">_xlfn.IFNA(OFFSET(INDEX(Output[Item '#],MATCH($A139,Output[Item '#],0)),0,1)," ")</f>
        <v xml:space="preserve"> </v>
      </c>
      <c r="C139" s="111" t="str">
        <f ca="1">_xlfn.IFNA(OFFSET(INDEX(Output[Item '#],MATCH($A139,Output[Item '#],0)),0,2)," ")</f>
        <v xml:space="preserve"> </v>
      </c>
      <c r="D139" s="111" t="str">
        <f ca="1">_xlfn.IFNA(OFFSET(INDEX(Output[Item '#],MATCH($A139,Output[Item '#],0)),0,3)," ")</f>
        <v xml:space="preserve"> </v>
      </c>
      <c r="E139" s="659" t="str">
        <f ca="1">_xlfn.IFNA(OFFSET(INDEX(Output[Item '#],MATCH($A139,Output[Item '#],0)),0,4)," ")</f>
        <v xml:space="preserve"> </v>
      </c>
      <c r="F139" s="659" t="str">
        <f ca="1">_xlfn.IFNA(OFFSET(INDEX(Output[Item '#],MATCH($A139,Output[Item '#],0)),0,5)," ")</f>
        <v xml:space="preserve"> </v>
      </c>
      <c r="G139" s="121"/>
      <c r="H139" s="584" t="str">
        <f ca="1">_xlfn.XLOOKUP(A139,OUTPUT!$Y$10:$Y$165,OUTPUT!$Z$10:$Z$165,"MiscItems")</f>
        <v>MiscItems</v>
      </c>
      <c r="I139" s="553" t="str">
        <f t="shared" ca="1" si="2"/>
        <v xml:space="preserve"> </v>
      </c>
      <c r="J139" s="113" t="str" cm="1">
        <f t="array" aca="1" ref="J139" ca="1">IFERROR(_xlfn.XLOOKUP($A139&amp;BasicProjectData!$G$18,PRICES!$B$2:$B$3684&amp;PRICES!$A$2:$A$3684,PRICES!$H$2:$H$3684)," ")</f>
        <v xml:space="preserve"> </v>
      </c>
      <c r="K139" s="113" t="str" cm="1">
        <f t="array" aca="1" ref="K139" ca="1">IFERROR(_xlfn.XLOOKUP($A139&amp;"All Districts",PRICES!$B$2:$B$3684&amp;PRICES!$A$2:$A$3684,PRICES!$H$2:$H$3684)," ")</f>
        <v xml:space="preserve"> </v>
      </c>
      <c r="L139" s="556" t="str" cm="1">
        <f t="array" aca="1" ref="L139" ca="1">_xlfn.SWITCH(E139,J139,"District Price",K139,"State Price","Other/User Input/Override")</f>
        <v>District Price</v>
      </c>
    </row>
    <row r="140" spans="1:12">
      <c r="A140" s="110" t="str">
        <f t="array" aca="1" ref="A140" ca="1">IFERROR(INDEX(OUTPUT!$A$9:'OUTPUT'!$A$247,SMALL(IF(OUTPUT!$F$9:$F$247&lt;&gt;0,MATCH(OUTPUT!$A$9:'OUTPUT'!$A$247,OUTPUT!$A$9:'OUTPUT'!$A$247,0)),ROWS(ProjectEstimate!A$9:A140)),1),"")</f>
        <v/>
      </c>
      <c r="B140" s="111" t="str">
        <f ca="1">_xlfn.IFNA(OFFSET(INDEX(Output[Item '#],MATCH($A140,Output[Item '#],0)),0,1)," ")</f>
        <v xml:space="preserve"> </v>
      </c>
      <c r="C140" s="111" t="str">
        <f ca="1">_xlfn.IFNA(OFFSET(INDEX(Output[Item '#],MATCH($A140,Output[Item '#],0)),0,2)," ")</f>
        <v xml:space="preserve"> </v>
      </c>
      <c r="D140" s="111" t="str">
        <f ca="1">_xlfn.IFNA(OFFSET(INDEX(Output[Item '#],MATCH($A140,Output[Item '#],0)),0,3)," ")</f>
        <v xml:space="preserve"> </v>
      </c>
      <c r="E140" s="659" t="str">
        <f ca="1">_xlfn.IFNA(OFFSET(INDEX(Output[Item '#],MATCH($A140,Output[Item '#],0)),0,4)," ")</f>
        <v xml:space="preserve"> </v>
      </c>
      <c r="F140" s="659" t="str">
        <f ca="1">_xlfn.IFNA(OFFSET(INDEX(Output[Item '#],MATCH($A140,Output[Item '#],0)),0,5)," ")</f>
        <v xml:space="preserve"> </v>
      </c>
      <c r="G140" s="121"/>
      <c r="H140" s="584" t="str">
        <f ca="1">_xlfn.XLOOKUP(A140,OUTPUT!$Y$10:$Y$165,OUTPUT!$Z$10:$Z$165,"MiscItems")</f>
        <v>MiscItems</v>
      </c>
      <c r="I140" s="553" t="str">
        <f t="shared" ca="1" si="2"/>
        <v xml:space="preserve"> </v>
      </c>
      <c r="J140" s="113" t="str" cm="1">
        <f t="array" aca="1" ref="J140" ca="1">IFERROR(_xlfn.XLOOKUP($A140&amp;BasicProjectData!$G$18,PRICES!$B$2:$B$3684&amp;PRICES!$A$2:$A$3684,PRICES!$H$2:$H$3684)," ")</f>
        <v xml:space="preserve"> </v>
      </c>
      <c r="K140" s="113" t="str" cm="1">
        <f t="array" aca="1" ref="K140" ca="1">IFERROR(_xlfn.XLOOKUP($A140&amp;"All Districts",PRICES!$B$2:$B$3684&amp;PRICES!$A$2:$A$3684,PRICES!$H$2:$H$3684)," ")</f>
        <v xml:space="preserve"> </v>
      </c>
      <c r="L140" s="556" t="str" cm="1">
        <f t="array" aca="1" ref="L140" ca="1">_xlfn.SWITCH(E140,J140,"District Price",K140,"State Price","Other/User Input/Override")</f>
        <v>District Price</v>
      </c>
    </row>
    <row r="141" spans="1:12">
      <c r="A141" s="110" t="str">
        <f t="array" aca="1" ref="A141" ca="1">IFERROR(INDEX(OUTPUT!$A$9:'OUTPUT'!$A$247,SMALL(IF(OUTPUT!$F$9:$F$247&lt;&gt;0,MATCH(OUTPUT!$A$9:'OUTPUT'!$A$247,OUTPUT!$A$9:'OUTPUT'!$A$247,0)),ROWS(ProjectEstimate!A$9:A141)),1),"")</f>
        <v/>
      </c>
      <c r="B141" s="111" t="str">
        <f ca="1">_xlfn.IFNA(OFFSET(INDEX(Output[Item '#],MATCH($A141,Output[Item '#],0)),0,1)," ")</f>
        <v xml:space="preserve"> </v>
      </c>
      <c r="C141" s="111" t="str">
        <f ca="1">_xlfn.IFNA(OFFSET(INDEX(Output[Item '#],MATCH($A141,Output[Item '#],0)),0,2)," ")</f>
        <v xml:space="preserve"> </v>
      </c>
      <c r="D141" s="111" t="str">
        <f ca="1">_xlfn.IFNA(OFFSET(INDEX(Output[Item '#],MATCH($A141,Output[Item '#],0)),0,3)," ")</f>
        <v xml:space="preserve"> </v>
      </c>
      <c r="E141" s="659" t="str">
        <f ca="1">_xlfn.IFNA(OFFSET(INDEX(Output[Item '#],MATCH($A141,Output[Item '#],0)),0,4)," ")</f>
        <v xml:space="preserve"> </v>
      </c>
      <c r="F141" s="659" t="str">
        <f ca="1">_xlfn.IFNA(OFFSET(INDEX(Output[Item '#],MATCH($A141,Output[Item '#],0)),0,5)," ")</f>
        <v xml:space="preserve"> </v>
      </c>
      <c r="G141" s="121"/>
      <c r="H141" s="584" t="str">
        <f ca="1">_xlfn.XLOOKUP(A141,OUTPUT!$Y$10:$Y$165,OUTPUT!$Z$10:$Z$165,"MiscItems")</f>
        <v>MiscItems</v>
      </c>
      <c r="I141" s="553" t="str">
        <f t="shared" ca="1" si="2"/>
        <v xml:space="preserve"> </v>
      </c>
      <c r="J141" s="113" t="str" cm="1">
        <f t="array" aca="1" ref="J141" ca="1">IFERROR(_xlfn.XLOOKUP($A141&amp;BasicProjectData!$G$18,PRICES!$B$2:$B$3684&amp;PRICES!$A$2:$A$3684,PRICES!$H$2:$H$3684)," ")</f>
        <v xml:space="preserve"> </v>
      </c>
      <c r="K141" s="113" t="str" cm="1">
        <f t="array" aca="1" ref="K141" ca="1">IFERROR(_xlfn.XLOOKUP($A141&amp;"All Districts",PRICES!$B$2:$B$3684&amp;PRICES!$A$2:$A$3684,PRICES!$H$2:$H$3684)," ")</f>
        <v xml:space="preserve"> </v>
      </c>
      <c r="L141" s="556" t="str" cm="1">
        <f t="array" aca="1" ref="L141" ca="1">_xlfn.SWITCH(E141,J141,"District Price",K141,"State Price","Other/User Input/Override")</f>
        <v>District Price</v>
      </c>
    </row>
    <row r="142" spans="1:12">
      <c r="A142" s="110" t="str">
        <f t="array" aca="1" ref="A142" ca="1">IFERROR(INDEX(OUTPUT!$A$9:'OUTPUT'!$A$247,SMALL(IF(OUTPUT!$F$9:$F$247&lt;&gt;0,MATCH(OUTPUT!$A$9:'OUTPUT'!$A$247,OUTPUT!$A$9:'OUTPUT'!$A$247,0)),ROWS(ProjectEstimate!A$9:A142)),1),"")</f>
        <v/>
      </c>
      <c r="B142" s="111" t="str">
        <f ca="1">_xlfn.IFNA(OFFSET(INDEX(Output[Item '#],MATCH($A142,Output[Item '#],0)),0,1)," ")</f>
        <v xml:space="preserve"> </v>
      </c>
      <c r="C142" s="111" t="str">
        <f ca="1">_xlfn.IFNA(OFFSET(INDEX(Output[Item '#],MATCH($A142,Output[Item '#],0)),0,2)," ")</f>
        <v xml:space="preserve"> </v>
      </c>
      <c r="D142" s="111" t="str">
        <f ca="1">_xlfn.IFNA(OFFSET(INDEX(Output[Item '#],MATCH($A142,Output[Item '#],0)),0,3)," ")</f>
        <v xml:space="preserve"> </v>
      </c>
      <c r="E142" s="659" t="str">
        <f ca="1">_xlfn.IFNA(OFFSET(INDEX(Output[Item '#],MATCH($A142,Output[Item '#],0)),0,4)," ")</f>
        <v xml:space="preserve"> </v>
      </c>
      <c r="F142" s="659" t="str">
        <f ca="1">_xlfn.IFNA(OFFSET(INDEX(Output[Item '#],MATCH($A142,Output[Item '#],0)),0,5)," ")</f>
        <v xml:space="preserve"> </v>
      </c>
      <c r="G142" s="121"/>
      <c r="H142" s="584" t="str">
        <f ca="1">_xlfn.XLOOKUP(A142,OUTPUT!$Y$10:$Y$165,OUTPUT!$Z$10:$Z$165,"MiscItems")</f>
        <v>MiscItems</v>
      </c>
      <c r="I142" s="553" t="str">
        <f t="shared" ca="1" si="2"/>
        <v xml:space="preserve"> </v>
      </c>
      <c r="J142" s="113" t="str" cm="1">
        <f t="array" aca="1" ref="J142" ca="1">IFERROR(_xlfn.XLOOKUP($A142&amp;BasicProjectData!$G$18,PRICES!$B$2:$B$3684&amp;PRICES!$A$2:$A$3684,PRICES!$H$2:$H$3684)," ")</f>
        <v xml:space="preserve"> </v>
      </c>
      <c r="K142" s="113" t="str" cm="1">
        <f t="array" aca="1" ref="K142" ca="1">IFERROR(_xlfn.XLOOKUP($A142&amp;"All Districts",PRICES!$B$2:$B$3684&amp;PRICES!$A$2:$A$3684,PRICES!$H$2:$H$3684)," ")</f>
        <v xml:space="preserve"> </v>
      </c>
      <c r="L142" s="556" t="str" cm="1">
        <f t="array" aca="1" ref="L142" ca="1">_xlfn.SWITCH(E142,J142,"District Price",K142,"State Price","Other/User Input/Override")</f>
        <v>District Price</v>
      </c>
    </row>
    <row r="143" spans="1:12">
      <c r="A143" s="110" t="str">
        <f t="array" aca="1" ref="A143" ca="1">IFERROR(INDEX(OUTPUT!$A$9:'OUTPUT'!$A$247,SMALL(IF(OUTPUT!$F$9:$F$247&lt;&gt;0,MATCH(OUTPUT!$A$9:'OUTPUT'!$A$247,OUTPUT!$A$9:'OUTPUT'!$A$247,0)),ROWS(ProjectEstimate!A$9:A143)),1),"")</f>
        <v/>
      </c>
      <c r="B143" s="111" t="str">
        <f ca="1">_xlfn.IFNA(OFFSET(INDEX(Output[Item '#],MATCH($A143,Output[Item '#],0)),0,1)," ")</f>
        <v xml:space="preserve"> </v>
      </c>
      <c r="C143" s="111" t="str">
        <f ca="1">_xlfn.IFNA(OFFSET(INDEX(Output[Item '#],MATCH($A143,Output[Item '#],0)),0,2)," ")</f>
        <v xml:space="preserve"> </v>
      </c>
      <c r="D143" s="111" t="str">
        <f ca="1">_xlfn.IFNA(OFFSET(INDEX(Output[Item '#],MATCH($A143,Output[Item '#],0)),0,3)," ")</f>
        <v xml:space="preserve"> </v>
      </c>
      <c r="E143" s="659" t="str">
        <f ca="1">_xlfn.IFNA(OFFSET(INDEX(Output[Item '#],MATCH($A143,Output[Item '#],0)),0,4)," ")</f>
        <v xml:space="preserve"> </v>
      </c>
      <c r="F143" s="659" t="str">
        <f ca="1">_xlfn.IFNA(OFFSET(INDEX(Output[Item '#],MATCH($A143,Output[Item '#],0)),0,5)," ")</f>
        <v xml:space="preserve"> </v>
      </c>
      <c r="G143" s="121"/>
      <c r="H143" s="584" t="str">
        <f ca="1">_xlfn.XLOOKUP(A143,OUTPUT!$Y$10:$Y$165,OUTPUT!$Z$10:$Z$165,"MiscItems")</f>
        <v>MiscItems</v>
      </c>
      <c r="I143" s="553" t="str">
        <f t="shared" ca="1" si="2"/>
        <v xml:space="preserve"> </v>
      </c>
      <c r="J143" s="113" t="str" cm="1">
        <f t="array" aca="1" ref="J143" ca="1">IFERROR(_xlfn.XLOOKUP($A143&amp;BasicProjectData!$G$18,PRICES!$B$2:$B$3684&amp;PRICES!$A$2:$A$3684,PRICES!$H$2:$H$3684)," ")</f>
        <v xml:space="preserve"> </v>
      </c>
      <c r="K143" s="113" t="str" cm="1">
        <f t="array" aca="1" ref="K143" ca="1">IFERROR(_xlfn.XLOOKUP($A143&amp;"All Districts",PRICES!$B$2:$B$3684&amp;PRICES!$A$2:$A$3684,PRICES!$H$2:$H$3684)," ")</f>
        <v xml:space="preserve"> </v>
      </c>
      <c r="L143" s="556" t="str" cm="1">
        <f t="array" aca="1" ref="L143" ca="1">_xlfn.SWITCH(E143,J143,"District Price",K143,"State Price","Other/User Input/Override")</f>
        <v>District Price</v>
      </c>
    </row>
    <row r="144" spans="1:12">
      <c r="A144" s="110" t="str">
        <f t="array" aca="1" ref="A144" ca="1">IFERROR(INDEX(OUTPUT!$A$9:'OUTPUT'!$A$247,SMALL(IF(OUTPUT!$F$9:$F$247&lt;&gt;0,MATCH(OUTPUT!$A$9:'OUTPUT'!$A$247,OUTPUT!$A$9:'OUTPUT'!$A$247,0)),ROWS(ProjectEstimate!A$9:A144)),1),"")</f>
        <v/>
      </c>
      <c r="B144" s="111" t="str">
        <f ca="1">_xlfn.IFNA(OFFSET(INDEX(Output[Item '#],MATCH($A144,Output[Item '#],0)),0,1)," ")</f>
        <v xml:space="preserve"> </v>
      </c>
      <c r="C144" s="111" t="str">
        <f ca="1">_xlfn.IFNA(OFFSET(INDEX(Output[Item '#],MATCH($A144,Output[Item '#],0)),0,2)," ")</f>
        <v xml:space="preserve"> </v>
      </c>
      <c r="D144" s="111" t="str">
        <f ca="1">_xlfn.IFNA(OFFSET(INDEX(Output[Item '#],MATCH($A144,Output[Item '#],0)),0,3)," ")</f>
        <v xml:space="preserve"> </v>
      </c>
      <c r="E144" s="659" t="str">
        <f ca="1">_xlfn.IFNA(OFFSET(INDEX(Output[Item '#],MATCH($A144,Output[Item '#],0)),0,4)," ")</f>
        <v xml:space="preserve"> </v>
      </c>
      <c r="F144" s="659" t="str">
        <f ca="1">_xlfn.IFNA(OFFSET(INDEX(Output[Item '#],MATCH($A144,Output[Item '#],0)),0,5)," ")</f>
        <v xml:space="preserve"> </v>
      </c>
      <c r="G144" s="121"/>
      <c r="H144" s="584" t="str">
        <f ca="1">_xlfn.XLOOKUP(A144,OUTPUT!$Y$10:$Y$165,OUTPUT!$Z$10:$Z$165,"MiscItems")</f>
        <v>MiscItems</v>
      </c>
      <c r="I144" s="553" t="str">
        <f t="shared" ca="1" si="2"/>
        <v xml:space="preserve"> </v>
      </c>
      <c r="J144" s="113" t="str" cm="1">
        <f t="array" aca="1" ref="J144" ca="1">IFERROR(_xlfn.XLOOKUP($A144&amp;BasicProjectData!$G$18,PRICES!$B$2:$B$3684&amp;PRICES!$A$2:$A$3684,PRICES!$H$2:$H$3684)," ")</f>
        <v xml:space="preserve"> </v>
      </c>
      <c r="K144" s="113" t="str" cm="1">
        <f t="array" aca="1" ref="K144" ca="1">IFERROR(_xlfn.XLOOKUP($A144&amp;"All Districts",PRICES!$B$2:$B$3684&amp;PRICES!$A$2:$A$3684,PRICES!$H$2:$H$3684)," ")</f>
        <v xml:space="preserve"> </v>
      </c>
      <c r="L144" s="556" t="str" cm="1">
        <f t="array" aca="1" ref="L144" ca="1">_xlfn.SWITCH(E144,J144,"District Price",K144,"State Price","Other/User Input/Override")</f>
        <v>District Price</v>
      </c>
    </row>
    <row r="145" spans="1:12">
      <c r="A145" s="110" t="str">
        <f t="array" aca="1" ref="A145" ca="1">IFERROR(INDEX(OUTPUT!$A$9:'OUTPUT'!$A$247,SMALL(IF(OUTPUT!$F$9:$F$247&lt;&gt;0,MATCH(OUTPUT!$A$9:'OUTPUT'!$A$247,OUTPUT!$A$9:'OUTPUT'!$A$247,0)),ROWS(ProjectEstimate!A$9:A145)),1),"")</f>
        <v/>
      </c>
      <c r="B145" s="111" t="str">
        <f ca="1">_xlfn.IFNA(OFFSET(INDEX(Output[Item '#],MATCH($A145,Output[Item '#],0)),0,1)," ")</f>
        <v xml:space="preserve"> </v>
      </c>
      <c r="C145" s="111" t="str">
        <f ca="1">_xlfn.IFNA(OFFSET(INDEX(Output[Item '#],MATCH($A145,Output[Item '#],0)),0,2)," ")</f>
        <v xml:space="preserve"> </v>
      </c>
      <c r="D145" s="111" t="str">
        <f ca="1">_xlfn.IFNA(OFFSET(INDEX(Output[Item '#],MATCH($A145,Output[Item '#],0)),0,3)," ")</f>
        <v xml:space="preserve"> </v>
      </c>
      <c r="E145" s="659" t="str">
        <f ca="1">_xlfn.IFNA(OFFSET(INDEX(Output[Item '#],MATCH($A145,Output[Item '#],0)),0,4)," ")</f>
        <v xml:space="preserve"> </v>
      </c>
      <c r="F145" s="659" t="str">
        <f ca="1">_xlfn.IFNA(OFFSET(INDEX(Output[Item '#],MATCH($A145,Output[Item '#],0)),0,5)," ")</f>
        <v xml:space="preserve"> </v>
      </c>
      <c r="G145" s="121"/>
      <c r="H145" s="584" t="str">
        <f ca="1">_xlfn.XLOOKUP(A145,OUTPUT!$Y$10:$Y$165,OUTPUT!$Z$10:$Z$165,"MiscItems")</f>
        <v>MiscItems</v>
      </c>
      <c r="I145" s="553" t="str">
        <f t="shared" ref="I145:I208" ca="1" si="3">IFERROR(IF(ISNUMBER( A145),HYPERLINK("#"&amp;$H145&amp;"!A"&amp;MATCH($A145,INDIRECT($H145&amp;"!$C$1:$C$300"),0),CONCATENATE("Go to ",$A145)),HYPERLINK("#'"&amp;$H145&amp;"'!A"&amp;MATCH($A145,INDIRECT("'"&amp;$H145&amp;"'!$C$1:$C$300"),0),CONCATENATE("Go to ",$A145)))," ")</f>
        <v xml:space="preserve"> </v>
      </c>
      <c r="J145" s="113" t="str" cm="1">
        <f t="array" aca="1" ref="J145" ca="1">IFERROR(_xlfn.XLOOKUP($A145&amp;BasicProjectData!$G$18,PRICES!$B$2:$B$3684&amp;PRICES!$A$2:$A$3684,PRICES!$H$2:$H$3684)," ")</f>
        <v xml:space="preserve"> </v>
      </c>
      <c r="K145" s="113" t="str" cm="1">
        <f t="array" aca="1" ref="K145" ca="1">IFERROR(_xlfn.XLOOKUP($A145&amp;"All Districts",PRICES!$B$2:$B$3684&amp;PRICES!$A$2:$A$3684,PRICES!$H$2:$H$3684)," ")</f>
        <v xml:space="preserve"> </v>
      </c>
      <c r="L145" s="556" t="str" cm="1">
        <f t="array" aca="1" ref="L145" ca="1">_xlfn.SWITCH(E145,J145,"District Price",K145,"State Price","Other/User Input/Override")</f>
        <v>District Price</v>
      </c>
    </row>
    <row r="146" spans="1:12">
      <c r="A146" s="110" t="str">
        <f t="array" aca="1" ref="A146" ca="1">IFERROR(INDEX(OUTPUT!$A$9:'OUTPUT'!$A$247,SMALL(IF(OUTPUT!$F$9:$F$247&lt;&gt;0,MATCH(OUTPUT!$A$9:'OUTPUT'!$A$247,OUTPUT!$A$9:'OUTPUT'!$A$247,0)),ROWS(ProjectEstimate!A$9:A146)),1),"")</f>
        <v/>
      </c>
      <c r="B146" s="111" t="str">
        <f ca="1">_xlfn.IFNA(OFFSET(INDEX(Output[Item '#],MATCH($A146,Output[Item '#],0)),0,1)," ")</f>
        <v xml:space="preserve"> </v>
      </c>
      <c r="C146" s="111" t="str">
        <f ca="1">_xlfn.IFNA(OFFSET(INDEX(Output[Item '#],MATCH($A146,Output[Item '#],0)),0,2)," ")</f>
        <v xml:space="preserve"> </v>
      </c>
      <c r="D146" s="111" t="str">
        <f ca="1">_xlfn.IFNA(OFFSET(INDEX(Output[Item '#],MATCH($A146,Output[Item '#],0)),0,3)," ")</f>
        <v xml:space="preserve"> </v>
      </c>
      <c r="E146" s="659" t="str">
        <f ca="1">_xlfn.IFNA(OFFSET(INDEX(Output[Item '#],MATCH($A146,Output[Item '#],0)),0,4)," ")</f>
        <v xml:space="preserve"> </v>
      </c>
      <c r="F146" s="659" t="str">
        <f ca="1">_xlfn.IFNA(OFFSET(INDEX(Output[Item '#],MATCH($A146,Output[Item '#],0)),0,5)," ")</f>
        <v xml:space="preserve"> </v>
      </c>
      <c r="G146" s="121"/>
      <c r="H146" s="584" t="str">
        <f ca="1">_xlfn.XLOOKUP(A146,OUTPUT!$Y$10:$Y$165,OUTPUT!$Z$10:$Z$165,"MiscItems")</f>
        <v>MiscItems</v>
      </c>
      <c r="I146" s="553" t="str">
        <f t="shared" ca="1" si="3"/>
        <v xml:space="preserve"> </v>
      </c>
      <c r="J146" s="113" t="str" cm="1">
        <f t="array" aca="1" ref="J146" ca="1">IFERROR(_xlfn.XLOOKUP($A146&amp;BasicProjectData!$G$18,PRICES!$B$2:$B$3684&amp;PRICES!$A$2:$A$3684,PRICES!$H$2:$H$3684)," ")</f>
        <v xml:space="preserve"> </v>
      </c>
      <c r="K146" s="113" t="str" cm="1">
        <f t="array" aca="1" ref="K146" ca="1">IFERROR(_xlfn.XLOOKUP($A146&amp;"All Districts",PRICES!$B$2:$B$3684&amp;PRICES!$A$2:$A$3684,PRICES!$H$2:$H$3684)," ")</f>
        <v xml:space="preserve"> </v>
      </c>
      <c r="L146" s="556" t="str" cm="1">
        <f t="array" aca="1" ref="L146" ca="1">_xlfn.SWITCH(E146,J146,"District Price",K146,"State Price","Other/User Input/Override")</f>
        <v>District Price</v>
      </c>
    </row>
    <row r="147" spans="1:12" ht="15.75" customHeight="1">
      <c r="A147" s="110" t="str">
        <f t="array" aca="1" ref="A147" ca="1">IFERROR(INDEX(OUTPUT!$A$9:'OUTPUT'!$A$247,SMALL(IF(OUTPUT!$F$9:$F$247&lt;&gt;0,MATCH(OUTPUT!$A$9:'OUTPUT'!$A$247,OUTPUT!$A$9:'OUTPUT'!$A$247,0)),ROWS(ProjectEstimate!A$9:A147)),1),"")</f>
        <v/>
      </c>
      <c r="B147" s="111" t="str">
        <f ca="1">_xlfn.IFNA(OFFSET(INDEX(Output[Item '#],MATCH($A147,Output[Item '#],0)),0,1)," ")</f>
        <v xml:space="preserve"> </v>
      </c>
      <c r="C147" s="111" t="str">
        <f ca="1">_xlfn.IFNA(OFFSET(INDEX(Output[Item '#],MATCH($A147,Output[Item '#],0)),0,2)," ")</f>
        <v xml:space="preserve"> </v>
      </c>
      <c r="D147" s="111" t="str">
        <f ca="1">_xlfn.IFNA(OFFSET(INDEX(Output[Item '#],MATCH($A147,Output[Item '#],0)),0,3)," ")</f>
        <v xml:space="preserve"> </v>
      </c>
      <c r="E147" s="659" t="str">
        <f ca="1">_xlfn.IFNA(OFFSET(INDEX(Output[Item '#],MATCH($A147,Output[Item '#],0)),0,4)," ")</f>
        <v xml:space="preserve"> </v>
      </c>
      <c r="F147" s="659" t="str">
        <f ca="1">_xlfn.IFNA(OFFSET(INDEX(Output[Item '#],MATCH($A147,Output[Item '#],0)),0,5)," ")</f>
        <v xml:space="preserve"> </v>
      </c>
      <c r="G147" s="121"/>
      <c r="H147" s="584" t="str">
        <f ca="1">_xlfn.XLOOKUP(A147,OUTPUT!$Y$10:$Y$165,OUTPUT!$Z$10:$Z$165,"MiscItems")</f>
        <v>MiscItems</v>
      </c>
      <c r="I147" s="553" t="str">
        <f t="shared" ca="1" si="3"/>
        <v xml:space="preserve"> </v>
      </c>
      <c r="J147" s="113" t="str" cm="1">
        <f t="array" aca="1" ref="J147" ca="1">IFERROR(_xlfn.XLOOKUP($A147&amp;BasicProjectData!$G$18,PRICES!$B$2:$B$3684&amp;PRICES!$A$2:$A$3684,PRICES!$H$2:$H$3684)," ")</f>
        <v xml:space="preserve"> </v>
      </c>
      <c r="K147" s="113" t="str" cm="1">
        <f t="array" aca="1" ref="K147" ca="1">IFERROR(_xlfn.XLOOKUP($A147&amp;"All Districts",PRICES!$B$2:$B$3684&amp;PRICES!$A$2:$A$3684,PRICES!$H$2:$H$3684)," ")</f>
        <v xml:space="preserve"> </v>
      </c>
      <c r="L147" s="556" t="str" cm="1">
        <f t="array" aca="1" ref="L147" ca="1">_xlfn.SWITCH(E147,J147,"District Price",K147,"State Price","Other/User Input/Override")</f>
        <v>District Price</v>
      </c>
    </row>
    <row r="148" spans="1:12">
      <c r="A148" s="110" t="str">
        <f t="array" aca="1" ref="A148" ca="1">IFERROR(INDEX(OUTPUT!$A$9:'OUTPUT'!$A$247,SMALL(IF(OUTPUT!$F$9:$F$247&lt;&gt;0,MATCH(OUTPUT!$A$9:'OUTPUT'!$A$247,OUTPUT!$A$9:'OUTPUT'!$A$247,0)),ROWS(ProjectEstimate!A$9:A148)),1),"")</f>
        <v/>
      </c>
      <c r="B148" s="111" t="str">
        <f ca="1">_xlfn.IFNA(OFFSET(INDEX(Output[Item '#],MATCH($A148,Output[Item '#],0)),0,1)," ")</f>
        <v xml:space="preserve"> </v>
      </c>
      <c r="C148" s="111" t="str">
        <f ca="1">_xlfn.IFNA(OFFSET(INDEX(Output[Item '#],MATCH($A148,Output[Item '#],0)),0,2)," ")</f>
        <v xml:space="preserve"> </v>
      </c>
      <c r="D148" s="111" t="str">
        <f ca="1">_xlfn.IFNA(OFFSET(INDEX(Output[Item '#],MATCH($A148,Output[Item '#],0)),0,3)," ")</f>
        <v xml:space="preserve"> </v>
      </c>
      <c r="E148" s="659" t="str">
        <f ca="1">_xlfn.IFNA(OFFSET(INDEX(Output[Item '#],MATCH($A148,Output[Item '#],0)),0,4)," ")</f>
        <v xml:space="preserve"> </v>
      </c>
      <c r="F148" s="659" t="str">
        <f ca="1">_xlfn.IFNA(OFFSET(INDEX(Output[Item '#],MATCH($A148,Output[Item '#],0)),0,5)," ")</f>
        <v xml:space="preserve"> </v>
      </c>
      <c r="G148" s="121"/>
      <c r="H148" s="584" t="str">
        <f ca="1">_xlfn.XLOOKUP(A148,OUTPUT!$Y$10:$Y$165,OUTPUT!$Z$10:$Z$165,"MiscItems")</f>
        <v>MiscItems</v>
      </c>
      <c r="I148" s="553" t="str">
        <f t="shared" ca="1" si="3"/>
        <v xml:space="preserve"> </v>
      </c>
      <c r="J148" s="113" t="str" cm="1">
        <f t="array" aca="1" ref="J148" ca="1">IFERROR(_xlfn.XLOOKUP($A148&amp;BasicProjectData!$G$18,PRICES!$B$2:$B$3684&amp;PRICES!$A$2:$A$3684,PRICES!$H$2:$H$3684)," ")</f>
        <v xml:space="preserve"> </v>
      </c>
      <c r="K148" s="113" t="str" cm="1">
        <f t="array" aca="1" ref="K148" ca="1">IFERROR(_xlfn.XLOOKUP($A148&amp;"All Districts",PRICES!$B$2:$B$3684&amp;PRICES!$A$2:$A$3684,PRICES!$H$2:$H$3684)," ")</f>
        <v xml:space="preserve"> </v>
      </c>
      <c r="L148" s="556" t="str" cm="1">
        <f t="array" aca="1" ref="L148" ca="1">_xlfn.SWITCH(E148,J148,"District Price",K148,"State Price","Other/User Input/Override")</f>
        <v>District Price</v>
      </c>
    </row>
    <row r="149" spans="1:12">
      <c r="A149" s="110" t="str">
        <f t="array" aca="1" ref="A149" ca="1">IFERROR(INDEX(OUTPUT!$A$9:'OUTPUT'!$A$247,SMALL(IF(OUTPUT!$F$9:$F$247&lt;&gt;0,MATCH(OUTPUT!$A$9:'OUTPUT'!$A$247,OUTPUT!$A$9:'OUTPUT'!$A$247,0)),ROWS(ProjectEstimate!A$9:A149)),1),"")</f>
        <v/>
      </c>
      <c r="B149" s="111" t="str">
        <f ca="1">_xlfn.IFNA(OFFSET(INDEX(Output[Item '#],MATCH($A149,Output[Item '#],0)),0,1)," ")</f>
        <v xml:space="preserve"> </v>
      </c>
      <c r="C149" s="111" t="str">
        <f ca="1">_xlfn.IFNA(OFFSET(INDEX(Output[Item '#],MATCH($A149,Output[Item '#],0)),0,2)," ")</f>
        <v xml:space="preserve"> </v>
      </c>
      <c r="D149" s="111" t="str">
        <f ca="1">_xlfn.IFNA(OFFSET(INDEX(Output[Item '#],MATCH($A149,Output[Item '#],0)),0,3)," ")</f>
        <v xml:space="preserve"> </v>
      </c>
      <c r="E149" s="659" t="str">
        <f ca="1">_xlfn.IFNA(OFFSET(INDEX(Output[Item '#],MATCH($A149,Output[Item '#],0)),0,4)," ")</f>
        <v xml:space="preserve"> </v>
      </c>
      <c r="F149" s="659" t="str">
        <f ca="1">_xlfn.IFNA(OFFSET(INDEX(Output[Item '#],MATCH($A149,Output[Item '#],0)),0,5)," ")</f>
        <v xml:space="preserve"> </v>
      </c>
      <c r="G149" s="121"/>
      <c r="H149" s="584" t="str">
        <f ca="1">_xlfn.XLOOKUP(A149,OUTPUT!$Y$10:$Y$165,OUTPUT!$Z$10:$Z$165,"MiscItems")</f>
        <v>MiscItems</v>
      </c>
      <c r="I149" s="553" t="str">
        <f t="shared" ca="1" si="3"/>
        <v xml:space="preserve"> </v>
      </c>
      <c r="J149" s="113" t="str" cm="1">
        <f t="array" aca="1" ref="J149" ca="1">IFERROR(_xlfn.XLOOKUP($A149&amp;BasicProjectData!$G$18,PRICES!$B$2:$B$3684&amp;PRICES!$A$2:$A$3684,PRICES!$H$2:$H$3684)," ")</f>
        <v xml:space="preserve"> </v>
      </c>
      <c r="K149" s="113" t="str" cm="1">
        <f t="array" aca="1" ref="K149" ca="1">IFERROR(_xlfn.XLOOKUP($A149&amp;"All Districts",PRICES!$B$2:$B$3684&amp;PRICES!$A$2:$A$3684,PRICES!$H$2:$H$3684)," ")</f>
        <v xml:space="preserve"> </v>
      </c>
      <c r="L149" s="556" t="str" cm="1">
        <f t="array" aca="1" ref="L149" ca="1">_xlfn.SWITCH(E149,J149,"District Price",K149,"State Price","Other/User Input/Override")</f>
        <v>District Price</v>
      </c>
    </row>
    <row r="150" spans="1:12">
      <c r="A150" s="110" t="str">
        <f t="array" aca="1" ref="A150" ca="1">IFERROR(INDEX(OUTPUT!$A$9:'OUTPUT'!$A$247,SMALL(IF(OUTPUT!$F$9:$F$247&lt;&gt;0,MATCH(OUTPUT!$A$9:'OUTPUT'!$A$247,OUTPUT!$A$9:'OUTPUT'!$A$247,0)),ROWS(ProjectEstimate!A$9:A150)),1),"")</f>
        <v/>
      </c>
      <c r="B150" s="111" t="str">
        <f ca="1">_xlfn.IFNA(OFFSET(INDEX(Output[Item '#],MATCH($A150,Output[Item '#],0)),0,1)," ")</f>
        <v xml:space="preserve"> </v>
      </c>
      <c r="C150" s="111" t="str">
        <f ca="1">_xlfn.IFNA(OFFSET(INDEX(Output[Item '#],MATCH($A150,Output[Item '#],0)),0,2)," ")</f>
        <v xml:space="preserve"> </v>
      </c>
      <c r="D150" s="111" t="str">
        <f ca="1">_xlfn.IFNA(OFFSET(INDEX(Output[Item '#],MATCH($A150,Output[Item '#],0)),0,3)," ")</f>
        <v xml:space="preserve"> </v>
      </c>
      <c r="E150" s="659" t="str">
        <f ca="1">_xlfn.IFNA(OFFSET(INDEX(Output[Item '#],MATCH($A150,Output[Item '#],0)),0,4)," ")</f>
        <v xml:space="preserve"> </v>
      </c>
      <c r="F150" s="659" t="str">
        <f ca="1">_xlfn.IFNA(OFFSET(INDEX(Output[Item '#],MATCH($A150,Output[Item '#],0)),0,5)," ")</f>
        <v xml:space="preserve"> </v>
      </c>
      <c r="G150" s="121"/>
      <c r="H150" s="584" t="str">
        <f ca="1">_xlfn.XLOOKUP(A150,OUTPUT!$Y$10:$Y$165,OUTPUT!$Z$10:$Z$165,"MiscItems")</f>
        <v>MiscItems</v>
      </c>
      <c r="I150" s="553" t="str">
        <f t="shared" ca="1" si="3"/>
        <v xml:space="preserve"> </v>
      </c>
      <c r="J150" s="113" t="str" cm="1">
        <f t="array" aca="1" ref="J150" ca="1">IFERROR(_xlfn.XLOOKUP($A150&amp;BasicProjectData!$G$18,PRICES!$B$2:$B$3684&amp;PRICES!$A$2:$A$3684,PRICES!$H$2:$H$3684)," ")</f>
        <v xml:space="preserve"> </v>
      </c>
      <c r="K150" s="113" t="str" cm="1">
        <f t="array" aca="1" ref="K150" ca="1">IFERROR(_xlfn.XLOOKUP($A150&amp;"All Districts",PRICES!$B$2:$B$3684&amp;PRICES!$A$2:$A$3684,PRICES!$H$2:$H$3684)," ")</f>
        <v xml:space="preserve"> </v>
      </c>
      <c r="L150" s="556" t="str" cm="1">
        <f t="array" aca="1" ref="L150" ca="1">_xlfn.SWITCH(E150,J150,"District Price",K150,"State Price","Other/User Input/Override")</f>
        <v>District Price</v>
      </c>
    </row>
    <row r="151" spans="1:12">
      <c r="A151" s="110" t="str">
        <f t="array" aca="1" ref="A151" ca="1">IFERROR(INDEX(OUTPUT!$A$9:'OUTPUT'!$A$247,SMALL(IF(OUTPUT!$F$9:$F$247&lt;&gt;0,MATCH(OUTPUT!$A$9:'OUTPUT'!$A$247,OUTPUT!$A$9:'OUTPUT'!$A$247,0)),ROWS(ProjectEstimate!A$9:A151)),1),"")</f>
        <v/>
      </c>
      <c r="B151" s="111" t="str">
        <f ca="1">_xlfn.IFNA(OFFSET(INDEX(Output[Item '#],MATCH($A151,Output[Item '#],0)),0,1)," ")</f>
        <v xml:space="preserve"> </v>
      </c>
      <c r="C151" s="111" t="str">
        <f ca="1">_xlfn.IFNA(OFFSET(INDEX(Output[Item '#],MATCH($A151,Output[Item '#],0)),0,2)," ")</f>
        <v xml:space="preserve"> </v>
      </c>
      <c r="D151" s="111" t="str">
        <f ca="1">_xlfn.IFNA(OFFSET(INDEX(Output[Item '#],MATCH($A151,Output[Item '#],0)),0,3)," ")</f>
        <v xml:space="preserve"> </v>
      </c>
      <c r="E151" s="659" t="str">
        <f ca="1">_xlfn.IFNA(OFFSET(INDEX(Output[Item '#],MATCH($A151,Output[Item '#],0)),0,4)," ")</f>
        <v xml:space="preserve"> </v>
      </c>
      <c r="F151" s="659" t="str">
        <f ca="1">_xlfn.IFNA(OFFSET(INDEX(Output[Item '#],MATCH($A151,Output[Item '#],0)),0,5)," ")</f>
        <v xml:space="preserve"> </v>
      </c>
      <c r="G151" s="121"/>
      <c r="H151" s="584" t="str">
        <f ca="1">_xlfn.XLOOKUP(A151,OUTPUT!$Y$10:$Y$165,OUTPUT!$Z$10:$Z$165,"MiscItems")</f>
        <v>MiscItems</v>
      </c>
      <c r="I151" s="553" t="str">
        <f t="shared" ca="1" si="3"/>
        <v xml:space="preserve"> </v>
      </c>
      <c r="J151" s="113" t="str" cm="1">
        <f t="array" aca="1" ref="J151" ca="1">IFERROR(_xlfn.XLOOKUP($A151&amp;BasicProjectData!$G$18,PRICES!$B$2:$B$3684&amp;PRICES!$A$2:$A$3684,PRICES!$H$2:$H$3684)," ")</f>
        <v xml:space="preserve"> </v>
      </c>
      <c r="K151" s="113" t="str" cm="1">
        <f t="array" aca="1" ref="K151" ca="1">IFERROR(_xlfn.XLOOKUP($A151&amp;"All Districts",PRICES!$B$2:$B$3684&amp;PRICES!$A$2:$A$3684,PRICES!$H$2:$H$3684)," ")</f>
        <v xml:space="preserve"> </v>
      </c>
      <c r="L151" s="556" t="str" cm="1">
        <f t="array" aca="1" ref="L151" ca="1">_xlfn.SWITCH(E151,J151,"District Price",K151,"State Price","Other/User Input/Override")</f>
        <v>District Price</v>
      </c>
    </row>
    <row r="152" spans="1:12">
      <c r="A152" s="110" t="str">
        <f t="array" aca="1" ref="A152" ca="1">IFERROR(INDEX(OUTPUT!$A$9:'OUTPUT'!$A$247,SMALL(IF(OUTPUT!$F$9:$F$247&lt;&gt;0,MATCH(OUTPUT!$A$9:'OUTPUT'!$A$247,OUTPUT!$A$9:'OUTPUT'!$A$247,0)),ROWS(ProjectEstimate!A$9:A152)),1),"")</f>
        <v/>
      </c>
      <c r="B152" s="111" t="str">
        <f ca="1">_xlfn.IFNA(OFFSET(INDEX(Output[Item '#],MATCH($A152,Output[Item '#],0)),0,1)," ")</f>
        <v xml:space="preserve"> </v>
      </c>
      <c r="C152" s="111" t="str">
        <f ca="1">_xlfn.IFNA(OFFSET(INDEX(Output[Item '#],MATCH($A152,Output[Item '#],0)),0,2)," ")</f>
        <v xml:space="preserve"> </v>
      </c>
      <c r="D152" s="111" t="str">
        <f ca="1">_xlfn.IFNA(OFFSET(INDEX(Output[Item '#],MATCH($A152,Output[Item '#],0)),0,3)," ")</f>
        <v xml:space="preserve"> </v>
      </c>
      <c r="E152" s="659" t="str">
        <f ca="1">_xlfn.IFNA(OFFSET(INDEX(Output[Item '#],MATCH($A152,Output[Item '#],0)),0,4)," ")</f>
        <v xml:space="preserve"> </v>
      </c>
      <c r="F152" s="659" t="str">
        <f ca="1">_xlfn.IFNA(OFFSET(INDEX(Output[Item '#],MATCH($A152,Output[Item '#],0)),0,5)," ")</f>
        <v xml:space="preserve"> </v>
      </c>
      <c r="G152" s="121"/>
      <c r="H152" s="584" t="str">
        <f ca="1">_xlfn.XLOOKUP(A152,OUTPUT!$Y$10:$Y$165,OUTPUT!$Z$10:$Z$165,"MiscItems")</f>
        <v>MiscItems</v>
      </c>
      <c r="I152" s="553" t="str">
        <f t="shared" ca="1" si="3"/>
        <v xml:space="preserve"> </v>
      </c>
      <c r="J152" s="113" t="str" cm="1">
        <f t="array" aca="1" ref="J152" ca="1">IFERROR(_xlfn.XLOOKUP($A152&amp;BasicProjectData!$G$18,PRICES!$B$2:$B$3684&amp;PRICES!$A$2:$A$3684,PRICES!$H$2:$H$3684)," ")</f>
        <v xml:space="preserve"> </v>
      </c>
      <c r="K152" s="113" t="str" cm="1">
        <f t="array" aca="1" ref="K152" ca="1">IFERROR(_xlfn.XLOOKUP($A152&amp;"All Districts",PRICES!$B$2:$B$3684&amp;PRICES!$A$2:$A$3684,PRICES!$H$2:$H$3684)," ")</f>
        <v xml:space="preserve"> </v>
      </c>
      <c r="L152" s="556" t="str" cm="1">
        <f t="array" aca="1" ref="L152" ca="1">_xlfn.SWITCH(E152,J152,"District Price",K152,"State Price","Other/User Input/Override")</f>
        <v>District Price</v>
      </c>
    </row>
    <row r="153" spans="1:12">
      <c r="A153" s="110" t="str">
        <f t="array" aca="1" ref="A153" ca="1">IFERROR(INDEX(OUTPUT!$A$9:'OUTPUT'!$A$247,SMALL(IF(OUTPUT!$F$9:$F$247&lt;&gt;0,MATCH(OUTPUT!$A$9:'OUTPUT'!$A$247,OUTPUT!$A$9:'OUTPUT'!$A$247,0)),ROWS(ProjectEstimate!A$9:A153)),1),"")</f>
        <v/>
      </c>
      <c r="B153" s="111" t="str">
        <f ca="1">_xlfn.IFNA(OFFSET(INDEX(Output[Item '#],MATCH($A153,Output[Item '#],0)),0,1)," ")</f>
        <v xml:space="preserve"> </v>
      </c>
      <c r="C153" s="111" t="str">
        <f ca="1">_xlfn.IFNA(OFFSET(INDEX(Output[Item '#],MATCH($A153,Output[Item '#],0)),0,2)," ")</f>
        <v xml:space="preserve"> </v>
      </c>
      <c r="D153" s="111" t="str">
        <f ca="1">_xlfn.IFNA(OFFSET(INDEX(Output[Item '#],MATCH($A153,Output[Item '#],0)),0,3)," ")</f>
        <v xml:space="preserve"> </v>
      </c>
      <c r="E153" s="659" t="str">
        <f ca="1">_xlfn.IFNA(OFFSET(INDEX(Output[Item '#],MATCH($A153,Output[Item '#],0)),0,4)," ")</f>
        <v xml:space="preserve"> </v>
      </c>
      <c r="F153" s="659" t="str">
        <f ca="1">_xlfn.IFNA(OFFSET(INDEX(Output[Item '#],MATCH($A153,Output[Item '#],0)),0,5)," ")</f>
        <v xml:space="preserve"> </v>
      </c>
      <c r="G153" s="121"/>
      <c r="H153" s="584" t="str">
        <f ca="1">_xlfn.XLOOKUP(A153,OUTPUT!$Y$10:$Y$165,OUTPUT!$Z$10:$Z$165,"MiscItems")</f>
        <v>MiscItems</v>
      </c>
      <c r="I153" s="553" t="str">
        <f t="shared" ca="1" si="3"/>
        <v xml:space="preserve"> </v>
      </c>
      <c r="J153" s="113" t="str" cm="1">
        <f t="array" aca="1" ref="J153" ca="1">IFERROR(_xlfn.XLOOKUP($A153&amp;BasicProjectData!$G$18,PRICES!$B$2:$B$3684&amp;PRICES!$A$2:$A$3684,PRICES!$H$2:$H$3684)," ")</f>
        <v xml:space="preserve"> </v>
      </c>
      <c r="K153" s="113" t="str" cm="1">
        <f t="array" aca="1" ref="K153" ca="1">IFERROR(_xlfn.XLOOKUP($A153&amp;"All Districts",PRICES!$B$2:$B$3684&amp;PRICES!$A$2:$A$3684,PRICES!$H$2:$H$3684)," ")</f>
        <v xml:space="preserve"> </v>
      </c>
      <c r="L153" s="556" t="str" cm="1">
        <f t="array" aca="1" ref="L153" ca="1">_xlfn.SWITCH(E153,J153,"District Price",K153,"State Price","Other/User Input/Override")</f>
        <v>District Price</v>
      </c>
    </row>
    <row r="154" spans="1:12">
      <c r="A154" s="110" t="str">
        <f t="array" aca="1" ref="A154" ca="1">IFERROR(INDEX(OUTPUT!$A$9:'OUTPUT'!$A$247,SMALL(IF(OUTPUT!$F$9:$F$247&lt;&gt;0,MATCH(OUTPUT!$A$9:'OUTPUT'!$A$247,OUTPUT!$A$9:'OUTPUT'!$A$247,0)),ROWS(ProjectEstimate!A$9:A154)),1),"")</f>
        <v/>
      </c>
      <c r="B154" s="111" t="str">
        <f ca="1">_xlfn.IFNA(OFFSET(INDEX(Output[Item '#],MATCH($A154,Output[Item '#],0)),0,1)," ")</f>
        <v xml:space="preserve"> </v>
      </c>
      <c r="C154" s="111" t="str">
        <f ca="1">_xlfn.IFNA(OFFSET(INDEX(Output[Item '#],MATCH($A154,Output[Item '#],0)),0,2)," ")</f>
        <v xml:space="preserve"> </v>
      </c>
      <c r="D154" s="111" t="str">
        <f ca="1">_xlfn.IFNA(OFFSET(INDEX(Output[Item '#],MATCH($A154,Output[Item '#],0)),0,3)," ")</f>
        <v xml:space="preserve"> </v>
      </c>
      <c r="E154" s="659" t="str">
        <f ca="1">_xlfn.IFNA(OFFSET(INDEX(Output[Item '#],MATCH($A154,Output[Item '#],0)),0,4)," ")</f>
        <v xml:space="preserve"> </v>
      </c>
      <c r="F154" s="659" t="str">
        <f ca="1">_xlfn.IFNA(OFFSET(INDEX(Output[Item '#],MATCH($A154,Output[Item '#],0)),0,5)," ")</f>
        <v xml:space="preserve"> </v>
      </c>
      <c r="G154" s="121"/>
      <c r="H154" s="584" t="str">
        <f ca="1">_xlfn.XLOOKUP(A154,OUTPUT!$Y$10:$Y$165,OUTPUT!$Z$10:$Z$165,"MiscItems")</f>
        <v>MiscItems</v>
      </c>
      <c r="I154" s="553" t="str">
        <f t="shared" ca="1" si="3"/>
        <v xml:space="preserve"> </v>
      </c>
      <c r="J154" s="113" t="str" cm="1">
        <f t="array" aca="1" ref="J154" ca="1">IFERROR(_xlfn.XLOOKUP($A154&amp;BasicProjectData!$G$18,PRICES!$B$2:$B$3684&amp;PRICES!$A$2:$A$3684,PRICES!$H$2:$H$3684)," ")</f>
        <v xml:space="preserve"> </v>
      </c>
      <c r="K154" s="113" t="str" cm="1">
        <f t="array" aca="1" ref="K154" ca="1">IFERROR(_xlfn.XLOOKUP($A154&amp;"All Districts",PRICES!$B$2:$B$3684&amp;PRICES!$A$2:$A$3684,PRICES!$H$2:$H$3684)," ")</f>
        <v xml:space="preserve"> </v>
      </c>
      <c r="L154" s="556" t="str" cm="1">
        <f t="array" aca="1" ref="L154" ca="1">_xlfn.SWITCH(E154,J154,"District Price",K154,"State Price","Other/User Input/Override")</f>
        <v>District Price</v>
      </c>
    </row>
    <row r="155" spans="1:12">
      <c r="A155" s="110" t="str">
        <f t="array" aca="1" ref="A155" ca="1">IFERROR(INDEX(OUTPUT!$A$9:'OUTPUT'!$A$247,SMALL(IF(OUTPUT!$F$9:$F$247&lt;&gt;0,MATCH(OUTPUT!$A$9:'OUTPUT'!$A$247,OUTPUT!$A$9:'OUTPUT'!$A$247,0)),ROWS(ProjectEstimate!A$9:A155)),1),"")</f>
        <v/>
      </c>
      <c r="B155" s="111" t="str">
        <f ca="1">_xlfn.IFNA(OFFSET(INDEX(Output[Item '#],MATCH($A155,Output[Item '#],0)),0,1)," ")</f>
        <v xml:space="preserve"> </v>
      </c>
      <c r="C155" s="111" t="str">
        <f ca="1">_xlfn.IFNA(OFFSET(INDEX(Output[Item '#],MATCH($A155,Output[Item '#],0)),0,2)," ")</f>
        <v xml:space="preserve"> </v>
      </c>
      <c r="D155" s="111" t="str">
        <f ca="1">_xlfn.IFNA(OFFSET(INDEX(Output[Item '#],MATCH($A155,Output[Item '#],0)),0,3)," ")</f>
        <v xml:space="preserve"> </v>
      </c>
      <c r="E155" s="659" t="str">
        <f ca="1">_xlfn.IFNA(OFFSET(INDEX(Output[Item '#],MATCH($A155,Output[Item '#],0)),0,4)," ")</f>
        <v xml:space="preserve"> </v>
      </c>
      <c r="F155" s="659" t="str">
        <f ca="1">_xlfn.IFNA(OFFSET(INDEX(Output[Item '#],MATCH($A155,Output[Item '#],0)),0,5)," ")</f>
        <v xml:space="preserve"> </v>
      </c>
      <c r="G155" s="121"/>
      <c r="H155" s="584" t="str">
        <f ca="1">_xlfn.XLOOKUP(A155,OUTPUT!$Y$10:$Y$165,OUTPUT!$Z$10:$Z$165,"MiscItems")</f>
        <v>MiscItems</v>
      </c>
      <c r="I155" s="553" t="str">
        <f t="shared" ca="1" si="3"/>
        <v xml:space="preserve"> </v>
      </c>
      <c r="J155" s="113" t="str" cm="1">
        <f t="array" aca="1" ref="J155" ca="1">IFERROR(_xlfn.XLOOKUP($A155&amp;BasicProjectData!$G$18,PRICES!$B$2:$B$3684&amp;PRICES!$A$2:$A$3684,PRICES!$H$2:$H$3684)," ")</f>
        <v xml:space="preserve"> </v>
      </c>
      <c r="K155" s="113" t="str" cm="1">
        <f t="array" aca="1" ref="K155" ca="1">IFERROR(_xlfn.XLOOKUP($A155&amp;"All Districts",PRICES!$B$2:$B$3684&amp;PRICES!$A$2:$A$3684,PRICES!$H$2:$H$3684)," ")</f>
        <v xml:space="preserve"> </v>
      </c>
      <c r="L155" s="556" t="str" cm="1">
        <f t="array" aca="1" ref="L155" ca="1">_xlfn.SWITCH(E155,J155,"District Price",K155,"State Price","Other/User Input/Override")</f>
        <v>District Price</v>
      </c>
    </row>
    <row r="156" spans="1:12">
      <c r="A156" s="110" t="str">
        <f t="array" aca="1" ref="A156" ca="1">IFERROR(INDEX(OUTPUT!$A$9:'OUTPUT'!$A$247,SMALL(IF(OUTPUT!$F$9:$F$247&lt;&gt;0,MATCH(OUTPUT!$A$9:'OUTPUT'!$A$247,OUTPUT!$A$9:'OUTPUT'!$A$247,0)),ROWS(ProjectEstimate!A$9:A156)),1),"")</f>
        <v/>
      </c>
      <c r="B156" s="111" t="str">
        <f ca="1">_xlfn.IFNA(OFFSET(INDEX(Output[Item '#],MATCH($A156,Output[Item '#],0)),0,1)," ")</f>
        <v xml:space="preserve"> </v>
      </c>
      <c r="C156" s="111" t="str">
        <f ca="1">_xlfn.IFNA(OFFSET(INDEX(Output[Item '#],MATCH($A156,Output[Item '#],0)),0,2)," ")</f>
        <v xml:space="preserve"> </v>
      </c>
      <c r="D156" s="111" t="str">
        <f ca="1">_xlfn.IFNA(OFFSET(INDEX(Output[Item '#],MATCH($A156,Output[Item '#],0)),0,3)," ")</f>
        <v xml:space="preserve"> </v>
      </c>
      <c r="E156" s="659" t="str">
        <f ca="1">_xlfn.IFNA(OFFSET(INDEX(Output[Item '#],MATCH($A156,Output[Item '#],0)),0,4)," ")</f>
        <v xml:space="preserve"> </v>
      </c>
      <c r="F156" s="659" t="str">
        <f ca="1">_xlfn.IFNA(OFFSET(INDEX(Output[Item '#],MATCH($A156,Output[Item '#],0)),0,5)," ")</f>
        <v xml:space="preserve"> </v>
      </c>
      <c r="G156" s="121"/>
      <c r="H156" s="584" t="str">
        <f ca="1">_xlfn.XLOOKUP(A156,OUTPUT!$Y$10:$Y$165,OUTPUT!$Z$10:$Z$165,"MiscItems")</f>
        <v>MiscItems</v>
      </c>
      <c r="I156" s="553" t="str">
        <f t="shared" ca="1" si="3"/>
        <v xml:space="preserve"> </v>
      </c>
      <c r="J156" s="113" t="str" cm="1">
        <f t="array" aca="1" ref="J156" ca="1">IFERROR(_xlfn.XLOOKUP($A156&amp;BasicProjectData!$G$18,PRICES!$B$2:$B$3684&amp;PRICES!$A$2:$A$3684,PRICES!$H$2:$H$3684)," ")</f>
        <v xml:space="preserve"> </v>
      </c>
      <c r="K156" s="113" t="str" cm="1">
        <f t="array" aca="1" ref="K156" ca="1">IFERROR(_xlfn.XLOOKUP($A156&amp;"All Districts",PRICES!$B$2:$B$3684&amp;PRICES!$A$2:$A$3684,PRICES!$H$2:$H$3684)," ")</f>
        <v xml:space="preserve"> </v>
      </c>
      <c r="L156" s="556" t="str" cm="1">
        <f t="array" aca="1" ref="L156" ca="1">_xlfn.SWITCH(E156,J156,"District Price",K156,"State Price","Other/User Input/Override")</f>
        <v>District Price</v>
      </c>
    </row>
    <row r="157" spans="1:12">
      <c r="A157" s="110" t="str">
        <f t="array" aca="1" ref="A157" ca="1">IFERROR(INDEX(OUTPUT!$A$9:'OUTPUT'!$A$247,SMALL(IF(OUTPUT!$F$9:$F$247&lt;&gt;0,MATCH(OUTPUT!$A$9:'OUTPUT'!$A$247,OUTPUT!$A$9:'OUTPUT'!$A$247,0)),ROWS(ProjectEstimate!A$9:A157)),1),"")</f>
        <v/>
      </c>
      <c r="B157" s="111" t="str">
        <f ca="1">_xlfn.IFNA(OFFSET(INDEX(Output[Item '#],MATCH($A157,Output[Item '#],0)),0,1)," ")</f>
        <v xml:space="preserve"> </v>
      </c>
      <c r="C157" s="111" t="str">
        <f ca="1">_xlfn.IFNA(OFFSET(INDEX(Output[Item '#],MATCH($A157,Output[Item '#],0)),0,2)," ")</f>
        <v xml:space="preserve"> </v>
      </c>
      <c r="D157" s="111" t="str">
        <f ca="1">_xlfn.IFNA(OFFSET(INDEX(Output[Item '#],MATCH($A157,Output[Item '#],0)),0,3)," ")</f>
        <v xml:space="preserve"> </v>
      </c>
      <c r="E157" s="659" t="str">
        <f ca="1">_xlfn.IFNA(OFFSET(INDEX(Output[Item '#],MATCH($A157,Output[Item '#],0)),0,4)," ")</f>
        <v xml:space="preserve"> </v>
      </c>
      <c r="F157" s="659" t="str">
        <f ca="1">_xlfn.IFNA(OFFSET(INDEX(Output[Item '#],MATCH($A157,Output[Item '#],0)),0,5)," ")</f>
        <v xml:space="preserve"> </v>
      </c>
      <c r="G157" s="121"/>
      <c r="H157" s="584" t="str">
        <f ca="1">_xlfn.XLOOKUP(A157,OUTPUT!$Y$10:$Y$165,OUTPUT!$Z$10:$Z$165,"MiscItems")</f>
        <v>MiscItems</v>
      </c>
      <c r="I157" s="553" t="str">
        <f t="shared" ca="1" si="3"/>
        <v xml:space="preserve"> </v>
      </c>
      <c r="J157" s="113" t="str" cm="1">
        <f t="array" aca="1" ref="J157" ca="1">IFERROR(_xlfn.XLOOKUP($A157&amp;BasicProjectData!$G$18,PRICES!$B$2:$B$3684&amp;PRICES!$A$2:$A$3684,PRICES!$H$2:$H$3684)," ")</f>
        <v xml:space="preserve"> </v>
      </c>
      <c r="K157" s="113" t="str" cm="1">
        <f t="array" aca="1" ref="K157" ca="1">IFERROR(_xlfn.XLOOKUP($A157&amp;"All Districts",PRICES!$B$2:$B$3684&amp;PRICES!$A$2:$A$3684,PRICES!$H$2:$H$3684)," ")</f>
        <v xml:space="preserve"> </v>
      </c>
      <c r="L157" s="556" t="str" cm="1">
        <f t="array" aca="1" ref="L157" ca="1">_xlfn.SWITCH(E157,J157,"District Price",K157,"State Price","Other/User Input/Override")</f>
        <v>District Price</v>
      </c>
    </row>
    <row r="158" spans="1:12">
      <c r="A158" s="110" t="str">
        <f t="array" aca="1" ref="A158" ca="1">IFERROR(INDEX(OUTPUT!$A$9:'OUTPUT'!$A$247,SMALL(IF(OUTPUT!$F$9:$F$247&lt;&gt;0,MATCH(OUTPUT!$A$9:'OUTPUT'!$A$247,OUTPUT!$A$9:'OUTPUT'!$A$247,0)),ROWS(ProjectEstimate!A$9:A158)),1),"")</f>
        <v/>
      </c>
      <c r="B158" s="111" t="str">
        <f ca="1">_xlfn.IFNA(OFFSET(INDEX(Output[Item '#],MATCH($A158,Output[Item '#],0)),0,1)," ")</f>
        <v xml:space="preserve"> </v>
      </c>
      <c r="C158" s="111" t="str">
        <f ca="1">_xlfn.IFNA(OFFSET(INDEX(Output[Item '#],MATCH($A158,Output[Item '#],0)),0,2)," ")</f>
        <v xml:space="preserve"> </v>
      </c>
      <c r="D158" s="111" t="str">
        <f ca="1">_xlfn.IFNA(OFFSET(INDEX(Output[Item '#],MATCH($A158,Output[Item '#],0)),0,3)," ")</f>
        <v xml:space="preserve"> </v>
      </c>
      <c r="E158" s="659" t="str">
        <f ca="1">_xlfn.IFNA(OFFSET(INDEX(Output[Item '#],MATCH($A158,Output[Item '#],0)),0,4)," ")</f>
        <v xml:space="preserve"> </v>
      </c>
      <c r="F158" s="659" t="str">
        <f ca="1">_xlfn.IFNA(OFFSET(INDEX(Output[Item '#],MATCH($A158,Output[Item '#],0)),0,5)," ")</f>
        <v xml:space="preserve"> </v>
      </c>
      <c r="G158" s="121"/>
      <c r="H158" s="584" t="str">
        <f ca="1">_xlfn.XLOOKUP(A158,OUTPUT!$Y$10:$Y$165,OUTPUT!$Z$10:$Z$165,"MiscItems")</f>
        <v>MiscItems</v>
      </c>
      <c r="I158" s="553" t="str">
        <f t="shared" ca="1" si="3"/>
        <v xml:space="preserve"> </v>
      </c>
      <c r="J158" s="113" t="str" cm="1">
        <f t="array" aca="1" ref="J158" ca="1">IFERROR(_xlfn.XLOOKUP($A158&amp;BasicProjectData!$G$18,PRICES!$B$2:$B$3684&amp;PRICES!$A$2:$A$3684,PRICES!$H$2:$H$3684)," ")</f>
        <v xml:space="preserve"> </v>
      </c>
      <c r="K158" s="113" t="str" cm="1">
        <f t="array" aca="1" ref="K158" ca="1">IFERROR(_xlfn.XLOOKUP($A158&amp;"All Districts",PRICES!$B$2:$B$3684&amp;PRICES!$A$2:$A$3684,PRICES!$H$2:$H$3684)," ")</f>
        <v xml:space="preserve"> </v>
      </c>
      <c r="L158" s="556" t="str" cm="1">
        <f t="array" aca="1" ref="L158" ca="1">_xlfn.SWITCH(E158,J158,"District Price",K158,"State Price","Other/User Input/Override")</f>
        <v>District Price</v>
      </c>
    </row>
    <row r="159" spans="1:12">
      <c r="A159" s="110" t="str">
        <f t="array" aca="1" ref="A159" ca="1">IFERROR(INDEX(OUTPUT!$A$9:'OUTPUT'!$A$247,SMALL(IF(OUTPUT!$F$9:$F$247&lt;&gt;0,MATCH(OUTPUT!$A$9:'OUTPUT'!$A$247,OUTPUT!$A$9:'OUTPUT'!$A$247,0)),ROWS(ProjectEstimate!A$9:A159)),1),"")</f>
        <v/>
      </c>
      <c r="B159" s="111" t="str">
        <f ca="1">_xlfn.IFNA(OFFSET(INDEX(Output[Item '#],MATCH($A159,Output[Item '#],0)),0,1)," ")</f>
        <v xml:space="preserve"> </v>
      </c>
      <c r="C159" s="111" t="str">
        <f ca="1">_xlfn.IFNA(OFFSET(INDEX(Output[Item '#],MATCH($A159,Output[Item '#],0)),0,2)," ")</f>
        <v xml:space="preserve"> </v>
      </c>
      <c r="D159" s="111" t="str">
        <f ca="1">_xlfn.IFNA(OFFSET(INDEX(Output[Item '#],MATCH($A159,Output[Item '#],0)),0,3)," ")</f>
        <v xml:space="preserve"> </v>
      </c>
      <c r="E159" s="659" t="str">
        <f ca="1">_xlfn.IFNA(OFFSET(INDEX(Output[Item '#],MATCH($A159,Output[Item '#],0)),0,4)," ")</f>
        <v xml:space="preserve"> </v>
      </c>
      <c r="F159" s="659" t="str">
        <f ca="1">_xlfn.IFNA(OFFSET(INDEX(Output[Item '#],MATCH($A159,Output[Item '#],0)),0,5)," ")</f>
        <v xml:space="preserve"> </v>
      </c>
      <c r="G159" s="121"/>
      <c r="H159" s="584" t="str">
        <f ca="1">_xlfn.XLOOKUP(A159,OUTPUT!$Y$10:$Y$165,OUTPUT!$Z$10:$Z$165,"MiscItems")</f>
        <v>MiscItems</v>
      </c>
      <c r="I159" s="553" t="str">
        <f t="shared" ca="1" si="3"/>
        <v xml:space="preserve"> </v>
      </c>
      <c r="J159" s="113" t="str" cm="1">
        <f t="array" aca="1" ref="J159" ca="1">IFERROR(_xlfn.XLOOKUP($A159&amp;BasicProjectData!$G$18,PRICES!$B$2:$B$3684&amp;PRICES!$A$2:$A$3684,PRICES!$H$2:$H$3684)," ")</f>
        <v xml:space="preserve"> </v>
      </c>
      <c r="K159" s="113" t="str" cm="1">
        <f t="array" aca="1" ref="K159" ca="1">IFERROR(_xlfn.XLOOKUP($A159&amp;"All Districts",PRICES!$B$2:$B$3684&amp;PRICES!$A$2:$A$3684,PRICES!$H$2:$H$3684)," ")</f>
        <v xml:space="preserve"> </v>
      </c>
      <c r="L159" s="556" t="str" cm="1">
        <f t="array" aca="1" ref="L159" ca="1">_xlfn.SWITCH(E159,J159,"District Price",K159,"State Price","Other/User Input/Override")</f>
        <v>District Price</v>
      </c>
    </row>
    <row r="160" spans="1:12">
      <c r="A160" s="110" t="str">
        <f t="array" aca="1" ref="A160" ca="1">IFERROR(INDEX(OUTPUT!$A$9:'OUTPUT'!$A$247,SMALL(IF(OUTPUT!$F$9:$F$247&lt;&gt;0,MATCH(OUTPUT!$A$9:'OUTPUT'!$A$247,OUTPUT!$A$9:'OUTPUT'!$A$247,0)),ROWS(ProjectEstimate!A$9:A160)),1),"")</f>
        <v/>
      </c>
      <c r="B160" s="111" t="str">
        <f ca="1">_xlfn.IFNA(OFFSET(INDEX(Output[Item '#],MATCH($A160,Output[Item '#],0)),0,1)," ")</f>
        <v xml:space="preserve"> </v>
      </c>
      <c r="C160" s="111" t="str">
        <f ca="1">_xlfn.IFNA(OFFSET(INDEX(Output[Item '#],MATCH($A160,Output[Item '#],0)),0,2)," ")</f>
        <v xml:space="preserve"> </v>
      </c>
      <c r="D160" s="111" t="str">
        <f ca="1">_xlfn.IFNA(OFFSET(INDEX(Output[Item '#],MATCH($A160,Output[Item '#],0)),0,3)," ")</f>
        <v xml:space="preserve"> </v>
      </c>
      <c r="E160" s="659" t="str">
        <f ca="1">_xlfn.IFNA(OFFSET(INDEX(Output[Item '#],MATCH($A160,Output[Item '#],0)),0,4)," ")</f>
        <v xml:space="preserve"> </v>
      </c>
      <c r="F160" s="659" t="str">
        <f ca="1">_xlfn.IFNA(OFFSET(INDEX(Output[Item '#],MATCH($A160,Output[Item '#],0)),0,5)," ")</f>
        <v xml:space="preserve"> </v>
      </c>
      <c r="G160" s="121"/>
      <c r="H160" s="584" t="str">
        <f ca="1">_xlfn.XLOOKUP(A160,OUTPUT!$Y$10:$Y$165,OUTPUT!$Z$10:$Z$165,"MiscItems")</f>
        <v>MiscItems</v>
      </c>
      <c r="I160" s="553" t="str">
        <f t="shared" ca="1" si="3"/>
        <v xml:space="preserve"> </v>
      </c>
      <c r="J160" s="113" t="str" cm="1">
        <f t="array" aca="1" ref="J160" ca="1">IFERROR(_xlfn.XLOOKUP($A160&amp;BasicProjectData!$G$18,PRICES!$B$2:$B$3684&amp;PRICES!$A$2:$A$3684,PRICES!$H$2:$H$3684)," ")</f>
        <v xml:space="preserve"> </v>
      </c>
      <c r="K160" s="113" t="str" cm="1">
        <f t="array" aca="1" ref="K160" ca="1">IFERROR(_xlfn.XLOOKUP($A160&amp;"All Districts",PRICES!$B$2:$B$3684&amp;PRICES!$A$2:$A$3684,PRICES!$H$2:$H$3684)," ")</f>
        <v xml:space="preserve"> </v>
      </c>
      <c r="L160" s="556" t="str" cm="1">
        <f t="array" aca="1" ref="L160" ca="1">_xlfn.SWITCH(E160,J160,"District Price",K160,"State Price","Other/User Input/Override")</f>
        <v>District Price</v>
      </c>
    </row>
    <row r="161" spans="1:12">
      <c r="A161" s="110" t="str">
        <f t="array" aca="1" ref="A161" ca="1">IFERROR(INDEX(OUTPUT!$A$9:'OUTPUT'!$A$247,SMALL(IF(OUTPUT!$F$9:$F$247&lt;&gt;0,MATCH(OUTPUT!$A$9:'OUTPUT'!$A$247,OUTPUT!$A$9:'OUTPUT'!$A$247,0)),ROWS(ProjectEstimate!A$9:A161)),1),"")</f>
        <v/>
      </c>
      <c r="B161" s="111" t="str">
        <f ca="1">_xlfn.IFNA(OFFSET(INDEX(Output[Item '#],MATCH($A161,Output[Item '#],0)),0,1)," ")</f>
        <v xml:space="preserve"> </v>
      </c>
      <c r="C161" s="111" t="str">
        <f ca="1">_xlfn.IFNA(OFFSET(INDEX(Output[Item '#],MATCH($A161,Output[Item '#],0)),0,2)," ")</f>
        <v xml:space="preserve"> </v>
      </c>
      <c r="D161" s="111" t="str">
        <f ca="1">_xlfn.IFNA(OFFSET(INDEX(Output[Item '#],MATCH($A161,Output[Item '#],0)),0,3)," ")</f>
        <v xml:space="preserve"> </v>
      </c>
      <c r="E161" s="659" t="str">
        <f ca="1">_xlfn.IFNA(OFFSET(INDEX(Output[Item '#],MATCH($A161,Output[Item '#],0)),0,4)," ")</f>
        <v xml:space="preserve"> </v>
      </c>
      <c r="F161" s="659" t="str">
        <f ca="1">_xlfn.IFNA(OFFSET(INDEX(Output[Item '#],MATCH($A161,Output[Item '#],0)),0,5)," ")</f>
        <v xml:space="preserve"> </v>
      </c>
      <c r="G161" s="121"/>
      <c r="H161" s="584" t="str">
        <f ca="1">_xlfn.XLOOKUP(A161,OUTPUT!$Y$10:$Y$165,OUTPUT!$Z$10:$Z$165,"MiscItems")</f>
        <v>MiscItems</v>
      </c>
      <c r="I161" s="553" t="str">
        <f t="shared" ca="1" si="3"/>
        <v xml:space="preserve"> </v>
      </c>
      <c r="J161" s="113" t="str" cm="1">
        <f t="array" aca="1" ref="J161" ca="1">IFERROR(_xlfn.XLOOKUP($A161&amp;BasicProjectData!$G$18,PRICES!$B$2:$B$3684&amp;PRICES!$A$2:$A$3684,PRICES!$H$2:$H$3684)," ")</f>
        <v xml:space="preserve"> </v>
      </c>
      <c r="K161" s="113" t="str" cm="1">
        <f t="array" aca="1" ref="K161" ca="1">IFERROR(_xlfn.XLOOKUP($A161&amp;"All Districts",PRICES!$B$2:$B$3684&amp;PRICES!$A$2:$A$3684,PRICES!$H$2:$H$3684)," ")</f>
        <v xml:space="preserve"> </v>
      </c>
      <c r="L161" s="556" t="str" cm="1">
        <f t="array" aca="1" ref="L161" ca="1">_xlfn.SWITCH(E161,J161,"District Price",K161,"State Price","Other/User Input/Override")</f>
        <v>District Price</v>
      </c>
    </row>
    <row r="162" spans="1:12">
      <c r="A162" s="110" t="str">
        <f t="array" aca="1" ref="A162" ca="1">IFERROR(INDEX(OUTPUT!$A$9:'OUTPUT'!$A$247,SMALL(IF(OUTPUT!$F$9:$F$247&lt;&gt;0,MATCH(OUTPUT!$A$9:'OUTPUT'!$A$247,OUTPUT!$A$9:'OUTPUT'!$A$247,0)),ROWS(ProjectEstimate!A$9:A162)),1),"")</f>
        <v/>
      </c>
      <c r="B162" s="111" t="str">
        <f ca="1">_xlfn.IFNA(OFFSET(INDEX(Output[Item '#],MATCH($A162,Output[Item '#],0)),0,1)," ")</f>
        <v xml:space="preserve"> </v>
      </c>
      <c r="C162" s="111" t="str">
        <f ca="1">_xlfn.IFNA(OFFSET(INDEX(Output[Item '#],MATCH($A162,Output[Item '#],0)),0,2)," ")</f>
        <v xml:space="preserve"> </v>
      </c>
      <c r="D162" s="111" t="str">
        <f ca="1">_xlfn.IFNA(OFFSET(INDEX(Output[Item '#],MATCH($A162,Output[Item '#],0)),0,3)," ")</f>
        <v xml:space="preserve"> </v>
      </c>
      <c r="E162" s="659" t="str">
        <f ca="1">_xlfn.IFNA(OFFSET(INDEX(Output[Item '#],MATCH($A162,Output[Item '#],0)),0,4)," ")</f>
        <v xml:space="preserve"> </v>
      </c>
      <c r="F162" s="659" t="str">
        <f ca="1">_xlfn.IFNA(OFFSET(INDEX(Output[Item '#],MATCH($A162,Output[Item '#],0)),0,5)," ")</f>
        <v xml:space="preserve"> </v>
      </c>
      <c r="G162" s="121"/>
      <c r="H162" s="584" t="str">
        <f ca="1">_xlfn.XLOOKUP(A162,OUTPUT!$Y$10:$Y$165,OUTPUT!$Z$10:$Z$165,"MiscItems")</f>
        <v>MiscItems</v>
      </c>
      <c r="I162" s="553" t="str">
        <f t="shared" ca="1" si="3"/>
        <v xml:space="preserve"> </v>
      </c>
      <c r="J162" s="113" t="str" cm="1">
        <f t="array" aca="1" ref="J162" ca="1">IFERROR(_xlfn.XLOOKUP($A162&amp;BasicProjectData!$G$18,PRICES!$B$2:$B$3684&amp;PRICES!$A$2:$A$3684,PRICES!$H$2:$H$3684)," ")</f>
        <v xml:space="preserve"> </v>
      </c>
      <c r="K162" s="113" t="str" cm="1">
        <f t="array" aca="1" ref="K162" ca="1">IFERROR(_xlfn.XLOOKUP($A162&amp;"All Districts",PRICES!$B$2:$B$3684&amp;PRICES!$A$2:$A$3684,PRICES!$H$2:$H$3684)," ")</f>
        <v xml:space="preserve"> </v>
      </c>
      <c r="L162" s="556" t="str" cm="1">
        <f t="array" aca="1" ref="L162" ca="1">_xlfn.SWITCH(E162,J162,"District Price",K162,"State Price","Other/User Input/Override")</f>
        <v>District Price</v>
      </c>
    </row>
    <row r="163" spans="1:12">
      <c r="A163" s="110" t="str">
        <f t="array" aca="1" ref="A163" ca="1">IFERROR(INDEX(OUTPUT!$A$9:'OUTPUT'!$A$247,SMALL(IF(OUTPUT!$F$9:$F$247&lt;&gt;0,MATCH(OUTPUT!$A$9:'OUTPUT'!$A$247,OUTPUT!$A$9:'OUTPUT'!$A$247,0)),ROWS(ProjectEstimate!A$9:A163)),1),"")</f>
        <v/>
      </c>
      <c r="B163" s="111" t="str">
        <f ca="1">_xlfn.IFNA(OFFSET(INDEX(Output[Item '#],MATCH($A163,Output[Item '#],0)),0,1)," ")</f>
        <v xml:space="preserve"> </v>
      </c>
      <c r="C163" s="111" t="str">
        <f ca="1">_xlfn.IFNA(OFFSET(INDEX(Output[Item '#],MATCH($A163,Output[Item '#],0)),0,2)," ")</f>
        <v xml:space="preserve"> </v>
      </c>
      <c r="D163" s="111" t="str">
        <f ca="1">_xlfn.IFNA(OFFSET(INDEX(Output[Item '#],MATCH($A163,Output[Item '#],0)),0,3)," ")</f>
        <v xml:space="preserve"> </v>
      </c>
      <c r="E163" s="659" t="str">
        <f ca="1">_xlfn.IFNA(OFFSET(INDEX(Output[Item '#],MATCH($A163,Output[Item '#],0)),0,4)," ")</f>
        <v xml:space="preserve"> </v>
      </c>
      <c r="F163" s="659" t="str">
        <f ca="1">_xlfn.IFNA(OFFSET(INDEX(Output[Item '#],MATCH($A163,Output[Item '#],0)),0,5)," ")</f>
        <v xml:space="preserve"> </v>
      </c>
      <c r="G163" s="121"/>
      <c r="H163" s="584" t="str">
        <f ca="1">_xlfn.XLOOKUP(A163,OUTPUT!$Y$10:$Y$165,OUTPUT!$Z$10:$Z$165,"MiscItems")</f>
        <v>MiscItems</v>
      </c>
      <c r="I163" s="553" t="str">
        <f t="shared" ca="1" si="3"/>
        <v xml:space="preserve"> </v>
      </c>
      <c r="J163" s="113" t="str" cm="1">
        <f t="array" aca="1" ref="J163" ca="1">IFERROR(_xlfn.XLOOKUP($A163&amp;BasicProjectData!$G$18,PRICES!$B$2:$B$3684&amp;PRICES!$A$2:$A$3684,PRICES!$H$2:$H$3684)," ")</f>
        <v xml:space="preserve"> </v>
      </c>
      <c r="K163" s="113" t="str" cm="1">
        <f t="array" aca="1" ref="K163" ca="1">IFERROR(_xlfn.XLOOKUP($A163&amp;"All Districts",PRICES!$B$2:$B$3684&amp;PRICES!$A$2:$A$3684,PRICES!$H$2:$H$3684)," ")</f>
        <v xml:space="preserve"> </v>
      </c>
      <c r="L163" s="556" t="str" cm="1">
        <f t="array" aca="1" ref="L163" ca="1">_xlfn.SWITCH(E163,J163,"District Price",K163,"State Price","Other/User Input/Override")</f>
        <v>District Price</v>
      </c>
    </row>
    <row r="164" spans="1:12">
      <c r="A164" s="110" t="str">
        <f t="array" aca="1" ref="A164" ca="1">IFERROR(INDEX(OUTPUT!$A$9:'OUTPUT'!$A$247,SMALL(IF(OUTPUT!$F$9:$F$247&lt;&gt;0,MATCH(OUTPUT!$A$9:'OUTPUT'!$A$247,OUTPUT!$A$9:'OUTPUT'!$A$247,0)),ROWS(ProjectEstimate!A$9:A164)),1),"")</f>
        <v/>
      </c>
      <c r="B164" s="111" t="str">
        <f ca="1">_xlfn.IFNA(OFFSET(INDEX(Output[Item '#],MATCH($A164,Output[Item '#],0)),0,1)," ")</f>
        <v xml:space="preserve"> </v>
      </c>
      <c r="C164" s="111" t="str">
        <f ca="1">_xlfn.IFNA(OFFSET(INDEX(Output[Item '#],MATCH($A164,Output[Item '#],0)),0,2)," ")</f>
        <v xml:space="preserve"> </v>
      </c>
      <c r="D164" s="111" t="str">
        <f ca="1">_xlfn.IFNA(OFFSET(INDEX(Output[Item '#],MATCH($A164,Output[Item '#],0)),0,3)," ")</f>
        <v xml:space="preserve"> </v>
      </c>
      <c r="E164" s="659" t="str">
        <f ca="1">_xlfn.IFNA(OFFSET(INDEX(Output[Item '#],MATCH($A164,Output[Item '#],0)),0,4)," ")</f>
        <v xml:space="preserve"> </v>
      </c>
      <c r="F164" s="659" t="str">
        <f ca="1">_xlfn.IFNA(OFFSET(INDEX(Output[Item '#],MATCH($A164,Output[Item '#],0)),0,5)," ")</f>
        <v xml:space="preserve"> </v>
      </c>
      <c r="G164" s="121"/>
      <c r="H164" s="584" t="str">
        <f ca="1">_xlfn.XLOOKUP(A164,OUTPUT!$Y$10:$Y$165,OUTPUT!$Z$10:$Z$165,"MiscItems")</f>
        <v>MiscItems</v>
      </c>
      <c r="I164" s="553" t="str">
        <f t="shared" ca="1" si="3"/>
        <v xml:space="preserve"> </v>
      </c>
      <c r="J164" s="113" t="str" cm="1">
        <f t="array" aca="1" ref="J164" ca="1">IFERROR(_xlfn.XLOOKUP($A164&amp;BasicProjectData!$G$18,PRICES!$B$2:$B$3684&amp;PRICES!$A$2:$A$3684,PRICES!$H$2:$H$3684)," ")</f>
        <v xml:space="preserve"> </v>
      </c>
      <c r="K164" s="113" t="str" cm="1">
        <f t="array" aca="1" ref="K164" ca="1">IFERROR(_xlfn.XLOOKUP($A164&amp;"All Districts",PRICES!$B$2:$B$3684&amp;PRICES!$A$2:$A$3684,PRICES!$H$2:$H$3684)," ")</f>
        <v xml:space="preserve"> </v>
      </c>
      <c r="L164" s="556" t="str" cm="1">
        <f t="array" aca="1" ref="L164" ca="1">_xlfn.SWITCH(E164,J164,"District Price",K164,"State Price","Other/User Input/Override")</f>
        <v>District Price</v>
      </c>
    </row>
    <row r="165" spans="1:12">
      <c r="A165" s="110" t="str">
        <f t="array" aca="1" ref="A165" ca="1">IFERROR(INDEX(OUTPUT!$A$9:'OUTPUT'!$A$247,SMALL(IF(OUTPUT!$F$9:$F$247&lt;&gt;0,MATCH(OUTPUT!$A$9:'OUTPUT'!$A$247,OUTPUT!$A$9:'OUTPUT'!$A$247,0)),ROWS(ProjectEstimate!A$9:A165)),1),"")</f>
        <v/>
      </c>
      <c r="B165" s="111" t="str">
        <f ca="1">_xlfn.IFNA(OFFSET(INDEX(Output[Item '#],MATCH($A165,Output[Item '#],0)),0,1)," ")</f>
        <v xml:space="preserve"> </v>
      </c>
      <c r="C165" s="111" t="str">
        <f ca="1">_xlfn.IFNA(OFFSET(INDEX(Output[Item '#],MATCH($A165,Output[Item '#],0)),0,2)," ")</f>
        <v xml:space="preserve"> </v>
      </c>
      <c r="D165" s="111" t="str">
        <f ca="1">_xlfn.IFNA(OFFSET(INDEX(Output[Item '#],MATCH($A165,Output[Item '#],0)),0,3)," ")</f>
        <v xml:space="preserve"> </v>
      </c>
      <c r="E165" s="659" t="str">
        <f ca="1">_xlfn.IFNA(OFFSET(INDEX(Output[Item '#],MATCH($A165,Output[Item '#],0)),0,4)," ")</f>
        <v xml:space="preserve"> </v>
      </c>
      <c r="F165" s="659" t="str">
        <f ca="1">_xlfn.IFNA(OFFSET(INDEX(Output[Item '#],MATCH($A165,Output[Item '#],0)),0,5)," ")</f>
        <v xml:space="preserve"> </v>
      </c>
      <c r="G165" s="121"/>
      <c r="H165" s="584" t="str">
        <f ca="1">_xlfn.XLOOKUP(A165,OUTPUT!$Y$10:$Y$165,OUTPUT!$Z$10:$Z$165,"MiscItems")</f>
        <v>MiscItems</v>
      </c>
      <c r="I165" s="553" t="str">
        <f t="shared" ca="1" si="3"/>
        <v xml:space="preserve"> </v>
      </c>
      <c r="J165" s="113" t="str" cm="1">
        <f t="array" aca="1" ref="J165" ca="1">IFERROR(_xlfn.XLOOKUP($A165&amp;BasicProjectData!$G$18,PRICES!$B$2:$B$3684&amp;PRICES!$A$2:$A$3684,PRICES!$H$2:$H$3684)," ")</f>
        <v xml:space="preserve"> </v>
      </c>
      <c r="K165" s="113" t="str" cm="1">
        <f t="array" aca="1" ref="K165" ca="1">IFERROR(_xlfn.XLOOKUP($A165&amp;"All Districts",PRICES!$B$2:$B$3684&amp;PRICES!$A$2:$A$3684,PRICES!$H$2:$H$3684)," ")</f>
        <v xml:space="preserve"> </v>
      </c>
      <c r="L165" s="556" t="str" cm="1">
        <f t="array" aca="1" ref="L165" ca="1">_xlfn.SWITCH(E165,J165,"District Price",K165,"State Price","Other/User Input/Override")</f>
        <v>District Price</v>
      </c>
    </row>
    <row r="166" spans="1:12">
      <c r="A166" s="110" t="str">
        <f t="array" aca="1" ref="A166" ca="1">IFERROR(INDEX(OUTPUT!$A$9:'OUTPUT'!$A$247,SMALL(IF(OUTPUT!$F$9:$F$247&lt;&gt;0,MATCH(OUTPUT!$A$9:'OUTPUT'!$A$247,OUTPUT!$A$9:'OUTPUT'!$A$247,0)),ROWS(ProjectEstimate!A$9:A166)),1),"")</f>
        <v/>
      </c>
      <c r="B166" s="111" t="str">
        <f ca="1">_xlfn.IFNA(OFFSET(INDEX(Output[Item '#],MATCH($A166,Output[Item '#],0)),0,1)," ")</f>
        <v xml:space="preserve"> </v>
      </c>
      <c r="C166" s="111" t="str">
        <f ca="1">_xlfn.IFNA(OFFSET(INDEX(Output[Item '#],MATCH($A166,Output[Item '#],0)),0,2)," ")</f>
        <v xml:space="preserve"> </v>
      </c>
      <c r="D166" s="111" t="str">
        <f ca="1">_xlfn.IFNA(OFFSET(INDEX(Output[Item '#],MATCH($A166,Output[Item '#],0)),0,3)," ")</f>
        <v xml:space="preserve"> </v>
      </c>
      <c r="E166" s="659" t="str">
        <f ca="1">_xlfn.IFNA(OFFSET(INDEX(Output[Item '#],MATCH($A166,Output[Item '#],0)),0,4)," ")</f>
        <v xml:space="preserve"> </v>
      </c>
      <c r="F166" s="659" t="str">
        <f ca="1">_xlfn.IFNA(OFFSET(INDEX(Output[Item '#],MATCH($A166,Output[Item '#],0)),0,5)," ")</f>
        <v xml:space="preserve"> </v>
      </c>
      <c r="G166" s="121"/>
      <c r="H166" s="584" t="str">
        <f ca="1">_xlfn.XLOOKUP(A166,OUTPUT!$Y$10:$Y$165,OUTPUT!$Z$10:$Z$165,"MiscItems")</f>
        <v>MiscItems</v>
      </c>
      <c r="I166" s="553" t="str">
        <f t="shared" ca="1" si="3"/>
        <v xml:space="preserve"> </v>
      </c>
      <c r="J166" s="113" t="str" cm="1">
        <f t="array" aca="1" ref="J166" ca="1">IFERROR(_xlfn.XLOOKUP($A166&amp;BasicProjectData!$G$18,PRICES!$B$2:$B$3684&amp;PRICES!$A$2:$A$3684,PRICES!$H$2:$H$3684)," ")</f>
        <v xml:space="preserve"> </v>
      </c>
      <c r="K166" s="113" t="str" cm="1">
        <f t="array" aca="1" ref="K166" ca="1">IFERROR(_xlfn.XLOOKUP($A166&amp;"All Districts",PRICES!$B$2:$B$3684&amp;PRICES!$A$2:$A$3684,PRICES!$H$2:$H$3684)," ")</f>
        <v xml:space="preserve"> </v>
      </c>
      <c r="L166" s="556" t="str" cm="1">
        <f t="array" aca="1" ref="L166" ca="1">_xlfn.SWITCH(E166,J166,"District Price",K166,"State Price","Other/User Input/Override")</f>
        <v>District Price</v>
      </c>
    </row>
    <row r="167" spans="1:12">
      <c r="A167" s="110" t="str">
        <f t="array" aca="1" ref="A167" ca="1">IFERROR(INDEX(OUTPUT!$A$9:'OUTPUT'!$A$247,SMALL(IF(OUTPUT!$F$9:$F$247&lt;&gt;0,MATCH(OUTPUT!$A$9:'OUTPUT'!$A$247,OUTPUT!$A$9:'OUTPUT'!$A$247,0)),ROWS(ProjectEstimate!A$9:A167)),1),"")</f>
        <v/>
      </c>
      <c r="B167" s="111" t="str">
        <f ca="1">_xlfn.IFNA(OFFSET(INDEX(Output[Item '#],MATCH($A167,Output[Item '#],0)),0,1)," ")</f>
        <v xml:space="preserve"> </v>
      </c>
      <c r="C167" s="111" t="str">
        <f ca="1">_xlfn.IFNA(OFFSET(INDEX(Output[Item '#],MATCH($A167,Output[Item '#],0)),0,2)," ")</f>
        <v xml:space="preserve"> </v>
      </c>
      <c r="D167" s="111" t="str">
        <f ca="1">_xlfn.IFNA(OFFSET(INDEX(Output[Item '#],MATCH($A167,Output[Item '#],0)),0,3)," ")</f>
        <v xml:space="preserve"> </v>
      </c>
      <c r="E167" s="659" t="str">
        <f ca="1">_xlfn.IFNA(OFFSET(INDEX(Output[Item '#],MATCH($A167,Output[Item '#],0)),0,4)," ")</f>
        <v xml:space="preserve"> </v>
      </c>
      <c r="F167" s="659" t="str">
        <f ca="1">_xlfn.IFNA(OFFSET(INDEX(Output[Item '#],MATCH($A167,Output[Item '#],0)),0,5)," ")</f>
        <v xml:space="preserve"> </v>
      </c>
      <c r="G167" s="121"/>
      <c r="H167" s="584" t="str">
        <f ca="1">_xlfn.XLOOKUP(A167,OUTPUT!$Y$10:$Y$165,OUTPUT!$Z$10:$Z$165,"MiscItems")</f>
        <v>MiscItems</v>
      </c>
      <c r="I167" s="553" t="str">
        <f t="shared" ca="1" si="3"/>
        <v xml:space="preserve"> </v>
      </c>
      <c r="J167" s="113" t="str" cm="1">
        <f t="array" aca="1" ref="J167" ca="1">IFERROR(_xlfn.XLOOKUP($A167&amp;BasicProjectData!$G$18,PRICES!$B$2:$B$3684&amp;PRICES!$A$2:$A$3684,PRICES!$H$2:$H$3684)," ")</f>
        <v xml:space="preserve"> </v>
      </c>
      <c r="K167" s="113" t="str" cm="1">
        <f t="array" aca="1" ref="K167" ca="1">IFERROR(_xlfn.XLOOKUP($A167&amp;"All Districts",PRICES!$B$2:$B$3684&amp;PRICES!$A$2:$A$3684,PRICES!$H$2:$H$3684)," ")</f>
        <v xml:space="preserve"> </v>
      </c>
      <c r="L167" s="556" t="str" cm="1">
        <f t="array" aca="1" ref="L167" ca="1">_xlfn.SWITCH(E167,J167,"District Price",K167,"State Price","Other/User Input/Override")</f>
        <v>District Price</v>
      </c>
    </row>
    <row r="168" spans="1:12">
      <c r="A168" s="110" t="str">
        <f t="array" aca="1" ref="A168" ca="1">IFERROR(INDEX(OUTPUT!$A$9:'OUTPUT'!$A$247,SMALL(IF(OUTPUT!$F$9:$F$247&lt;&gt;0,MATCH(OUTPUT!$A$9:'OUTPUT'!$A$247,OUTPUT!$A$9:'OUTPUT'!$A$247,0)),ROWS(ProjectEstimate!A$9:A168)),1),"")</f>
        <v/>
      </c>
      <c r="B168" s="111" t="str">
        <f ca="1">_xlfn.IFNA(OFFSET(INDEX(Output[Item '#],MATCH($A168,Output[Item '#],0)),0,1)," ")</f>
        <v xml:space="preserve"> </v>
      </c>
      <c r="C168" s="111" t="str">
        <f ca="1">_xlfn.IFNA(OFFSET(INDEX(Output[Item '#],MATCH($A168,Output[Item '#],0)),0,2)," ")</f>
        <v xml:space="preserve"> </v>
      </c>
      <c r="D168" s="111" t="str">
        <f ca="1">_xlfn.IFNA(OFFSET(INDEX(Output[Item '#],MATCH($A168,Output[Item '#],0)),0,3)," ")</f>
        <v xml:space="preserve"> </v>
      </c>
      <c r="E168" s="659" t="str">
        <f ca="1">_xlfn.IFNA(OFFSET(INDEX(Output[Item '#],MATCH($A168,Output[Item '#],0)),0,4)," ")</f>
        <v xml:space="preserve"> </v>
      </c>
      <c r="F168" s="659" t="str">
        <f ca="1">_xlfn.IFNA(OFFSET(INDEX(Output[Item '#],MATCH($A168,Output[Item '#],0)),0,5)," ")</f>
        <v xml:space="preserve"> </v>
      </c>
      <c r="G168" s="121"/>
      <c r="H168" s="584" t="str">
        <f ca="1">_xlfn.XLOOKUP(A168,OUTPUT!$Y$10:$Y$165,OUTPUT!$Z$10:$Z$165,"MiscItems")</f>
        <v>MiscItems</v>
      </c>
      <c r="I168" s="553" t="str">
        <f t="shared" ca="1" si="3"/>
        <v xml:space="preserve"> </v>
      </c>
      <c r="J168" s="113" t="str" cm="1">
        <f t="array" aca="1" ref="J168" ca="1">IFERROR(_xlfn.XLOOKUP($A168&amp;BasicProjectData!$G$18,PRICES!$B$2:$B$3684&amp;PRICES!$A$2:$A$3684,PRICES!$H$2:$H$3684)," ")</f>
        <v xml:space="preserve"> </v>
      </c>
      <c r="K168" s="113" t="str" cm="1">
        <f t="array" aca="1" ref="K168" ca="1">IFERROR(_xlfn.XLOOKUP($A168&amp;"All Districts",PRICES!$B$2:$B$3684&amp;PRICES!$A$2:$A$3684,PRICES!$H$2:$H$3684)," ")</f>
        <v xml:space="preserve"> </v>
      </c>
      <c r="L168" s="556" t="str" cm="1">
        <f t="array" aca="1" ref="L168" ca="1">_xlfn.SWITCH(E168,J168,"District Price",K168,"State Price","Other/User Input/Override")</f>
        <v>District Price</v>
      </c>
    </row>
    <row r="169" spans="1:12">
      <c r="A169" s="110" t="str">
        <f t="array" aca="1" ref="A169" ca="1">IFERROR(INDEX(OUTPUT!$A$9:'OUTPUT'!$A$247,SMALL(IF(OUTPUT!$F$9:$F$247&lt;&gt;0,MATCH(OUTPUT!$A$9:'OUTPUT'!$A$247,OUTPUT!$A$9:'OUTPUT'!$A$247,0)),ROWS(ProjectEstimate!A$9:A169)),1),"")</f>
        <v/>
      </c>
      <c r="B169" s="111" t="str">
        <f ca="1">_xlfn.IFNA(OFFSET(INDEX(Output[Item '#],MATCH($A169,Output[Item '#],0)),0,1)," ")</f>
        <v xml:space="preserve"> </v>
      </c>
      <c r="C169" s="111" t="str">
        <f ca="1">_xlfn.IFNA(OFFSET(INDEX(Output[Item '#],MATCH($A169,Output[Item '#],0)),0,2)," ")</f>
        <v xml:space="preserve"> </v>
      </c>
      <c r="D169" s="111" t="str">
        <f ca="1">_xlfn.IFNA(OFFSET(INDEX(Output[Item '#],MATCH($A169,Output[Item '#],0)),0,3)," ")</f>
        <v xml:space="preserve"> </v>
      </c>
      <c r="E169" s="659" t="str">
        <f ca="1">_xlfn.IFNA(OFFSET(INDEX(Output[Item '#],MATCH($A169,Output[Item '#],0)),0,4)," ")</f>
        <v xml:space="preserve"> </v>
      </c>
      <c r="F169" s="659" t="str">
        <f ca="1">_xlfn.IFNA(OFFSET(INDEX(Output[Item '#],MATCH($A169,Output[Item '#],0)),0,5)," ")</f>
        <v xml:space="preserve"> </v>
      </c>
      <c r="G169" s="121"/>
      <c r="H169" s="584" t="str">
        <f ca="1">_xlfn.XLOOKUP(A169,OUTPUT!$Y$10:$Y$165,OUTPUT!$Z$10:$Z$165,"MiscItems")</f>
        <v>MiscItems</v>
      </c>
      <c r="I169" s="553" t="str">
        <f t="shared" ca="1" si="3"/>
        <v xml:space="preserve"> </v>
      </c>
      <c r="J169" s="113" t="str" cm="1">
        <f t="array" aca="1" ref="J169" ca="1">IFERROR(_xlfn.XLOOKUP($A169&amp;BasicProjectData!$G$18,PRICES!$B$2:$B$3684&amp;PRICES!$A$2:$A$3684,PRICES!$H$2:$H$3684)," ")</f>
        <v xml:space="preserve"> </v>
      </c>
      <c r="K169" s="113" t="str" cm="1">
        <f t="array" aca="1" ref="K169" ca="1">IFERROR(_xlfn.XLOOKUP($A169&amp;"All Districts",PRICES!$B$2:$B$3684&amp;PRICES!$A$2:$A$3684,PRICES!$H$2:$H$3684)," ")</f>
        <v xml:space="preserve"> </v>
      </c>
      <c r="L169" s="556" t="str" cm="1">
        <f t="array" aca="1" ref="L169" ca="1">_xlfn.SWITCH(E169,J169,"District Price",K169,"State Price","Other/User Input/Override")</f>
        <v>District Price</v>
      </c>
    </row>
    <row r="170" spans="1:12">
      <c r="A170" s="110" t="str">
        <f t="array" aca="1" ref="A170" ca="1">IFERROR(INDEX(OUTPUT!$A$9:'OUTPUT'!$A$247,SMALL(IF(OUTPUT!$F$9:$F$247&lt;&gt;0,MATCH(OUTPUT!$A$9:'OUTPUT'!$A$247,OUTPUT!$A$9:'OUTPUT'!$A$247,0)),ROWS(ProjectEstimate!A$9:A170)),1),"")</f>
        <v/>
      </c>
      <c r="B170" s="111" t="str">
        <f ca="1">_xlfn.IFNA(OFFSET(INDEX(Output[Item '#],MATCH($A170,Output[Item '#],0)),0,1)," ")</f>
        <v xml:space="preserve"> </v>
      </c>
      <c r="C170" s="111" t="str">
        <f ca="1">_xlfn.IFNA(OFFSET(INDEX(Output[Item '#],MATCH($A170,Output[Item '#],0)),0,2)," ")</f>
        <v xml:space="preserve"> </v>
      </c>
      <c r="D170" s="111" t="str">
        <f ca="1">_xlfn.IFNA(OFFSET(INDEX(Output[Item '#],MATCH($A170,Output[Item '#],0)),0,3)," ")</f>
        <v xml:space="preserve"> </v>
      </c>
      <c r="E170" s="659" t="str">
        <f ca="1">_xlfn.IFNA(OFFSET(INDEX(Output[Item '#],MATCH($A170,Output[Item '#],0)),0,4)," ")</f>
        <v xml:space="preserve"> </v>
      </c>
      <c r="F170" s="659" t="str">
        <f ca="1">_xlfn.IFNA(OFFSET(INDEX(Output[Item '#],MATCH($A170,Output[Item '#],0)),0,5)," ")</f>
        <v xml:space="preserve"> </v>
      </c>
      <c r="G170" s="121"/>
      <c r="H170" s="584" t="str">
        <f ca="1">_xlfn.XLOOKUP(A170,OUTPUT!$Y$10:$Y$165,OUTPUT!$Z$10:$Z$165,"MiscItems")</f>
        <v>MiscItems</v>
      </c>
      <c r="I170" s="553" t="str">
        <f t="shared" ca="1" si="3"/>
        <v xml:space="preserve"> </v>
      </c>
      <c r="J170" s="113" t="str" cm="1">
        <f t="array" aca="1" ref="J170" ca="1">IFERROR(_xlfn.XLOOKUP($A170&amp;BasicProjectData!$G$18,PRICES!$B$2:$B$3684&amp;PRICES!$A$2:$A$3684,PRICES!$H$2:$H$3684)," ")</f>
        <v xml:space="preserve"> </v>
      </c>
      <c r="K170" s="113" t="str" cm="1">
        <f t="array" aca="1" ref="K170" ca="1">IFERROR(_xlfn.XLOOKUP($A170&amp;"All Districts",PRICES!$B$2:$B$3684&amp;PRICES!$A$2:$A$3684,PRICES!$H$2:$H$3684)," ")</f>
        <v xml:space="preserve"> </v>
      </c>
      <c r="L170" s="556" t="str" cm="1">
        <f t="array" aca="1" ref="L170" ca="1">_xlfn.SWITCH(E170,J170,"District Price",K170,"State Price","Other/User Input/Override")</f>
        <v>District Price</v>
      </c>
    </row>
    <row r="171" spans="1:12">
      <c r="A171" s="110" t="str">
        <f t="array" aca="1" ref="A171" ca="1">IFERROR(INDEX(OUTPUT!$A$9:'OUTPUT'!$A$247,SMALL(IF(OUTPUT!$F$9:$F$247&lt;&gt;0,MATCH(OUTPUT!$A$9:'OUTPUT'!$A$247,OUTPUT!$A$9:'OUTPUT'!$A$247,0)),ROWS(ProjectEstimate!A$9:A171)),1),"")</f>
        <v/>
      </c>
      <c r="B171" s="111" t="str">
        <f ca="1">_xlfn.IFNA(OFFSET(INDEX(Output[Item '#],MATCH($A171,Output[Item '#],0)),0,1)," ")</f>
        <v xml:space="preserve"> </v>
      </c>
      <c r="C171" s="111" t="str">
        <f ca="1">_xlfn.IFNA(OFFSET(INDEX(Output[Item '#],MATCH($A171,Output[Item '#],0)),0,2)," ")</f>
        <v xml:space="preserve"> </v>
      </c>
      <c r="D171" s="111" t="str">
        <f ca="1">_xlfn.IFNA(OFFSET(INDEX(Output[Item '#],MATCH($A171,Output[Item '#],0)),0,3)," ")</f>
        <v xml:space="preserve"> </v>
      </c>
      <c r="E171" s="659" t="str">
        <f ca="1">_xlfn.IFNA(OFFSET(INDEX(Output[Item '#],MATCH($A171,Output[Item '#],0)),0,4)," ")</f>
        <v xml:space="preserve"> </v>
      </c>
      <c r="F171" s="659" t="str">
        <f ca="1">_xlfn.IFNA(OFFSET(INDEX(Output[Item '#],MATCH($A171,Output[Item '#],0)),0,5)," ")</f>
        <v xml:space="preserve"> </v>
      </c>
      <c r="G171" s="121"/>
      <c r="H171" s="584" t="str">
        <f ca="1">_xlfn.XLOOKUP(A171,OUTPUT!$Y$10:$Y$165,OUTPUT!$Z$10:$Z$165,"MiscItems")</f>
        <v>MiscItems</v>
      </c>
      <c r="I171" s="553" t="str">
        <f t="shared" ca="1" si="3"/>
        <v xml:space="preserve"> </v>
      </c>
      <c r="J171" s="113" t="str" cm="1">
        <f t="array" aca="1" ref="J171" ca="1">IFERROR(_xlfn.XLOOKUP($A171&amp;BasicProjectData!$G$18,PRICES!$B$2:$B$3684&amp;PRICES!$A$2:$A$3684,PRICES!$H$2:$H$3684)," ")</f>
        <v xml:space="preserve"> </v>
      </c>
      <c r="K171" s="113" t="str" cm="1">
        <f t="array" aca="1" ref="K171" ca="1">IFERROR(_xlfn.XLOOKUP($A171&amp;"All Districts",PRICES!$B$2:$B$3684&amp;PRICES!$A$2:$A$3684,PRICES!$H$2:$H$3684)," ")</f>
        <v xml:space="preserve"> </v>
      </c>
      <c r="L171" s="556" t="str" cm="1">
        <f t="array" aca="1" ref="L171" ca="1">_xlfn.SWITCH(E171,J171,"District Price",K171,"State Price","Other/User Input/Override")</f>
        <v>District Price</v>
      </c>
    </row>
    <row r="172" spans="1:12">
      <c r="A172" s="110" t="str">
        <f t="array" aca="1" ref="A172" ca="1">IFERROR(INDEX(OUTPUT!$A$9:'OUTPUT'!$A$247,SMALL(IF(OUTPUT!$F$9:$F$247&lt;&gt;0,MATCH(OUTPUT!$A$9:'OUTPUT'!$A$247,OUTPUT!$A$9:'OUTPUT'!$A$247,0)),ROWS(ProjectEstimate!A$9:A172)),1),"")</f>
        <v/>
      </c>
      <c r="B172" s="111" t="str">
        <f ca="1">_xlfn.IFNA(OFFSET(INDEX(Output[Item '#],MATCH($A172,Output[Item '#],0)),0,1)," ")</f>
        <v xml:space="preserve"> </v>
      </c>
      <c r="C172" s="111" t="str">
        <f ca="1">_xlfn.IFNA(OFFSET(INDEX(Output[Item '#],MATCH($A172,Output[Item '#],0)),0,2)," ")</f>
        <v xml:space="preserve"> </v>
      </c>
      <c r="D172" s="111" t="str">
        <f ca="1">_xlfn.IFNA(OFFSET(INDEX(Output[Item '#],MATCH($A172,Output[Item '#],0)),0,3)," ")</f>
        <v xml:space="preserve"> </v>
      </c>
      <c r="E172" s="659" t="str">
        <f ca="1">_xlfn.IFNA(OFFSET(INDEX(Output[Item '#],MATCH($A172,Output[Item '#],0)),0,4)," ")</f>
        <v xml:space="preserve"> </v>
      </c>
      <c r="F172" s="659" t="str">
        <f ca="1">_xlfn.IFNA(OFFSET(INDEX(Output[Item '#],MATCH($A172,Output[Item '#],0)),0,5)," ")</f>
        <v xml:space="preserve"> </v>
      </c>
      <c r="G172" s="121"/>
      <c r="H172" s="584" t="str">
        <f ca="1">_xlfn.XLOOKUP(A172,OUTPUT!$Y$10:$Y$165,OUTPUT!$Z$10:$Z$165,"MiscItems")</f>
        <v>MiscItems</v>
      </c>
      <c r="I172" s="553" t="str">
        <f t="shared" ca="1" si="3"/>
        <v xml:space="preserve"> </v>
      </c>
      <c r="J172" s="113" t="str" cm="1">
        <f t="array" aca="1" ref="J172" ca="1">IFERROR(_xlfn.XLOOKUP($A172&amp;BasicProjectData!$G$18,PRICES!$B$2:$B$3684&amp;PRICES!$A$2:$A$3684,PRICES!$H$2:$H$3684)," ")</f>
        <v xml:space="preserve"> </v>
      </c>
      <c r="K172" s="113" t="str" cm="1">
        <f t="array" aca="1" ref="K172" ca="1">IFERROR(_xlfn.XLOOKUP($A172&amp;"All Districts",PRICES!$B$2:$B$3684&amp;PRICES!$A$2:$A$3684,PRICES!$H$2:$H$3684)," ")</f>
        <v xml:space="preserve"> </v>
      </c>
      <c r="L172" s="556" t="str" cm="1">
        <f t="array" aca="1" ref="L172" ca="1">_xlfn.SWITCH(E172,J172,"District Price",K172,"State Price","Other/User Input/Override")</f>
        <v>District Price</v>
      </c>
    </row>
    <row r="173" spans="1:12">
      <c r="A173" s="110" t="str">
        <f t="array" aca="1" ref="A173" ca="1">IFERROR(INDEX(OUTPUT!$A$9:'OUTPUT'!$A$247,SMALL(IF(OUTPUT!$F$9:$F$247&lt;&gt;0,MATCH(OUTPUT!$A$9:'OUTPUT'!$A$247,OUTPUT!$A$9:'OUTPUT'!$A$247,0)),ROWS(ProjectEstimate!A$9:A173)),1),"")</f>
        <v/>
      </c>
      <c r="B173" s="111" t="str">
        <f ca="1">_xlfn.IFNA(OFFSET(INDEX(Output[Item '#],MATCH($A173,Output[Item '#],0)),0,1)," ")</f>
        <v xml:space="preserve"> </v>
      </c>
      <c r="C173" s="111" t="str">
        <f ca="1">_xlfn.IFNA(OFFSET(INDEX(Output[Item '#],MATCH($A173,Output[Item '#],0)),0,2)," ")</f>
        <v xml:space="preserve"> </v>
      </c>
      <c r="D173" s="111" t="str">
        <f ca="1">_xlfn.IFNA(OFFSET(INDEX(Output[Item '#],MATCH($A173,Output[Item '#],0)),0,3)," ")</f>
        <v xml:space="preserve"> </v>
      </c>
      <c r="E173" s="659" t="str">
        <f ca="1">_xlfn.IFNA(OFFSET(INDEX(Output[Item '#],MATCH($A173,Output[Item '#],0)),0,4)," ")</f>
        <v xml:space="preserve"> </v>
      </c>
      <c r="F173" s="659" t="str">
        <f ca="1">_xlfn.IFNA(OFFSET(INDEX(Output[Item '#],MATCH($A173,Output[Item '#],0)),0,5)," ")</f>
        <v xml:space="preserve"> </v>
      </c>
      <c r="G173" s="121"/>
      <c r="H173" s="584" t="str">
        <f ca="1">_xlfn.XLOOKUP(A173,OUTPUT!$Y$10:$Y$165,OUTPUT!$Z$10:$Z$165,"MiscItems")</f>
        <v>MiscItems</v>
      </c>
      <c r="I173" s="553" t="str">
        <f t="shared" ca="1" si="3"/>
        <v xml:space="preserve"> </v>
      </c>
      <c r="J173" s="113" t="str" cm="1">
        <f t="array" aca="1" ref="J173" ca="1">IFERROR(_xlfn.XLOOKUP($A173&amp;BasicProjectData!$G$18,PRICES!$B$2:$B$3684&amp;PRICES!$A$2:$A$3684,PRICES!$H$2:$H$3684)," ")</f>
        <v xml:space="preserve"> </v>
      </c>
      <c r="K173" s="113" t="str" cm="1">
        <f t="array" aca="1" ref="K173" ca="1">IFERROR(_xlfn.XLOOKUP($A173&amp;"All Districts",PRICES!$B$2:$B$3684&amp;PRICES!$A$2:$A$3684,PRICES!$H$2:$H$3684)," ")</f>
        <v xml:space="preserve"> </v>
      </c>
      <c r="L173" s="556" t="str" cm="1">
        <f t="array" aca="1" ref="L173" ca="1">_xlfn.SWITCH(E173,J173,"District Price",K173,"State Price","Other/User Input/Override")</f>
        <v>District Price</v>
      </c>
    </row>
    <row r="174" spans="1:12">
      <c r="A174" s="110" t="str">
        <f t="array" aca="1" ref="A174" ca="1">IFERROR(INDEX(OUTPUT!$A$9:'OUTPUT'!$A$247,SMALL(IF(OUTPUT!$F$9:$F$247&lt;&gt;0,MATCH(OUTPUT!$A$9:'OUTPUT'!$A$247,OUTPUT!$A$9:'OUTPUT'!$A$247,0)),ROWS(ProjectEstimate!A$9:A174)),1),"")</f>
        <v/>
      </c>
      <c r="B174" s="111" t="str">
        <f ca="1">_xlfn.IFNA(OFFSET(INDEX(Output[Item '#],MATCH($A174,Output[Item '#],0)),0,1)," ")</f>
        <v xml:space="preserve"> </v>
      </c>
      <c r="C174" s="111" t="str">
        <f ca="1">_xlfn.IFNA(OFFSET(INDEX(Output[Item '#],MATCH($A174,Output[Item '#],0)),0,2)," ")</f>
        <v xml:space="preserve"> </v>
      </c>
      <c r="D174" s="111" t="str">
        <f ca="1">_xlfn.IFNA(OFFSET(INDEX(Output[Item '#],MATCH($A174,Output[Item '#],0)),0,3)," ")</f>
        <v xml:space="preserve"> </v>
      </c>
      <c r="E174" s="659" t="str">
        <f ca="1">_xlfn.IFNA(OFFSET(INDEX(Output[Item '#],MATCH($A174,Output[Item '#],0)),0,4)," ")</f>
        <v xml:space="preserve"> </v>
      </c>
      <c r="F174" s="659" t="str">
        <f ca="1">_xlfn.IFNA(OFFSET(INDEX(Output[Item '#],MATCH($A174,Output[Item '#],0)),0,5)," ")</f>
        <v xml:space="preserve"> </v>
      </c>
      <c r="G174" s="121"/>
      <c r="H174" s="584" t="str">
        <f ca="1">_xlfn.XLOOKUP(A174,OUTPUT!$Y$10:$Y$165,OUTPUT!$Z$10:$Z$165,"MiscItems")</f>
        <v>MiscItems</v>
      </c>
      <c r="I174" s="553" t="str">
        <f t="shared" ca="1" si="3"/>
        <v xml:space="preserve"> </v>
      </c>
      <c r="J174" s="113" t="str" cm="1">
        <f t="array" aca="1" ref="J174" ca="1">IFERROR(_xlfn.XLOOKUP($A174&amp;BasicProjectData!$G$18,PRICES!$B$2:$B$3684&amp;PRICES!$A$2:$A$3684,PRICES!$H$2:$H$3684)," ")</f>
        <v xml:space="preserve"> </v>
      </c>
      <c r="K174" s="113" t="str" cm="1">
        <f t="array" aca="1" ref="K174" ca="1">IFERROR(_xlfn.XLOOKUP($A174&amp;"All Districts",PRICES!$B$2:$B$3684&amp;PRICES!$A$2:$A$3684,PRICES!$H$2:$H$3684)," ")</f>
        <v xml:space="preserve"> </v>
      </c>
      <c r="L174" s="556" t="str" cm="1">
        <f t="array" aca="1" ref="L174" ca="1">_xlfn.SWITCH(E174,J174,"District Price",K174,"State Price","Other/User Input/Override")</f>
        <v>District Price</v>
      </c>
    </row>
    <row r="175" spans="1:12">
      <c r="A175" s="110" t="str">
        <f t="array" aca="1" ref="A175" ca="1">IFERROR(INDEX(OUTPUT!$A$9:'OUTPUT'!$A$247,SMALL(IF(OUTPUT!$F$9:$F$247&lt;&gt;0,MATCH(OUTPUT!$A$9:'OUTPUT'!$A$247,OUTPUT!$A$9:'OUTPUT'!$A$247,0)),ROWS(ProjectEstimate!A$9:A175)),1),"")</f>
        <v/>
      </c>
      <c r="B175" s="111" t="str">
        <f ca="1">_xlfn.IFNA(OFFSET(INDEX(Output[Item '#],MATCH($A175,Output[Item '#],0)),0,1)," ")</f>
        <v xml:space="preserve"> </v>
      </c>
      <c r="C175" s="111" t="str">
        <f ca="1">_xlfn.IFNA(OFFSET(INDEX(Output[Item '#],MATCH($A175,Output[Item '#],0)),0,2)," ")</f>
        <v xml:space="preserve"> </v>
      </c>
      <c r="D175" s="111" t="str">
        <f ca="1">_xlfn.IFNA(OFFSET(INDEX(Output[Item '#],MATCH($A175,Output[Item '#],0)),0,3)," ")</f>
        <v xml:space="preserve"> </v>
      </c>
      <c r="E175" s="659" t="str">
        <f ca="1">_xlfn.IFNA(OFFSET(INDEX(Output[Item '#],MATCH($A175,Output[Item '#],0)),0,4)," ")</f>
        <v xml:space="preserve"> </v>
      </c>
      <c r="F175" s="659" t="str">
        <f ca="1">_xlfn.IFNA(OFFSET(INDEX(Output[Item '#],MATCH($A175,Output[Item '#],0)),0,5)," ")</f>
        <v xml:space="preserve"> </v>
      </c>
      <c r="G175" s="121"/>
      <c r="H175" s="584" t="str">
        <f ca="1">_xlfn.XLOOKUP(A175,OUTPUT!$Y$10:$Y$165,OUTPUT!$Z$10:$Z$165,"MiscItems")</f>
        <v>MiscItems</v>
      </c>
      <c r="I175" s="553" t="str">
        <f t="shared" ca="1" si="3"/>
        <v xml:space="preserve"> </v>
      </c>
      <c r="J175" s="113" t="str" cm="1">
        <f t="array" aca="1" ref="J175" ca="1">IFERROR(_xlfn.XLOOKUP($A175&amp;BasicProjectData!$G$18,PRICES!$B$2:$B$3684&amp;PRICES!$A$2:$A$3684,PRICES!$H$2:$H$3684)," ")</f>
        <v xml:space="preserve"> </v>
      </c>
      <c r="K175" s="113" t="str" cm="1">
        <f t="array" aca="1" ref="K175" ca="1">IFERROR(_xlfn.XLOOKUP($A175&amp;"All Districts",PRICES!$B$2:$B$3684&amp;PRICES!$A$2:$A$3684,PRICES!$H$2:$H$3684)," ")</f>
        <v xml:space="preserve"> </v>
      </c>
      <c r="L175" s="556" t="str" cm="1">
        <f t="array" aca="1" ref="L175" ca="1">_xlfn.SWITCH(E175,J175,"District Price",K175,"State Price","Other/User Input/Override")</f>
        <v>District Price</v>
      </c>
    </row>
    <row r="176" spans="1:12">
      <c r="A176" s="110" t="str">
        <f t="array" aca="1" ref="A176" ca="1">IFERROR(INDEX(OUTPUT!$A$9:'OUTPUT'!$A$247,SMALL(IF(OUTPUT!$F$9:$F$247&lt;&gt;0,MATCH(OUTPUT!$A$9:'OUTPUT'!$A$247,OUTPUT!$A$9:'OUTPUT'!$A$247,0)),ROWS(ProjectEstimate!A$9:A176)),1),"")</f>
        <v/>
      </c>
      <c r="B176" s="111" t="str">
        <f ca="1">_xlfn.IFNA(OFFSET(INDEX(Output[Item '#],MATCH($A176,Output[Item '#],0)),0,1)," ")</f>
        <v xml:space="preserve"> </v>
      </c>
      <c r="C176" s="111" t="str">
        <f ca="1">_xlfn.IFNA(OFFSET(INDEX(Output[Item '#],MATCH($A176,Output[Item '#],0)),0,2)," ")</f>
        <v xml:space="preserve"> </v>
      </c>
      <c r="D176" s="111" t="str">
        <f ca="1">_xlfn.IFNA(OFFSET(INDEX(Output[Item '#],MATCH($A176,Output[Item '#],0)),0,3)," ")</f>
        <v xml:space="preserve"> </v>
      </c>
      <c r="E176" s="659" t="str">
        <f ca="1">_xlfn.IFNA(OFFSET(INDEX(Output[Item '#],MATCH($A176,Output[Item '#],0)),0,4)," ")</f>
        <v xml:space="preserve"> </v>
      </c>
      <c r="F176" s="659" t="str">
        <f ca="1">_xlfn.IFNA(OFFSET(INDEX(Output[Item '#],MATCH($A176,Output[Item '#],0)),0,5)," ")</f>
        <v xml:space="preserve"> </v>
      </c>
      <c r="G176" s="121"/>
      <c r="H176" s="584" t="str">
        <f ca="1">_xlfn.XLOOKUP(A176,OUTPUT!$Y$10:$Y$165,OUTPUT!$Z$10:$Z$165,"MiscItems")</f>
        <v>MiscItems</v>
      </c>
      <c r="I176" s="553" t="str">
        <f t="shared" ca="1" si="3"/>
        <v xml:space="preserve"> </v>
      </c>
      <c r="J176" s="113" t="str" cm="1">
        <f t="array" aca="1" ref="J176" ca="1">IFERROR(_xlfn.XLOOKUP($A176&amp;BasicProjectData!$G$18,PRICES!$B$2:$B$3684&amp;PRICES!$A$2:$A$3684,PRICES!$H$2:$H$3684)," ")</f>
        <v xml:space="preserve"> </v>
      </c>
      <c r="K176" s="113" t="str" cm="1">
        <f t="array" aca="1" ref="K176" ca="1">IFERROR(_xlfn.XLOOKUP($A176&amp;"All Districts",PRICES!$B$2:$B$3684&amp;PRICES!$A$2:$A$3684,PRICES!$H$2:$H$3684)," ")</f>
        <v xml:space="preserve"> </v>
      </c>
      <c r="L176" s="556" t="str" cm="1">
        <f t="array" aca="1" ref="L176" ca="1">_xlfn.SWITCH(E176,J176,"District Price",K176,"State Price","Other/User Input/Override")</f>
        <v>District Price</v>
      </c>
    </row>
    <row r="177" spans="1:12">
      <c r="A177" s="110" t="str">
        <f t="array" aca="1" ref="A177" ca="1">IFERROR(INDEX(OUTPUT!$A$9:'OUTPUT'!$A$247,SMALL(IF(OUTPUT!$F$9:$F$247&lt;&gt;0,MATCH(OUTPUT!$A$9:'OUTPUT'!$A$247,OUTPUT!$A$9:'OUTPUT'!$A$247,0)),ROWS(ProjectEstimate!A$9:A177)),1),"")</f>
        <v/>
      </c>
      <c r="B177" s="111" t="str">
        <f ca="1">_xlfn.IFNA(OFFSET(INDEX(Output[Item '#],MATCH($A177,Output[Item '#],0)),0,1)," ")</f>
        <v xml:space="preserve"> </v>
      </c>
      <c r="C177" s="111" t="str">
        <f ca="1">_xlfn.IFNA(OFFSET(INDEX(Output[Item '#],MATCH($A177,Output[Item '#],0)),0,2)," ")</f>
        <v xml:space="preserve"> </v>
      </c>
      <c r="D177" s="111" t="str">
        <f ca="1">_xlfn.IFNA(OFFSET(INDEX(Output[Item '#],MATCH($A177,Output[Item '#],0)),0,3)," ")</f>
        <v xml:space="preserve"> </v>
      </c>
      <c r="E177" s="659" t="str">
        <f ca="1">_xlfn.IFNA(OFFSET(INDEX(Output[Item '#],MATCH($A177,Output[Item '#],0)),0,4)," ")</f>
        <v xml:space="preserve"> </v>
      </c>
      <c r="F177" s="659" t="str">
        <f ca="1">_xlfn.IFNA(OFFSET(INDEX(Output[Item '#],MATCH($A177,Output[Item '#],0)),0,5)," ")</f>
        <v xml:space="preserve"> </v>
      </c>
      <c r="G177" s="121"/>
      <c r="H177" s="584" t="str">
        <f ca="1">_xlfn.XLOOKUP(A177,OUTPUT!$Y$10:$Y$165,OUTPUT!$Z$10:$Z$165,"MiscItems")</f>
        <v>MiscItems</v>
      </c>
      <c r="I177" s="553" t="str">
        <f t="shared" ca="1" si="3"/>
        <v xml:space="preserve"> </v>
      </c>
      <c r="J177" s="113" t="str" cm="1">
        <f t="array" aca="1" ref="J177" ca="1">IFERROR(_xlfn.XLOOKUP($A177&amp;BasicProjectData!$G$18,PRICES!$B$2:$B$3684&amp;PRICES!$A$2:$A$3684,PRICES!$H$2:$H$3684)," ")</f>
        <v xml:space="preserve"> </v>
      </c>
      <c r="K177" s="113" t="str" cm="1">
        <f t="array" aca="1" ref="K177" ca="1">IFERROR(_xlfn.XLOOKUP($A177&amp;"All Districts",PRICES!$B$2:$B$3684&amp;PRICES!$A$2:$A$3684,PRICES!$H$2:$H$3684)," ")</f>
        <v xml:space="preserve"> </v>
      </c>
      <c r="L177" s="556" t="str" cm="1">
        <f t="array" aca="1" ref="L177" ca="1">_xlfn.SWITCH(E177,J177,"District Price",K177,"State Price","Other/User Input/Override")</f>
        <v>District Price</v>
      </c>
    </row>
    <row r="178" spans="1:12">
      <c r="A178" s="110" t="str">
        <f t="array" aca="1" ref="A178" ca="1">IFERROR(INDEX(OUTPUT!$A$9:'OUTPUT'!$A$247,SMALL(IF(OUTPUT!$F$9:$F$247&lt;&gt;0,MATCH(OUTPUT!$A$9:'OUTPUT'!$A$247,OUTPUT!$A$9:'OUTPUT'!$A$247,0)),ROWS(ProjectEstimate!A$9:A178)),1),"")</f>
        <v/>
      </c>
      <c r="B178" s="111" t="str">
        <f ca="1">_xlfn.IFNA(OFFSET(INDEX(Output[Item '#],MATCH($A178,Output[Item '#],0)),0,1)," ")</f>
        <v xml:space="preserve"> </v>
      </c>
      <c r="C178" s="111" t="str">
        <f ca="1">_xlfn.IFNA(OFFSET(INDEX(Output[Item '#],MATCH($A178,Output[Item '#],0)),0,2)," ")</f>
        <v xml:space="preserve"> </v>
      </c>
      <c r="D178" s="111" t="str">
        <f ca="1">_xlfn.IFNA(OFFSET(INDEX(Output[Item '#],MATCH($A178,Output[Item '#],0)),0,3)," ")</f>
        <v xml:space="preserve"> </v>
      </c>
      <c r="E178" s="659" t="str">
        <f ca="1">_xlfn.IFNA(OFFSET(INDEX(Output[Item '#],MATCH($A178,Output[Item '#],0)),0,4)," ")</f>
        <v xml:space="preserve"> </v>
      </c>
      <c r="F178" s="659" t="str">
        <f ca="1">_xlfn.IFNA(OFFSET(INDEX(Output[Item '#],MATCH($A178,Output[Item '#],0)),0,5)," ")</f>
        <v xml:space="preserve"> </v>
      </c>
      <c r="G178" s="121"/>
      <c r="H178" s="584" t="str">
        <f ca="1">_xlfn.XLOOKUP(A178,OUTPUT!$Y$10:$Y$165,OUTPUT!$Z$10:$Z$165,"MiscItems")</f>
        <v>MiscItems</v>
      </c>
      <c r="I178" s="553" t="str">
        <f t="shared" ca="1" si="3"/>
        <v xml:space="preserve"> </v>
      </c>
      <c r="J178" s="113" t="str" cm="1">
        <f t="array" aca="1" ref="J178" ca="1">IFERROR(_xlfn.XLOOKUP($A178&amp;BasicProjectData!$G$18,PRICES!$B$2:$B$3684&amp;PRICES!$A$2:$A$3684,PRICES!$H$2:$H$3684)," ")</f>
        <v xml:space="preserve"> </v>
      </c>
      <c r="K178" s="113" t="str" cm="1">
        <f t="array" aca="1" ref="K178" ca="1">IFERROR(_xlfn.XLOOKUP($A178&amp;"All Districts",PRICES!$B$2:$B$3684&amp;PRICES!$A$2:$A$3684,PRICES!$H$2:$H$3684)," ")</f>
        <v xml:space="preserve"> </v>
      </c>
      <c r="L178" s="556" t="str" cm="1">
        <f t="array" aca="1" ref="L178" ca="1">_xlfn.SWITCH(E178,J178,"District Price",K178,"State Price","Other/User Input/Override")</f>
        <v>District Price</v>
      </c>
    </row>
    <row r="179" spans="1:12">
      <c r="A179" s="110" t="str">
        <f t="array" aca="1" ref="A179" ca="1">IFERROR(INDEX(OUTPUT!$A$9:'OUTPUT'!$A$247,SMALL(IF(OUTPUT!$F$9:$F$247&lt;&gt;0,MATCH(OUTPUT!$A$9:'OUTPUT'!$A$247,OUTPUT!$A$9:'OUTPUT'!$A$247,0)),ROWS(ProjectEstimate!A$9:A179)),1),"")</f>
        <v/>
      </c>
      <c r="B179" s="111" t="str">
        <f ca="1">_xlfn.IFNA(OFFSET(INDEX(Output[Item '#],MATCH($A179,Output[Item '#],0)),0,1)," ")</f>
        <v xml:space="preserve"> </v>
      </c>
      <c r="C179" s="111" t="str">
        <f ca="1">_xlfn.IFNA(OFFSET(INDEX(Output[Item '#],MATCH($A179,Output[Item '#],0)),0,2)," ")</f>
        <v xml:space="preserve"> </v>
      </c>
      <c r="D179" s="111" t="str">
        <f ca="1">_xlfn.IFNA(OFFSET(INDEX(Output[Item '#],MATCH($A179,Output[Item '#],0)),0,3)," ")</f>
        <v xml:space="preserve"> </v>
      </c>
      <c r="E179" s="659" t="str">
        <f ca="1">_xlfn.IFNA(OFFSET(INDEX(Output[Item '#],MATCH($A179,Output[Item '#],0)),0,4)," ")</f>
        <v xml:space="preserve"> </v>
      </c>
      <c r="F179" s="659" t="str">
        <f ca="1">_xlfn.IFNA(OFFSET(INDEX(Output[Item '#],MATCH($A179,Output[Item '#],0)),0,5)," ")</f>
        <v xml:space="preserve"> </v>
      </c>
      <c r="G179" s="121"/>
      <c r="H179" s="584" t="str">
        <f ca="1">_xlfn.XLOOKUP(A179,OUTPUT!$Y$10:$Y$165,OUTPUT!$Z$10:$Z$165,"MiscItems")</f>
        <v>MiscItems</v>
      </c>
      <c r="I179" s="553" t="str">
        <f t="shared" ca="1" si="3"/>
        <v xml:space="preserve"> </v>
      </c>
      <c r="J179" s="113" t="str" cm="1">
        <f t="array" aca="1" ref="J179" ca="1">IFERROR(_xlfn.XLOOKUP($A179&amp;BasicProjectData!$G$18,PRICES!$B$2:$B$3684&amp;PRICES!$A$2:$A$3684,PRICES!$H$2:$H$3684)," ")</f>
        <v xml:space="preserve"> </v>
      </c>
      <c r="K179" s="113" t="str" cm="1">
        <f t="array" aca="1" ref="K179" ca="1">IFERROR(_xlfn.XLOOKUP($A179&amp;"All Districts",PRICES!$B$2:$B$3684&amp;PRICES!$A$2:$A$3684,PRICES!$H$2:$H$3684)," ")</f>
        <v xml:space="preserve"> </v>
      </c>
      <c r="L179" s="556" t="str" cm="1">
        <f t="array" aca="1" ref="L179" ca="1">_xlfn.SWITCH(E179,J179,"District Price",K179,"State Price","Other/User Input/Override")</f>
        <v>District Price</v>
      </c>
    </row>
    <row r="180" spans="1:12">
      <c r="A180" s="110" t="str">
        <f t="array" aca="1" ref="A180" ca="1">IFERROR(INDEX(OUTPUT!$A$9:'OUTPUT'!$A$247,SMALL(IF(OUTPUT!$F$9:$F$247&lt;&gt;0,MATCH(OUTPUT!$A$9:'OUTPUT'!$A$247,OUTPUT!$A$9:'OUTPUT'!$A$247,0)),ROWS(ProjectEstimate!A$9:A180)),1),"")</f>
        <v/>
      </c>
      <c r="B180" s="111" t="str">
        <f ca="1">_xlfn.IFNA(OFFSET(INDEX(Output[Item '#],MATCH($A180,Output[Item '#],0)),0,1)," ")</f>
        <v xml:space="preserve"> </v>
      </c>
      <c r="C180" s="111" t="str">
        <f ca="1">_xlfn.IFNA(OFFSET(INDEX(Output[Item '#],MATCH($A180,Output[Item '#],0)),0,2)," ")</f>
        <v xml:space="preserve"> </v>
      </c>
      <c r="D180" s="111" t="str">
        <f ca="1">_xlfn.IFNA(OFFSET(INDEX(Output[Item '#],MATCH($A180,Output[Item '#],0)),0,3)," ")</f>
        <v xml:space="preserve"> </v>
      </c>
      <c r="E180" s="659" t="str">
        <f ca="1">_xlfn.IFNA(OFFSET(INDEX(Output[Item '#],MATCH($A180,Output[Item '#],0)),0,4)," ")</f>
        <v xml:space="preserve"> </v>
      </c>
      <c r="F180" s="659" t="str">
        <f ca="1">_xlfn.IFNA(OFFSET(INDEX(Output[Item '#],MATCH($A180,Output[Item '#],0)),0,5)," ")</f>
        <v xml:space="preserve"> </v>
      </c>
      <c r="G180" s="121"/>
      <c r="H180" s="584" t="str">
        <f ca="1">_xlfn.XLOOKUP(A180,OUTPUT!$Y$10:$Y$165,OUTPUT!$Z$10:$Z$165,"MiscItems")</f>
        <v>MiscItems</v>
      </c>
      <c r="I180" s="553" t="str">
        <f t="shared" ca="1" si="3"/>
        <v xml:space="preserve"> </v>
      </c>
      <c r="J180" s="113" t="str" cm="1">
        <f t="array" aca="1" ref="J180" ca="1">IFERROR(_xlfn.XLOOKUP($A180&amp;BasicProjectData!$G$18,PRICES!$B$2:$B$3684&amp;PRICES!$A$2:$A$3684,PRICES!$H$2:$H$3684)," ")</f>
        <v xml:space="preserve"> </v>
      </c>
      <c r="K180" s="113" t="str" cm="1">
        <f t="array" aca="1" ref="K180" ca="1">IFERROR(_xlfn.XLOOKUP($A180&amp;"All Districts",PRICES!$B$2:$B$3684&amp;PRICES!$A$2:$A$3684,PRICES!$H$2:$H$3684)," ")</f>
        <v xml:space="preserve"> </v>
      </c>
      <c r="L180" s="556" t="str" cm="1">
        <f t="array" aca="1" ref="L180" ca="1">_xlfn.SWITCH(E180,J180,"District Price",K180,"State Price","Other/User Input/Override")</f>
        <v>District Price</v>
      </c>
    </row>
    <row r="181" spans="1:12">
      <c r="A181" s="110" t="str">
        <f t="array" aca="1" ref="A181" ca="1">IFERROR(INDEX(OUTPUT!$A$9:'OUTPUT'!$A$247,SMALL(IF(OUTPUT!$F$9:$F$247&lt;&gt;0,MATCH(OUTPUT!$A$9:'OUTPUT'!$A$247,OUTPUT!$A$9:'OUTPUT'!$A$247,0)),ROWS(ProjectEstimate!A$9:A181)),1),"")</f>
        <v/>
      </c>
      <c r="B181" s="111" t="str">
        <f ca="1">_xlfn.IFNA(OFFSET(INDEX(Output[Item '#],MATCH($A181,Output[Item '#],0)),0,1)," ")</f>
        <v xml:space="preserve"> </v>
      </c>
      <c r="C181" s="111" t="str">
        <f ca="1">_xlfn.IFNA(OFFSET(INDEX(Output[Item '#],MATCH($A181,Output[Item '#],0)),0,2)," ")</f>
        <v xml:space="preserve"> </v>
      </c>
      <c r="D181" s="111" t="str">
        <f ca="1">_xlfn.IFNA(OFFSET(INDEX(Output[Item '#],MATCH($A181,Output[Item '#],0)),0,3)," ")</f>
        <v xml:space="preserve"> </v>
      </c>
      <c r="E181" s="659" t="str">
        <f ca="1">_xlfn.IFNA(OFFSET(INDEX(Output[Item '#],MATCH($A181,Output[Item '#],0)),0,4)," ")</f>
        <v xml:space="preserve"> </v>
      </c>
      <c r="F181" s="659" t="str">
        <f ca="1">_xlfn.IFNA(OFFSET(INDEX(Output[Item '#],MATCH($A181,Output[Item '#],0)),0,5)," ")</f>
        <v xml:space="preserve"> </v>
      </c>
      <c r="G181" s="121"/>
      <c r="H181" s="584" t="str">
        <f ca="1">_xlfn.XLOOKUP(A181,OUTPUT!$Y$10:$Y$165,OUTPUT!$Z$10:$Z$165,"MiscItems")</f>
        <v>MiscItems</v>
      </c>
      <c r="I181" s="553" t="str">
        <f t="shared" ca="1" si="3"/>
        <v xml:space="preserve"> </v>
      </c>
      <c r="J181" s="113" t="str" cm="1">
        <f t="array" aca="1" ref="J181" ca="1">IFERROR(_xlfn.XLOOKUP($A181&amp;BasicProjectData!$G$18,PRICES!$B$2:$B$3684&amp;PRICES!$A$2:$A$3684,PRICES!$H$2:$H$3684)," ")</f>
        <v xml:space="preserve"> </v>
      </c>
      <c r="K181" s="113" t="str" cm="1">
        <f t="array" aca="1" ref="K181" ca="1">IFERROR(_xlfn.XLOOKUP($A181&amp;"All Districts",PRICES!$B$2:$B$3684&amp;PRICES!$A$2:$A$3684,PRICES!$H$2:$H$3684)," ")</f>
        <v xml:space="preserve"> </v>
      </c>
      <c r="L181" s="556" t="str" cm="1">
        <f t="array" aca="1" ref="L181" ca="1">_xlfn.SWITCH(E181,J181,"District Price",K181,"State Price","Other/User Input/Override")</f>
        <v>District Price</v>
      </c>
    </row>
    <row r="182" spans="1:12">
      <c r="A182" s="110" t="str">
        <f t="array" aca="1" ref="A182" ca="1">IFERROR(INDEX(OUTPUT!$A$9:'OUTPUT'!$A$247,SMALL(IF(OUTPUT!$F$9:$F$247&lt;&gt;0,MATCH(OUTPUT!$A$9:'OUTPUT'!$A$247,OUTPUT!$A$9:'OUTPUT'!$A$247,0)),ROWS(ProjectEstimate!A$9:A182)),1),"")</f>
        <v/>
      </c>
      <c r="B182" s="111" t="str">
        <f ca="1">_xlfn.IFNA(OFFSET(INDEX(Output[Item '#],MATCH($A182,Output[Item '#],0)),0,1)," ")</f>
        <v xml:space="preserve"> </v>
      </c>
      <c r="C182" s="111" t="str">
        <f ca="1">_xlfn.IFNA(OFFSET(INDEX(Output[Item '#],MATCH($A182,Output[Item '#],0)),0,2)," ")</f>
        <v xml:space="preserve"> </v>
      </c>
      <c r="D182" s="111" t="str">
        <f ca="1">_xlfn.IFNA(OFFSET(INDEX(Output[Item '#],MATCH($A182,Output[Item '#],0)),0,3)," ")</f>
        <v xml:space="preserve"> </v>
      </c>
      <c r="E182" s="659" t="str">
        <f ca="1">_xlfn.IFNA(OFFSET(INDEX(Output[Item '#],MATCH($A182,Output[Item '#],0)),0,4)," ")</f>
        <v xml:space="preserve"> </v>
      </c>
      <c r="F182" s="659" t="str">
        <f ca="1">_xlfn.IFNA(OFFSET(INDEX(Output[Item '#],MATCH($A182,Output[Item '#],0)),0,5)," ")</f>
        <v xml:space="preserve"> </v>
      </c>
      <c r="G182" s="121"/>
      <c r="H182" s="584" t="str">
        <f ca="1">_xlfn.XLOOKUP(A182,OUTPUT!$Y$10:$Y$165,OUTPUT!$Z$10:$Z$165,"MiscItems")</f>
        <v>MiscItems</v>
      </c>
      <c r="I182" s="553" t="str">
        <f t="shared" ca="1" si="3"/>
        <v xml:space="preserve"> </v>
      </c>
      <c r="J182" s="113" t="str" cm="1">
        <f t="array" aca="1" ref="J182" ca="1">IFERROR(_xlfn.XLOOKUP($A182&amp;BasicProjectData!$G$18,PRICES!$B$2:$B$3684&amp;PRICES!$A$2:$A$3684,PRICES!$H$2:$H$3684)," ")</f>
        <v xml:space="preserve"> </v>
      </c>
      <c r="K182" s="113" t="str" cm="1">
        <f t="array" aca="1" ref="K182" ca="1">IFERROR(_xlfn.XLOOKUP($A182&amp;"All Districts",PRICES!$B$2:$B$3684&amp;PRICES!$A$2:$A$3684,PRICES!$H$2:$H$3684)," ")</f>
        <v xml:space="preserve"> </v>
      </c>
      <c r="L182" s="556" t="str" cm="1">
        <f t="array" aca="1" ref="L182" ca="1">_xlfn.SWITCH(E182,J182,"District Price",K182,"State Price","Other/User Input/Override")</f>
        <v>District Price</v>
      </c>
    </row>
    <row r="183" spans="1:12">
      <c r="A183" s="110" t="str">
        <f t="array" aca="1" ref="A183" ca="1">IFERROR(INDEX(OUTPUT!$A$9:'OUTPUT'!$A$247,SMALL(IF(OUTPUT!$F$9:$F$247&lt;&gt;0,MATCH(OUTPUT!$A$9:'OUTPUT'!$A$247,OUTPUT!$A$9:'OUTPUT'!$A$247,0)),ROWS(ProjectEstimate!A$9:A183)),1),"")</f>
        <v/>
      </c>
      <c r="B183" s="111" t="str">
        <f ca="1">_xlfn.IFNA(OFFSET(INDEX(Output[Item '#],MATCH($A183,Output[Item '#],0)),0,1)," ")</f>
        <v xml:space="preserve"> </v>
      </c>
      <c r="C183" s="111" t="str">
        <f ca="1">_xlfn.IFNA(OFFSET(INDEX(Output[Item '#],MATCH($A183,Output[Item '#],0)),0,2)," ")</f>
        <v xml:space="preserve"> </v>
      </c>
      <c r="D183" s="111" t="str">
        <f ca="1">_xlfn.IFNA(OFFSET(INDEX(Output[Item '#],MATCH($A183,Output[Item '#],0)),0,3)," ")</f>
        <v xml:space="preserve"> </v>
      </c>
      <c r="E183" s="659" t="str">
        <f ca="1">_xlfn.IFNA(OFFSET(INDEX(Output[Item '#],MATCH($A183,Output[Item '#],0)),0,4)," ")</f>
        <v xml:space="preserve"> </v>
      </c>
      <c r="F183" s="659" t="str">
        <f ca="1">_xlfn.IFNA(OFFSET(INDEX(Output[Item '#],MATCH($A183,Output[Item '#],0)),0,5)," ")</f>
        <v xml:space="preserve"> </v>
      </c>
      <c r="G183" s="121"/>
      <c r="H183" s="584" t="str">
        <f ca="1">_xlfn.XLOOKUP(A183,OUTPUT!$Y$10:$Y$165,OUTPUT!$Z$10:$Z$165,"MiscItems")</f>
        <v>MiscItems</v>
      </c>
      <c r="I183" s="553" t="str">
        <f t="shared" ca="1" si="3"/>
        <v xml:space="preserve"> </v>
      </c>
      <c r="J183" s="113" t="str" cm="1">
        <f t="array" aca="1" ref="J183" ca="1">IFERROR(_xlfn.XLOOKUP($A183&amp;BasicProjectData!$G$18,PRICES!$B$2:$B$3684&amp;PRICES!$A$2:$A$3684,PRICES!$H$2:$H$3684)," ")</f>
        <v xml:space="preserve"> </v>
      </c>
      <c r="K183" s="113" t="str" cm="1">
        <f t="array" aca="1" ref="K183" ca="1">IFERROR(_xlfn.XLOOKUP($A183&amp;"All Districts",PRICES!$B$2:$B$3684&amp;PRICES!$A$2:$A$3684,PRICES!$H$2:$H$3684)," ")</f>
        <v xml:space="preserve"> </v>
      </c>
      <c r="L183" s="556" t="str" cm="1">
        <f t="array" aca="1" ref="L183" ca="1">_xlfn.SWITCH(E183,J183,"District Price",K183,"State Price","Other/User Input/Override")</f>
        <v>District Price</v>
      </c>
    </row>
    <row r="184" spans="1:12">
      <c r="A184" s="110" t="str">
        <f t="array" aca="1" ref="A184" ca="1">IFERROR(INDEX(OUTPUT!$A$9:'OUTPUT'!$A$247,SMALL(IF(OUTPUT!$F$9:$F$247&lt;&gt;0,MATCH(OUTPUT!$A$9:'OUTPUT'!$A$247,OUTPUT!$A$9:'OUTPUT'!$A$247,0)),ROWS(ProjectEstimate!A$9:A184)),1),"")</f>
        <v/>
      </c>
      <c r="B184" s="111" t="str">
        <f ca="1">_xlfn.IFNA(OFFSET(INDEX(Output[Item '#],MATCH($A184,Output[Item '#],0)),0,1)," ")</f>
        <v xml:space="preserve"> </v>
      </c>
      <c r="C184" s="111" t="str">
        <f ca="1">_xlfn.IFNA(OFFSET(INDEX(Output[Item '#],MATCH($A184,Output[Item '#],0)),0,2)," ")</f>
        <v xml:space="preserve"> </v>
      </c>
      <c r="D184" s="111" t="str">
        <f ca="1">_xlfn.IFNA(OFFSET(INDEX(Output[Item '#],MATCH($A184,Output[Item '#],0)),0,3)," ")</f>
        <v xml:space="preserve"> </v>
      </c>
      <c r="E184" s="659" t="str">
        <f ca="1">_xlfn.IFNA(OFFSET(INDEX(Output[Item '#],MATCH($A184,Output[Item '#],0)),0,4)," ")</f>
        <v xml:space="preserve"> </v>
      </c>
      <c r="F184" s="659" t="str">
        <f ca="1">_xlfn.IFNA(OFFSET(INDEX(Output[Item '#],MATCH($A184,Output[Item '#],0)),0,5)," ")</f>
        <v xml:space="preserve"> </v>
      </c>
      <c r="G184" s="121"/>
      <c r="H184" s="584" t="str">
        <f ca="1">_xlfn.XLOOKUP(A184,OUTPUT!$Y$10:$Y$165,OUTPUT!$Z$10:$Z$165,"MiscItems")</f>
        <v>MiscItems</v>
      </c>
      <c r="I184" s="553" t="str">
        <f t="shared" ca="1" si="3"/>
        <v xml:space="preserve"> </v>
      </c>
      <c r="J184" s="113" t="str" cm="1">
        <f t="array" aca="1" ref="J184" ca="1">IFERROR(_xlfn.XLOOKUP($A184&amp;BasicProjectData!$G$18,PRICES!$B$2:$B$3684&amp;PRICES!$A$2:$A$3684,PRICES!$H$2:$H$3684)," ")</f>
        <v xml:space="preserve"> </v>
      </c>
      <c r="K184" s="113" t="str" cm="1">
        <f t="array" aca="1" ref="K184" ca="1">IFERROR(_xlfn.XLOOKUP($A184&amp;"All Districts",PRICES!$B$2:$B$3684&amp;PRICES!$A$2:$A$3684,PRICES!$H$2:$H$3684)," ")</f>
        <v xml:space="preserve"> </v>
      </c>
      <c r="L184" s="556" t="str" cm="1">
        <f t="array" aca="1" ref="L184" ca="1">_xlfn.SWITCH(E184,J184,"District Price",K184,"State Price","Other/User Input/Override")</f>
        <v>District Price</v>
      </c>
    </row>
    <row r="185" spans="1:12">
      <c r="A185" s="110" t="str">
        <f t="array" aca="1" ref="A185" ca="1">IFERROR(INDEX(OUTPUT!$A$9:'OUTPUT'!$A$247,SMALL(IF(OUTPUT!$F$9:$F$247&lt;&gt;0,MATCH(OUTPUT!$A$9:'OUTPUT'!$A$247,OUTPUT!$A$9:'OUTPUT'!$A$247,0)),ROWS(ProjectEstimate!A$9:A185)),1),"")</f>
        <v/>
      </c>
      <c r="B185" s="111" t="str">
        <f ca="1">_xlfn.IFNA(OFFSET(INDEX(Output[Item '#],MATCH($A185,Output[Item '#],0)),0,1)," ")</f>
        <v xml:space="preserve"> </v>
      </c>
      <c r="C185" s="111" t="str">
        <f ca="1">_xlfn.IFNA(OFFSET(INDEX(Output[Item '#],MATCH($A185,Output[Item '#],0)),0,2)," ")</f>
        <v xml:space="preserve"> </v>
      </c>
      <c r="D185" s="111" t="str">
        <f ca="1">_xlfn.IFNA(OFFSET(INDEX(Output[Item '#],MATCH($A185,Output[Item '#],0)),0,3)," ")</f>
        <v xml:space="preserve"> </v>
      </c>
      <c r="E185" s="659" t="str">
        <f ca="1">_xlfn.IFNA(OFFSET(INDEX(Output[Item '#],MATCH($A185,Output[Item '#],0)),0,4)," ")</f>
        <v xml:space="preserve"> </v>
      </c>
      <c r="F185" s="659" t="str">
        <f ca="1">_xlfn.IFNA(OFFSET(INDEX(Output[Item '#],MATCH($A185,Output[Item '#],0)),0,5)," ")</f>
        <v xml:space="preserve"> </v>
      </c>
      <c r="G185" s="121"/>
      <c r="H185" s="584" t="str">
        <f ca="1">_xlfn.XLOOKUP(A185,OUTPUT!$Y$10:$Y$165,OUTPUT!$Z$10:$Z$165,"MiscItems")</f>
        <v>MiscItems</v>
      </c>
      <c r="I185" s="553" t="str">
        <f t="shared" ca="1" si="3"/>
        <v xml:space="preserve"> </v>
      </c>
      <c r="J185" s="113" t="str" cm="1">
        <f t="array" aca="1" ref="J185" ca="1">IFERROR(_xlfn.XLOOKUP($A185&amp;BasicProjectData!$G$18,PRICES!$B$2:$B$3684&amp;PRICES!$A$2:$A$3684,PRICES!$H$2:$H$3684)," ")</f>
        <v xml:space="preserve"> </v>
      </c>
      <c r="K185" s="113" t="str" cm="1">
        <f t="array" aca="1" ref="K185" ca="1">IFERROR(_xlfn.XLOOKUP($A185&amp;"All Districts",PRICES!$B$2:$B$3684&amp;PRICES!$A$2:$A$3684,PRICES!$H$2:$H$3684)," ")</f>
        <v xml:space="preserve"> </v>
      </c>
      <c r="L185" s="556" t="str" cm="1">
        <f t="array" aca="1" ref="L185" ca="1">_xlfn.SWITCH(E185,J185,"District Price",K185,"State Price","Other/User Input/Override")</f>
        <v>District Price</v>
      </c>
    </row>
    <row r="186" spans="1:12">
      <c r="A186" s="110" t="str">
        <f t="array" aca="1" ref="A186" ca="1">IFERROR(INDEX(OUTPUT!$A$9:'OUTPUT'!$A$247,SMALL(IF(OUTPUT!$F$9:$F$247&lt;&gt;0,MATCH(OUTPUT!$A$9:'OUTPUT'!$A$247,OUTPUT!$A$9:'OUTPUT'!$A$247,0)),ROWS(ProjectEstimate!A$9:A186)),1),"")</f>
        <v/>
      </c>
      <c r="B186" s="111" t="str">
        <f ca="1">_xlfn.IFNA(OFFSET(INDEX(Output[Item '#],MATCH($A186,Output[Item '#],0)),0,1)," ")</f>
        <v xml:space="preserve"> </v>
      </c>
      <c r="C186" s="111" t="str">
        <f ca="1">_xlfn.IFNA(OFFSET(INDEX(Output[Item '#],MATCH($A186,Output[Item '#],0)),0,2)," ")</f>
        <v xml:space="preserve"> </v>
      </c>
      <c r="D186" s="111" t="str">
        <f ca="1">_xlfn.IFNA(OFFSET(INDEX(Output[Item '#],MATCH($A186,Output[Item '#],0)),0,3)," ")</f>
        <v xml:space="preserve"> </v>
      </c>
      <c r="E186" s="659" t="str">
        <f ca="1">_xlfn.IFNA(OFFSET(INDEX(Output[Item '#],MATCH($A186,Output[Item '#],0)),0,4)," ")</f>
        <v xml:space="preserve"> </v>
      </c>
      <c r="F186" s="659" t="str">
        <f ca="1">_xlfn.IFNA(OFFSET(INDEX(Output[Item '#],MATCH($A186,Output[Item '#],0)),0,5)," ")</f>
        <v xml:space="preserve"> </v>
      </c>
      <c r="G186" s="121"/>
      <c r="H186" s="584" t="str">
        <f ca="1">_xlfn.XLOOKUP(A186,OUTPUT!$Y$10:$Y$165,OUTPUT!$Z$10:$Z$165,"MiscItems")</f>
        <v>MiscItems</v>
      </c>
      <c r="I186" s="553" t="str">
        <f t="shared" ca="1" si="3"/>
        <v xml:space="preserve"> </v>
      </c>
      <c r="J186" s="113" t="str" cm="1">
        <f t="array" aca="1" ref="J186" ca="1">IFERROR(_xlfn.XLOOKUP($A186&amp;BasicProjectData!$G$18,PRICES!$B$2:$B$3684&amp;PRICES!$A$2:$A$3684,PRICES!$H$2:$H$3684)," ")</f>
        <v xml:space="preserve"> </v>
      </c>
      <c r="K186" s="113" t="str" cm="1">
        <f t="array" aca="1" ref="K186" ca="1">IFERROR(_xlfn.XLOOKUP($A186&amp;"All Districts",PRICES!$B$2:$B$3684&amp;PRICES!$A$2:$A$3684,PRICES!$H$2:$H$3684)," ")</f>
        <v xml:space="preserve"> </v>
      </c>
      <c r="L186" s="556" t="str" cm="1">
        <f t="array" aca="1" ref="L186" ca="1">_xlfn.SWITCH(E186,J186,"District Price",K186,"State Price","Other/User Input/Override")</f>
        <v>District Price</v>
      </c>
    </row>
    <row r="187" spans="1:12">
      <c r="A187" s="110" t="str">
        <f t="array" aca="1" ref="A187" ca="1">IFERROR(INDEX(OUTPUT!$A$9:'OUTPUT'!$A$247,SMALL(IF(OUTPUT!$F$9:$F$247&lt;&gt;0,MATCH(OUTPUT!$A$9:'OUTPUT'!$A$247,OUTPUT!$A$9:'OUTPUT'!$A$247,0)),ROWS(ProjectEstimate!A$9:A187)),1),"")</f>
        <v/>
      </c>
      <c r="B187" s="111" t="str">
        <f ca="1">_xlfn.IFNA(OFFSET(INDEX(Output[Item '#],MATCH($A187,Output[Item '#],0)),0,1)," ")</f>
        <v xml:space="preserve"> </v>
      </c>
      <c r="C187" s="111" t="str">
        <f ca="1">_xlfn.IFNA(OFFSET(INDEX(Output[Item '#],MATCH($A187,Output[Item '#],0)),0,2)," ")</f>
        <v xml:space="preserve"> </v>
      </c>
      <c r="D187" s="111" t="str">
        <f ca="1">_xlfn.IFNA(OFFSET(INDEX(Output[Item '#],MATCH($A187,Output[Item '#],0)),0,3)," ")</f>
        <v xml:space="preserve"> </v>
      </c>
      <c r="E187" s="659" t="str">
        <f ca="1">_xlfn.IFNA(OFFSET(INDEX(Output[Item '#],MATCH($A187,Output[Item '#],0)),0,4)," ")</f>
        <v xml:space="preserve"> </v>
      </c>
      <c r="F187" s="659" t="str">
        <f ca="1">_xlfn.IFNA(OFFSET(INDEX(Output[Item '#],MATCH($A187,Output[Item '#],0)),0,5)," ")</f>
        <v xml:space="preserve"> </v>
      </c>
      <c r="G187" s="121"/>
      <c r="H187" s="584" t="str">
        <f ca="1">_xlfn.XLOOKUP(A187,OUTPUT!$Y$10:$Y$165,OUTPUT!$Z$10:$Z$165,"MiscItems")</f>
        <v>MiscItems</v>
      </c>
      <c r="I187" s="553" t="str">
        <f t="shared" ca="1" si="3"/>
        <v xml:space="preserve"> </v>
      </c>
      <c r="J187" s="113" t="str" cm="1">
        <f t="array" aca="1" ref="J187" ca="1">IFERROR(_xlfn.XLOOKUP($A187&amp;BasicProjectData!$G$18,PRICES!$B$2:$B$3684&amp;PRICES!$A$2:$A$3684,PRICES!$H$2:$H$3684)," ")</f>
        <v xml:space="preserve"> </v>
      </c>
      <c r="K187" s="113" t="str" cm="1">
        <f t="array" aca="1" ref="K187" ca="1">IFERROR(_xlfn.XLOOKUP($A187&amp;"All Districts",PRICES!$B$2:$B$3684&amp;PRICES!$A$2:$A$3684,PRICES!$H$2:$H$3684)," ")</f>
        <v xml:space="preserve"> </v>
      </c>
      <c r="L187" s="556" t="str" cm="1">
        <f t="array" aca="1" ref="L187" ca="1">_xlfn.SWITCH(E187,J187,"District Price",K187,"State Price","Other/User Input/Override")</f>
        <v>District Price</v>
      </c>
    </row>
    <row r="188" spans="1:12">
      <c r="A188" s="110" t="str">
        <f t="array" aca="1" ref="A188" ca="1">IFERROR(INDEX(OUTPUT!$A$9:'OUTPUT'!$A$247,SMALL(IF(OUTPUT!$F$9:$F$247&lt;&gt;0,MATCH(OUTPUT!$A$9:'OUTPUT'!$A$247,OUTPUT!$A$9:'OUTPUT'!$A$247,0)),ROWS(ProjectEstimate!A$9:A188)),1),"")</f>
        <v/>
      </c>
      <c r="B188" s="111" t="str">
        <f ca="1">_xlfn.IFNA(OFFSET(INDEX(Output[Item '#],MATCH($A188,Output[Item '#],0)),0,1)," ")</f>
        <v xml:space="preserve"> </v>
      </c>
      <c r="C188" s="111" t="str">
        <f ca="1">_xlfn.IFNA(OFFSET(INDEX(Output[Item '#],MATCH($A188,Output[Item '#],0)),0,2)," ")</f>
        <v xml:space="preserve"> </v>
      </c>
      <c r="D188" s="111" t="str">
        <f ca="1">_xlfn.IFNA(OFFSET(INDEX(Output[Item '#],MATCH($A188,Output[Item '#],0)),0,3)," ")</f>
        <v xml:space="preserve"> </v>
      </c>
      <c r="E188" s="659" t="str">
        <f ca="1">_xlfn.IFNA(OFFSET(INDEX(Output[Item '#],MATCH($A188,Output[Item '#],0)),0,4)," ")</f>
        <v xml:space="preserve"> </v>
      </c>
      <c r="F188" s="659" t="str">
        <f ca="1">_xlfn.IFNA(OFFSET(INDEX(Output[Item '#],MATCH($A188,Output[Item '#],0)),0,5)," ")</f>
        <v xml:space="preserve"> </v>
      </c>
      <c r="G188" s="121"/>
      <c r="H188" s="584" t="str">
        <f ca="1">_xlfn.XLOOKUP(A188,OUTPUT!$Y$10:$Y$165,OUTPUT!$Z$10:$Z$165,"MiscItems")</f>
        <v>MiscItems</v>
      </c>
      <c r="I188" s="553" t="str">
        <f t="shared" ca="1" si="3"/>
        <v xml:space="preserve"> </v>
      </c>
      <c r="J188" s="113" t="str" cm="1">
        <f t="array" aca="1" ref="J188" ca="1">IFERROR(_xlfn.XLOOKUP($A188&amp;BasicProjectData!$G$18,PRICES!$B$2:$B$3684&amp;PRICES!$A$2:$A$3684,PRICES!$H$2:$H$3684)," ")</f>
        <v xml:space="preserve"> </v>
      </c>
      <c r="K188" s="113" t="str" cm="1">
        <f t="array" aca="1" ref="K188" ca="1">IFERROR(_xlfn.XLOOKUP($A188&amp;"All Districts",PRICES!$B$2:$B$3684&amp;PRICES!$A$2:$A$3684,PRICES!$H$2:$H$3684)," ")</f>
        <v xml:space="preserve"> </v>
      </c>
      <c r="L188" s="556" t="str" cm="1">
        <f t="array" aca="1" ref="L188" ca="1">_xlfn.SWITCH(E188,J188,"District Price",K188,"State Price","Other/User Input/Override")</f>
        <v>District Price</v>
      </c>
    </row>
    <row r="189" spans="1:12">
      <c r="A189" s="110" t="str">
        <f t="array" aca="1" ref="A189" ca="1">IFERROR(INDEX(OUTPUT!$A$9:'OUTPUT'!$A$247,SMALL(IF(OUTPUT!$F$9:$F$247&lt;&gt;0,MATCH(OUTPUT!$A$9:'OUTPUT'!$A$247,OUTPUT!$A$9:'OUTPUT'!$A$247,0)),ROWS(ProjectEstimate!A$9:A189)),1),"")</f>
        <v/>
      </c>
      <c r="B189" s="111" t="str">
        <f ca="1">_xlfn.IFNA(OFFSET(INDEX(Output[Item '#],MATCH($A189,Output[Item '#],0)),0,1)," ")</f>
        <v xml:space="preserve"> </v>
      </c>
      <c r="C189" s="111" t="str">
        <f ca="1">_xlfn.IFNA(OFFSET(INDEX(Output[Item '#],MATCH($A189,Output[Item '#],0)),0,2)," ")</f>
        <v xml:space="preserve"> </v>
      </c>
      <c r="D189" s="111" t="str">
        <f ca="1">_xlfn.IFNA(OFFSET(INDEX(Output[Item '#],MATCH($A189,Output[Item '#],0)),0,3)," ")</f>
        <v xml:space="preserve"> </v>
      </c>
      <c r="E189" s="659" t="str">
        <f ca="1">_xlfn.IFNA(OFFSET(INDEX(Output[Item '#],MATCH($A189,Output[Item '#],0)),0,4)," ")</f>
        <v xml:space="preserve"> </v>
      </c>
      <c r="F189" s="659" t="str">
        <f ca="1">_xlfn.IFNA(OFFSET(INDEX(Output[Item '#],MATCH($A189,Output[Item '#],0)),0,5)," ")</f>
        <v xml:space="preserve"> </v>
      </c>
      <c r="G189" s="121"/>
      <c r="H189" s="584" t="str">
        <f ca="1">_xlfn.XLOOKUP(A189,OUTPUT!$Y$10:$Y$165,OUTPUT!$Z$10:$Z$165,"MiscItems")</f>
        <v>MiscItems</v>
      </c>
      <c r="I189" s="553" t="str">
        <f t="shared" ca="1" si="3"/>
        <v xml:space="preserve"> </v>
      </c>
      <c r="J189" s="113" t="str" cm="1">
        <f t="array" aca="1" ref="J189" ca="1">IFERROR(_xlfn.XLOOKUP($A189&amp;BasicProjectData!$G$18,PRICES!$B$2:$B$3684&amp;PRICES!$A$2:$A$3684,PRICES!$H$2:$H$3684)," ")</f>
        <v xml:space="preserve"> </v>
      </c>
      <c r="K189" s="113" t="str" cm="1">
        <f t="array" aca="1" ref="K189" ca="1">IFERROR(_xlfn.XLOOKUP($A189&amp;"All Districts",PRICES!$B$2:$B$3684&amp;PRICES!$A$2:$A$3684,PRICES!$H$2:$H$3684)," ")</f>
        <v xml:space="preserve"> </v>
      </c>
      <c r="L189" s="556" t="str" cm="1">
        <f t="array" aca="1" ref="L189" ca="1">_xlfn.SWITCH(E189,J189,"District Price",K189,"State Price","Other/User Input/Override")</f>
        <v>District Price</v>
      </c>
    </row>
    <row r="190" spans="1:12">
      <c r="A190" s="110" t="str">
        <f t="array" aca="1" ref="A190" ca="1">IFERROR(INDEX(OUTPUT!$A$9:'OUTPUT'!$A$247,SMALL(IF(OUTPUT!$F$9:$F$247&lt;&gt;0,MATCH(OUTPUT!$A$9:'OUTPUT'!$A$247,OUTPUT!$A$9:'OUTPUT'!$A$247,0)),ROWS(ProjectEstimate!A$9:A190)),1),"")</f>
        <v/>
      </c>
      <c r="B190" s="111" t="str">
        <f ca="1">_xlfn.IFNA(OFFSET(INDEX(Output[Item '#],MATCH($A190,Output[Item '#],0)),0,1)," ")</f>
        <v xml:space="preserve"> </v>
      </c>
      <c r="C190" s="111" t="str">
        <f ca="1">_xlfn.IFNA(OFFSET(INDEX(Output[Item '#],MATCH($A190,Output[Item '#],0)),0,2)," ")</f>
        <v xml:space="preserve"> </v>
      </c>
      <c r="D190" s="111" t="str">
        <f ca="1">_xlfn.IFNA(OFFSET(INDEX(Output[Item '#],MATCH($A190,Output[Item '#],0)),0,3)," ")</f>
        <v xml:space="preserve"> </v>
      </c>
      <c r="E190" s="659" t="str">
        <f ca="1">_xlfn.IFNA(OFFSET(INDEX(Output[Item '#],MATCH($A190,Output[Item '#],0)),0,4)," ")</f>
        <v xml:space="preserve"> </v>
      </c>
      <c r="F190" s="659" t="str">
        <f ca="1">_xlfn.IFNA(OFFSET(INDEX(Output[Item '#],MATCH($A190,Output[Item '#],0)),0,5)," ")</f>
        <v xml:space="preserve"> </v>
      </c>
      <c r="G190" s="121"/>
      <c r="H190" s="584" t="str">
        <f ca="1">_xlfn.XLOOKUP(A190,OUTPUT!$Y$10:$Y$165,OUTPUT!$Z$10:$Z$165,"MiscItems")</f>
        <v>MiscItems</v>
      </c>
      <c r="I190" s="553" t="str">
        <f t="shared" ca="1" si="3"/>
        <v xml:space="preserve"> </v>
      </c>
      <c r="J190" s="113" t="str" cm="1">
        <f t="array" aca="1" ref="J190" ca="1">IFERROR(_xlfn.XLOOKUP($A190&amp;BasicProjectData!$G$18,PRICES!$B$2:$B$3684&amp;PRICES!$A$2:$A$3684,PRICES!$H$2:$H$3684)," ")</f>
        <v xml:space="preserve"> </v>
      </c>
      <c r="K190" s="113" t="str" cm="1">
        <f t="array" aca="1" ref="K190" ca="1">IFERROR(_xlfn.XLOOKUP($A190&amp;"All Districts",PRICES!$B$2:$B$3684&amp;PRICES!$A$2:$A$3684,PRICES!$H$2:$H$3684)," ")</f>
        <v xml:space="preserve"> </v>
      </c>
      <c r="L190" s="556" t="str" cm="1">
        <f t="array" aca="1" ref="L190" ca="1">_xlfn.SWITCH(E190,J190,"District Price",K190,"State Price","Other/User Input/Override")</f>
        <v>District Price</v>
      </c>
    </row>
    <row r="191" spans="1:12">
      <c r="A191" s="110" t="str">
        <f t="array" aca="1" ref="A191" ca="1">IFERROR(INDEX(OUTPUT!$A$9:'OUTPUT'!$A$247,SMALL(IF(OUTPUT!$F$9:$F$247&lt;&gt;0,MATCH(OUTPUT!$A$9:'OUTPUT'!$A$247,OUTPUT!$A$9:'OUTPUT'!$A$247,0)),ROWS(ProjectEstimate!A$9:A191)),1),"")</f>
        <v/>
      </c>
      <c r="B191" s="111" t="str">
        <f ca="1">_xlfn.IFNA(OFFSET(INDEX(Output[Item '#],MATCH($A191,Output[Item '#],0)),0,1)," ")</f>
        <v xml:space="preserve"> </v>
      </c>
      <c r="C191" s="111" t="str">
        <f ca="1">_xlfn.IFNA(OFFSET(INDEX(Output[Item '#],MATCH($A191,Output[Item '#],0)),0,2)," ")</f>
        <v xml:space="preserve"> </v>
      </c>
      <c r="D191" s="111" t="str">
        <f ca="1">_xlfn.IFNA(OFFSET(INDEX(Output[Item '#],MATCH($A191,Output[Item '#],0)),0,3)," ")</f>
        <v xml:space="preserve"> </v>
      </c>
      <c r="E191" s="659" t="str">
        <f ca="1">_xlfn.IFNA(OFFSET(INDEX(Output[Item '#],MATCH($A191,Output[Item '#],0)),0,4)," ")</f>
        <v xml:space="preserve"> </v>
      </c>
      <c r="F191" s="659" t="str">
        <f ca="1">_xlfn.IFNA(OFFSET(INDEX(Output[Item '#],MATCH($A191,Output[Item '#],0)),0,5)," ")</f>
        <v xml:space="preserve"> </v>
      </c>
      <c r="G191" s="121"/>
      <c r="H191" s="584" t="str">
        <f ca="1">_xlfn.XLOOKUP(A191,OUTPUT!$Y$10:$Y$165,OUTPUT!$Z$10:$Z$165,"MiscItems")</f>
        <v>MiscItems</v>
      </c>
      <c r="I191" s="553" t="str">
        <f t="shared" ca="1" si="3"/>
        <v xml:space="preserve"> </v>
      </c>
      <c r="J191" s="113" t="str" cm="1">
        <f t="array" aca="1" ref="J191" ca="1">IFERROR(_xlfn.XLOOKUP($A191&amp;BasicProjectData!$G$18,PRICES!$B$2:$B$3684&amp;PRICES!$A$2:$A$3684,PRICES!$H$2:$H$3684)," ")</f>
        <v xml:space="preserve"> </v>
      </c>
      <c r="K191" s="113" t="str" cm="1">
        <f t="array" aca="1" ref="K191" ca="1">IFERROR(_xlfn.XLOOKUP($A191&amp;"All Districts",PRICES!$B$2:$B$3684&amp;PRICES!$A$2:$A$3684,PRICES!$H$2:$H$3684)," ")</f>
        <v xml:space="preserve"> </v>
      </c>
      <c r="L191" s="556" t="str" cm="1">
        <f t="array" aca="1" ref="L191" ca="1">_xlfn.SWITCH(E191,J191,"District Price",K191,"State Price","Other/User Input/Override")</f>
        <v>District Price</v>
      </c>
    </row>
    <row r="192" spans="1:12">
      <c r="A192" s="110" t="str">
        <f t="array" aca="1" ref="A192" ca="1">IFERROR(INDEX(OUTPUT!$A$9:'OUTPUT'!$A$247,SMALL(IF(OUTPUT!$F$9:$F$247&lt;&gt;0,MATCH(OUTPUT!$A$9:'OUTPUT'!$A$247,OUTPUT!$A$9:'OUTPUT'!$A$247,0)),ROWS(ProjectEstimate!A$9:A192)),1),"")</f>
        <v/>
      </c>
      <c r="B192" s="111" t="str">
        <f ca="1">_xlfn.IFNA(OFFSET(INDEX(Output[Item '#],MATCH($A192,Output[Item '#],0)),0,1)," ")</f>
        <v xml:space="preserve"> </v>
      </c>
      <c r="C192" s="111" t="str">
        <f ca="1">_xlfn.IFNA(OFFSET(INDEX(Output[Item '#],MATCH($A192,Output[Item '#],0)),0,2)," ")</f>
        <v xml:space="preserve"> </v>
      </c>
      <c r="D192" s="111" t="str">
        <f ca="1">_xlfn.IFNA(OFFSET(INDEX(Output[Item '#],MATCH($A192,Output[Item '#],0)),0,3)," ")</f>
        <v xml:space="preserve"> </v>
      </c>
      <c r="E192" s="659" t="str">
        <f ca="1">_xlfn.IFNA(OFFSET(INDEX(Output[Item '#],MATCH($A192,Output[Item '#],0)),0,4)," ")</f>
        <v xml:space="preserve"> </v>
      </c>
      <c r="F192" s="659" t="str">
        <f ca="1">_xlfn.IFNA(OFFSET(INDEX(Output[Item '#],MATCH($A192,Output[Item '#],0)),0,5)," ")</f>
        <v xml:space="preserve"> </v>
      </c>
      <c r="G192" s="121"/>
      <c r="H192" s="584" t="str">
        <f ca="1">_xlfn.XLOOKUP(A192,OUTPUT!$Y$10:$Y$165,OUTPUT!$Z$10:$Z$165,"MiscItems")</f>
        <v>MiscItems</v>
      </c>
      <c r="I192" s="553" t="str">
        <f t="shared" ca="1" si="3"/>
        <v xml:space="preserve"> </v>
      </c>
      <c r="J192" s="113" t="str" cm="1">
        <f t="array" aca="1" ref="J192" ca="1">IFERROR(_xlfn.XLOOKUP($A192&amp;BasicProjectData!$G$18,PRICES!$B$2:$B$3684&amp;PRICES!$A$2:$A$3684,PRICES!$H$2:$H$3684)," ")</f>
        <v xml:space="preserve"> </v>
      </c>
      <c r="K192" s="113" t="str" cm="1">
        <f t="array" aca="1" ref="K192" ca="1">IFERROR(_xlfn.XLOOKUP($A192&amp;"All Districts",PRICES!$B$2:$B$3684&amp;PRICES!$A$2:$A$3684,PRICES!$H$2:$H$3684)," ")</f>
        <v xml:space="preserve"> </v>
      </c>
      <c r="L192" s="556" t="str" cm="1">
        <f t="array" aca="1" ref="L192" ca="1">_xlfn.SWITCH(E192,J192,"District Price",K192,"State Price","Other/User Input/Override")</f>
        <v>District Price</v>
      </c>
    </row>
    <row r="193" spans="1:12">
      <c r="A193" s="110" t="str">
        <f t="array" aca="1" ref="A193" ca="1">IFERROR(INDEX(OUTPUT!$A$9:'OUTPUT'!$A$247,SMALL(IF(OUTPUT!$F$9:$F$247&lt;&gt;0,MATCH(OUTPUT!$A$9:'OUTPUT'!$A$247,OUTPUT!$A$9:'OUTPUT'!$A$247,0)),ROWS(ProjectEstimate!A$9:A193)),1),"")</f>
        <v/>
      </c>
      <c r="B193" s="111" t="str">
        <f ca="1">_xlfn.IFNA(OFFSET(INDEX(Output[Item '#],MATCH($A193,Output[Item '#],0)),0,1)," ")</f>
        <v xml:space="preserve"> </v>
      </c>
      <c r="C193" s="111" t="str">
        <f ca="1">_xlfn.IFNA(OFFSET(INDEX(Output[Item '#],MATCH($A193,Output[Item '#],0)),0,2)," ")</f>
        <v xml:space="preserve"> </v>
      </c>
      <c r="D193" s="111" t="str">
        <f ca="1">_xlfn.IFNA(OFFSET(INDEX(Output[Item '#],MATCH($A193,Output[Item '#],0)),0,3)," ")</f>
        <v xml:space="preserve"> </v>
      </c>
      <c r="E193" s="659" t="str">
        <f ca="1">_xlfn.IFNA(OFFSET(INDEX(Output[Item '#],MATCH($A193,Output[Item '#],0)),0,4)," ")</f>
        <v xml:space="preserve"> </v>
      </c>
      <c r="F193" s="659" t="str">
        <f ca="1">_xlfn.IFNA(OFFSET(INDEX(Output[Item '#],MATCH($A193,Output[Item '#],0)),0,5)," ")</f>
        <v xml:space="preserve"> </v>
      </c>
      <c r="G193" s="121"/>
      <c r="H193" s="584" t="str">
        <f ca="1">_xlfn.XLOOKUP(A193,OUTPUT!$Y$10:$Y$165,OUTPUT!$Z$10:$Z$165,"MiscItems")</f>
        <v>MiscItems</v>
      </c>
      <c r="I193" s="553" t="str">
        <f t="shared" ca="1" si="3"/>
        <v xml:space="preserve"> </v>
      </c>
      <c r="J193" s="113" t="str" cm="1">
        <f t="array" aca="1" ref="J193" ca="1">IFERROR(_xlfn.XLOOKUP($A193&amp;BasicProjectData!$G$18,PRICES!$B$2:$B$3684&amp;PRICES!$A$2:$A$3684,PRICES!$H$2:$H$3684)," ")</f>
        <v xml:space="preserve"> </v>
      </c>
      <c r="K193" s="113" t="str" cm="1">
        <f t="array" aca="1" ref="K193" ca="1">IFERROR(_xlfn.XLOOKUP($A193&amp;"All Districts",PRICES!$B$2:$B$3684&amp;PRICES!$A$2:$A$3684,PRICES!$H$2:$H$3684)," ")</f>
        <v xml:space="preserve"> </v>
      </c>
      <c r="L193" s="556" t="str" cm="1">
        <f t="array" aca="1" ref="L193" ca="1">_xlfn.SWITCH(E193,J193,"District Price",K193,"State Price","Other/User Input/Override")</f>
        <v>District Price</v>
      </c>
    </row>
    <row r="194" spans="1:12">
      <c r="A194" s="110" t="str">
        <f t="array" aca="1" ref="A194" ca="1">IFERROR(INDEX(OUTPUT!$A$9:'OUTPUT'!$A$247,SMALL(IF(OUTPUT!$F$9:$F$247&lt;&gt;0,MATCH(OUTPUT!$A$9:'OUTPUT'!$A$247,OUTPUT!$A$9:'OUTPUT'!$A$247,0)),ROWS(ProjectEstimate!A$9:A194)),1),"")</f>
        <v/>
      </c>
      <c r="B194" s="111" t="str">
        <f ca="1">_xlfn.IFNA(OFFSET(INDEX(Output[Item '#],MATCH($A194,Output[Item '#],0)),0,1)," ")</f>
        <v xml:space="preserve"> </v>
      </c>
      <c r="C194" s="111" t="str">
        <f ca="1">_xlfn.IFNA(OFFSET(INDEX(Output[Item '#],MATCH($A194,Output[Item '#],0)),0,2)," ")</f>
        <v xml:space="preserve"> </v>
      </c>
      <c r="D194" s="111" t="str">
        <f ca="1">_xlfn.IFNA(OFFSET(INDEX(Output[Item '#],MATCH($A194,Output[Item '#],0)),0,3)," ")</f>
        <v xml:space="preserve"> </v>
      </c>
      <c r="E194" s="659" t="str">
        <f ca="1">_xlfn.IFNA(OFFSET(INDEX(Output[Item '#],MATCH($A194,Output[Item '#],0)),0,4)," ")</f>
        <v xml:space="preserve"> </v>
      </c>
      <c r="F194" s="659" t="str">
        <f ca="1">_xlfn.IFNA(OFFSET(INDEX(Output[Item '#],MATCH($A194,Output[Item '#],0)),0,5)," ")</f>
        <v xml:space="preserve"> </v>
      </c>
      <c r="G194" s="121"/>
      <c r="H194" s="584" t="str">
        <f ca="1">_xlfn.XLOOKUP(A194,OUTPUT!$Y$10:$Y$165,OUTPUT!$Z$10:$Z$165,"MiscItems")</f>
        <v>MiscItems</v>
      </c>
      <c r="I194" s="553" t="str">
        <f t="shared" ca="1" si="3"/>
        <v xml:space="preserve"> </v>
      </c>
      <c r="J194" s="113" t="str" cm="1">
        <f t="array" aca="1" ref="J194" ca="1">IFERROR(_xlfn.XLOOKUP($A194&amp;BasicProjectData!$G$18,PRICES!$B$2:$B$3684&amp;PRICES!$A$2:$A$3684,PRICES!$H$2:$H$3684)," ")</f>
        <v xml:space="preserve"> </v>
      </c>
      <c r="K194" s="113" t="str" cm="1">
        <f t="array" aca="1" ref="K194" ca="1">IFERROR(_xlfn.XLOOKUP($A194&amp;"All Districts",PRICES!$B$2:$B$3684&amp;PRICES!$A$2:$A$3684,PRICES!$H$2:$H$3684)," ")</f>
        <v xml:space="preserve"> </v>
      </c>
      <c r="L194" s="556" t="str" cm="1">
        <f t="array" aca="1" ref="L194" ca="1">_xlfn.SWITCH(E194,J194,"District Price",K194,"State Price","Other/User Input/Override")</f>
        <v>District Price</v>
      </c>
    </row>
    <row r="195" spans="1:12">
      <c r="A195" s="110" t="str">
        <f t="array" aca="1" ref="A195" ca="1">IFERROR(INDEX(OUTPUT!$A$9:'OUTPUT'!$A$247,SMALL(IF(OUTPUT!$F$9:$F$247&lt;&gt;0,MATCH(OUTPUT!$A$9:'OUTPUT'!$A$247,OUTPUT!$A$9:'OUTPUT'!$A$247,0)),ROWS(ProjectEstimate!A$9:A195)),1),"")</f>
        <v/>
      </c>
      <c r="B195" s="111" t="str">
        <f ca="1">_xlfn.IFNA(OFFSET(INDEX(Output[Item '#],MATCH($A195,Output[Item '#],0)),0,1)," ")</f>
        <v xml:space="preserve"> </v>
      </c>
      <c r="C195" s="111" t="str">
        <f ca="1">_xlfn.IFNA(OFFSET(INDEX(Output[Item '#],MATCH($A195,Output[Item '#],0)),0,2)," ")</f>
        <v xml:space="preserve"> </v>
      </c>
      <c r="D195" s="111" t="str">
        <f ca="1">_xlfn.IFNA(OFFSET(INDEX(Output[Item '#],MATCH($A195,Output[Item '#],0)),0,3)," ")</f>
        <v xml:space="preserve"> </v>
      </c>
      <c r="E195" s="659" t="str">
        <f ca="1">_xlfn.IFNA(OFFSET(INDEX(Output[Item '#],MATCH($A195,Output[Item '#],0)),0,4)," ")</f>
        <v xml:space="preserve"> </v>
      </c>
      <c r="F195" s="659" t="str">
        <f ca="1">_xlfn.IFNA(OFFSET(INDEX(Output[Item '#],MATCH($A195,Output[Item '#],0)),0,5)," ")</f>
        <v xml:space="preserve"> </v>
      </c>
      <c r="G195" s="121"/>
      <c r="H195" s="584" t="str">
        <f ca="1">_xlfn.XLOOKUP(A195,OUTPUT!$Y$10:$Y$165,OUTPUT!$Z$10:$Z$165,"MiscItems")</f>
        <v>MiscItems</v>
      </c>
      <c r="I195" s="553" t="str">
        <f t="shared" ca="1" si="3"/>
        <v xml:space="preserve"> </v>
      </c>
      <c r="J195" s="113" t="str" cm="1">
        <f t="array" aca="1" ref="J195" ca="1">IFERROR(_xlfn.XLOOKUP($A195&amp;BasicProjectData!$G$18,PRICES!$B$2:$B$3684&amp;PRICES!$A$2:$A$3684,PRICES!$H$2:$H$3684)," ")</f>
        <v xml:space="preserve"> </v>
      </c>
      <c r="K195" s="113" t="str" cm="1">
        <f t="array" aca="1" ref="K195" ca="1">IFERROR(_xlfn.XLOOKUP($A195&amp;"All Districts",PRICES!$B$2:$B$3684&amp;PRICES!$A$2:$A$3684,PRICES!$H$2:$H$3684)," ")</f>
        <v xml:space="preserve"> </v>
      </c>
      <c r="L195" s="556" t="str" cm="1">
        <f t="array" aca="1" ref="L195" ca="1">_xlfn.SWITCH(E195,J195,"District Price",K195,"State Price","Other/User Input/Override")</f>
        <v>District Price</v>
      </c>
    </row>
    <row r="196" spans="1:12">
      <c r="A196" s="110" t="str">
        <f t="array" aca="1" ref="A196" ca="1">IFERROR(INDEX(OUTPUT!$A$9:'OUTPUT'!$A$247,SMALL(IF(OUTPUT!$F$9:$F$247&lt;&gt;0,MATCH(OUTPUT!$A$9:'OUTPUT'!$A$247,OUTPUT!$A$9:'OUTPUT'!$A$247,0)),ROWS(ProjectEstimate!A$9:A196)),1),"")</f>
        <v/>
      </c>
      <c r="B196" s="111" t="str">
        <f ca="1">_xlfn.IFNA(OFFSET(INDEX(Output[Item '#],MATCH($A196,Output[Item '#],0)),0,1)," ")</f>
        <v xml:space="preserve"> </v>
      </c>
      <c r="C196" s="111" t="str">
        <f ca="1">_xlfn.IFNA(OFFSET(INDEX(Output[Item '#],MATCH($A196,Output[Item '#],0)),0,2)," ")</f>
        <v xml:space="preserve"> </v>
      </c>
      <c r="D196" s="111" t="str">
        <f ca="1">_xlfn.IFNA(OFFSET(INDEX(Output[Item '#],MATCH($A196,Output[Item '#],0)),0,3)," ")</f>
        <v xml:space="preserve"> </v>
      </c>
      <c r="E196" s="659" t="str">
        <f ca="1">_xlfn.IFNA(OFFSET(INDEX(Output[Item '#],MATCH($A196,Output[Item '#],0)),0,4)," ")</f>
        <v xml:space="preserve"> </v>
      </c>
      <c r="F196" s="659" t="str">
        <f ca="1">_xlfn.IFNA(OFFSET(INDEX(Output[Item '#],MATCH($A196,Output[Item '#],0)),0,5)," ")</f>
        <v xml:space="preserve"> </v>
      </c>
      <c r="G196" s="121"/>
      <c r="H196" s="584" t="str">
        <f ca="1">_xlfn.XLOOKUP(A196,OUTPUT!$Y$10:$Y$165,OUTPUT!$Z$10:$Z$165,"MiscItems")</f>
        <v>MiscItems</v>
      </c>
      <c r="I196" s="553" t="str">
        <f t="shared" ca="1" si="3"/>
        <v xml:space="preserve"> </v>
      </c>
      <c r="J196" s="113" t="str" cm="1">
        <f t="array" aca="1" ref="J196" ca="1">IFERROR(_xlfn.XLOOKUP($A196&amp;BasicProjectData!$G$18,PRICES!$B$2:$B$3684&amp;PRICES!$A$2:$A$3684,PRICES!$H$2:$H$3684)," ")</f>
        <v xml:space="preserve"> </v>
      </c>
      <c r="K196" s="113" t="str" cm="1">
        <f t="array" aca="1" ref="K196" ca="1">IFERROR(_xlfn.XLOOKUP($A196&amp;"All Districts",PRICES!$B$2:$B$3684&amp;PRICES!$A$2:$A$3684,PRICES!$H$2:$H$3684)," ")</f>
        <v xml:space="preserve"> </v>
      </c>
      <c r="L196" s="556" t="str" cm="1">
        <f t="array" aca="1" ref="L196" ca="1">_xlfn.SWITCH(E196,J196,"District Price",K196,"State Price","Other/User Input/Override")</f>
        <v>District Price</v>
      </c>
    </row>
    <row r="197" spans="1:12">
      <c r="A197" s="110" t="str">
        <f t="array" aca="1" ref="A197" ca="1">IFERROR(INDEX(OUTPUT!$A$9:'OUTPUT'!$A$247,SMALL(IF(OUTPUT!$F$9:$F$247&lt;&gt;0,MATCH(OUTPUT!$A$9:'OUTPUT'!$A$247,OUTPUT!$A$9:'OUTPUT'!$A$247,0)),ROWS(ProjectEstimate!A$9:A197)),1),"")</f>
        <v/>
      </c>
      <c r="B197" s="111" t="str">
        <f ca="1">_xlfn.IFNA(OFFSET(INDEX(Output[Item '#],MATCH($A197,Output[Item '#],0)),0,1)," ")</f>
        <v xml:space="preserve"> </v>
      </c>
      <c r="C197" s="111" t="str">
        <f ca="1">_xlfn.IFNA(OFFSET(INDEX(Output[Item '#],MATCH($A197,Output[Item '#],0)),0,2)," ")</f>
        <v xml:space="preserve"> </v>
      </c>
      <c r="D197" s="111" t="str">
        <f ca="1">_xlfn.IFNA(OFFSET(INDEX(Output[Item '#],MATCH($A197,Output[Item '#],0)),0,3)," ")</f>
        <v xml:space="preserve"> </v>
      </c>
      <c r="E197" s="659" t="str">
        <f ca="1">_xlfn.IFNA(OFFSET(INDEX(Output[Item '#],MATCH($A197,Output[Item '#],0)),0,4)," ")</f>
        <v xml:space="preserve"> </v>
      </c>
      <c r="F197" s="659" t="str">
        <f ca="1">_xlfn.IFNA(OFFSET(INDEX(Output[Item '#],MATCH($A197,Output[Item '#],0)),0,5)," ")</f>
        <v xml:space="preserve"> </v>
      </c>
      <c r="G197" s="121"/>
      <c r="H197" s="584" t="str">
        <f ca="1">_xlfn.XLOOKUP(A197,OUTPUT!$Y$10:$Y$165,OUTPUT!$Z$10:$Z$165,"MiscItems")</f>
        <v>MiscItems</v>
      </c>
      <c r="I197" s="553" t="str">
        <f t="shared" ca="1" si="3"/>
        <v xml:space="preserve"> </v>
      </c>
      <c r="J197" s="113" t="str" cm="1">
        <f t="array" aca="1" ref="J197" ca="1">IFERROR(_xlfn.XLOOKUP($A197&amp;BasicProjectData!$G$18,PRICES!$B$2:$B$3684&amp;PRICES!$A$2:$A$3684,PRICES!$H$2:$H$3684)," ")</f>
        <v xml:space="preserve"> </v>
      </c>
      <c r="K197" s="113" t="str" cm="1">
        <f t="array" aca="1" ref="K197" ca="1">IFERROR(_xlfn.XLOOKUP($A197&amp;"All Districts",PRICES!$B$2:$B$3684&amp;PRICES!$A$2:$A$3684,PRICES!$H$2:$H$3684)," ")</f>
        <v xml:space="preserve"> </v>
      </c>
      <c r="L197" s="556" t="str" cm="1">
        <f t="array" aca="1" ref="L197" ca="1">_xlfn.SWITCH(E197,J197,"District Price",K197,"State Price","Other/User Input/Override")</f>
        <v>District Price</v>
      </c>
    </row>
    <row r="198" spans="1:12">
      <c r="A198" s="110" t="str">
        <f t="array" aca="1" ref="A198" ca="1">IFERROR(INDEX(OUTPUT!$A$9:'OUTPUT'!$A$247,SMALL(IF(OUTPUT!$F$9:$F$247&lt;&gt;0,MATCH(OUTPUT!$A$9:'OUTPUT'!$A$247,OUTPUT!$A$9:'OUTPUT'!$A$247,0)),ROWS(ProjectEstimate!A$9:A198)),1),"")</f>
        <v/>
      </c>
      <c r="B198" s="111" t="str">
        <f ca="1">_xlfn.IFNA(OFFSET(INDEX(Output[Item '#],MATCH($A198,Output[Item '#],0)),0,1)," ")</f>
        <v xml:space="preserve"> </v>
      </c>
      <c r="C198" s="111" t="str">
        <f ca="1">_xlfn.IFNA(OFFSET(INDEX(Output[Item '#],MATCH($A198,Output[Item '#],0)),0,2)," ")</f>
        <v xml:space="preserve"> </v>
      </c>
      <c r="D198" s="111" t="str">
        <f ca="1">_xlfn.IFNA(OFFSET(INDEX(Output[Item '#],MATCH($A198,Output[Item '#],0)),0,3)," ")</f>
        <v xml:space="preserve"> </v>
      </c>
      <c r="E198" s="659" t="str">
        <f ca="1">_xlfn.IFNA(OFFSET(INDEX(Output[Item '#],MATCH($A198,Output[Item '#],0)),0,4)," ")</f>
        <v xml:space="preserve"> </v>
      </c>
      <c r="F198" s="659" t="str">
        <f ca="1">_xlfn.IFNA(OFFSET(INDEX(Output[Item '#],MATCH($A198,Output[Item '#],0)),0,5)," ")</f>
        <v xml:space="preserve"> </v>
      </c>
      <c r="G198" s="121"/>
      <c r="H198" s="584" t="str">
        <f ca="1">_xlfn.XLOOKUP(A198,OUTPUT!$Y$10:$Y$165,OUTPUT!$Z$10:$Z$165,"MiscItems")</f>
        <v>MiscItems</v>
      </c>
      <c r="I198" s="553" t="str">
        <f t="shared" ca="1" si="3"/>
        <v xml:space="preserve"> </v>
      </c>
      <c r="J198" s="113" t="str" cm="1">
        <f t="array" aca="1" ref="J198" ca="1">IFERROR(_xlfn.XLOOKUP($A198&amp;BasicProjectData!$G$18,PRICES!$B$2:$B$3684&amp;PRICES!$A$2:$A$3684,PRICES!$H$2:$H$3684)," ")</f>
        <v xml:space="preserve"> </v>
      </c>
      <c r="K198" s="113" t="str" cm="1">
        <f t="array" aca="1" ref="K198" ca="1">IFERROR(_xlfn.XLOOKUP($A198&amp;"All Districts",PRICES!$B$2:$B$3684&amp;PRICES!$A$2:$A$3684,PRICES!$H$2:$H$3684)," ")</f>
        <v xml:space="preserve"> </v>
      </c>
      <c r="L198" s="556" t="str" cm="1">
        <f t="array" aca="1" ref="L198" ca="1">_xlfn.SWITCH(E198,J198,"District Price",K198,"State Price","Other/User Input/Override")</f>
        <v>District Price</v>
      </c>
    </row>
    <row r="199" spans="1:12">
      <c r="A199" s="110" t="str">
        <f t="array" aca="1" ref="A199" ca="1">IFERROR(INDEX(OUTPUT!$A$9:'OUTPUT'!$A$247,SMALL(IF(OUTPUT!$F$9:$F$247&lt;&gt;0,MATCH(OUTPUT!$A$9:'OUTPUT'!$A$247,OUTPUT!$A$9:'OUTPUT'!$A$247,0)),ROWS(ProjectEstimate!A$9:A199)),1),"")</f>
        <v/>
      </c>
      <c r="B199" s="111" t="str">
        <f ca="1">_xlfn.IFNA(OFFSET(INDEX(Output[Item '#],MATCH($A199,Output[Item '#],0)),0,1)," ")</f>
        <v xml:space="preserve"> </v>
      </c>
      <c r="C199" s="111" t="str">
        <f ca="1">_xlfn.IFNA(OFFSET(INDEX(Output[Item '#],MATCH($A199,Output[Item '#],0)),0,2)," ")</f>
        <v xml:space="preserve"> </v>
      </c>
      <c r="D199" s="111" t="str">
        <f ca="1">_xlfn.IFNA(OFFSET(INDEX(Output[Item '#],MATCH($A199,Output[Item '#],0)),0,3)," ")</f>
        <v xml:space="preserve"> </v>
      </c>
      <c r="E199" s="659" t="str">
        <f ca="1">_xlfn.IFNA(OFFSET(INDEX(Output[Item '#],MATCH($A199,Output[Item '#],0)),0,4)," ")</f>
        <v xml:space="preserve"> </v>
      </c>
      <c r="F199" s="659" t="str">
        <f ca="1">_xlfn.IFNA(OFFSET(INDEX(Output[Item '#],MATCH($A199,Output[Item '#],0)),0,5)," ")</f>
        <v xml:space="preserve"> </v>
      </c>
      <c r="G199" s="121"/>
      <c r="H199" s="584" t="str">
        <f ca="1">_xlfn.XLOOKUP(A199,OUTPUT!$Y$10:$Y$165,OUTPUT!$Z$10:$Z$165,"MiscItems")</f>
        <v>MiscItems</v>
      </c>
      <c r="I199" s="553" t="str">
        <f t="shared" ca="1" si="3"/>
        <v xml:space="preserve"> </v>
      </c>
      <c r="J199" s="113" t="str" cm="1">
        <f t="array" aca="1" ref="J199" ca="1">IFERROR(_xlfn.XLOOKUP($A199&amp;BasicProjectData!$G$18,PRICES!$B$2:$B$3684&amp;PRICES!$A$2:$A$3684,PRICES!$H$2:$H$3684)," ")</f>
        <v xml:space="preserve"> </v>
      </c>
      <c r="K199" s="113" t="str" cm="1">
        <f t="array" aca="1" ref="K199" ca="1">IFERROR(_xlfn.XLOOKUP($A199&amp;"All Districts",PRICES!$B$2:$B$3684&amp;PRICES!$A$2:$A$3684,PRICES!$H$2:$H$3684)," ")</f>
        <v xml:space="preserve"> </v>
      </c>
      <c r="L199" s="556" t="str" cm="1">
        <f t="array" aca="1" ref="L199" ca="1">_xlfn.SWITCH(E199,J199,"District Price",K199,"State Price","Other/User Input/Override")</f>
        <v>District Price</v>
      </c>
    </row>
    <row r="200" spans="1:12">
      <c r="A200" s="110" t="str">
        <f t="array" aca="1" ref="A200" ca="1">IFERROR(INDEX(OUTPUT!$A$9:'OUTPUT'!$A$247,SMALL(IF(OUTPUT!$F$9:$F$247&lt;&gt;0,MATCH(OUTPUT!$A$9:'OUTPUT'!$A$247,OUTPUT!$A$9:'OUTPUT'!$A$247,0)),ROWS(ProjectEstimate!A$9:A200)),1),"")</f>
        <v/>
      </c>
      <c r="B200" s="111" t="str">
        <f ca="1">_xlfn.IFNA(OFFSET(INDEX(Output[Item '#],MATCH($A200,Output[Item '#],0)),0,1)," ")</f>
        <v xml:space="preserve"> </v>
      </c>
      <c r="C200" s="111" t="str">
        <f ca="1">_xlfn.IFNA(OFFSET(INDEX(Output[Item '#],MATCH($A200,Output[Item '#],0)),0,2)," ")</f>
        <v xml:space="preserve"> </v>
      </c>
      <c r="D200" s="111" t="str">
        <f ca="1">_xlfn.IFNA(OFFSET(INDEX(Output[Item '#],MATCH($A200,Output[Item '#],0)),0,3)," ")</f>
        <v xml:space="preserve"> </v>
      </c>
      <c r="E200" s="659" t="str">
        <f ca="1">_xlfn.IFNA(OFFSET(INDEX(Output[Item '#],MATCH($A200,Output[Item '#],0)),0,4)," ")</f>
        <v xml:space="preserve"> </v>
      </c>
      <c r="F200" s="659" t="str">
        <f ca="1">_xlfn.IFNA(OFFSET(INDEX(Output[Item '#],MATCH($A200,Output[Item '#],0)),0,5)," ")</f>
        <v xml:space="preserve"> </v>
      </c>
      <c r="G200" s="121"/>
      <c r="H200" s="584" t="str">
        <f ca="1">_xlfn.XLOOKUP(A200,OUTPUT!$Y$10:$Y$165,OUTPUT!$Z$10:$Z$165,"MiscItems")</f>
        <v>MiscItems</v>
      </c>
      <c r="I200" s="553" t="str">
        <f t="shared" ca="1" si="3"/>
        <v xml:space="preserve"> </v>
      </c>
      <c r="J200" s="113" t="str" cm="1">
        <f t="array" aca="1" ref="J200" ca="1">IFERROR(_xlfn.XLOOKUP($A200&amp;BasicProjectData!$G$18,PRICES!$B$2:$B$3684&amp;PRICES!$A$2:$A$3684,PRICES!$H$2:$H$3684)," ")</f>
        <v xml:space="preserve"> </v>
      </c>
      <c r="K200" s="113" t="str" cm="1">
        <f t="array" aca="1" ref="K200" ca="1">IFERROR(_xlfn.XLOOKUP($A200&amp;"All Districts",PRICES!$B$2:$B$3684&amp;PRICES!$A$2:$A$3684,PRICES!$H$2:$H$3684)," ")</f>
        <v xml:space="preserve"> </v>
      </c>
      <c r="L200" s="556" t="str" cm="1">
        <f t="array" aca="1" ref="L200" ca="1">_xlfn.SWITCH(E200,J200,"District Price",K200,"State Price","Other/User Input/Override")</f>
        <v>District Price</v>
      </c>
    </row>
    <row r="201" spans="1:12">
      <c r="A201" s="110" t="str">
        <f t="array" aca="1" ref="A201" ca="1">IFERROR(INDEX(OUTPUT!$A$9:'OUTPUT'!$A$247,SMALL(IF(OUTPUT!$F$9:$F$247&lt;&gt;0,MATCH(OUTPUT!$A$9:'OUTPUT'!$A$247,OUTPUT!$A$9:'OUTPUT'!$A$247,0)),ROWS(ProjectEstimate!A$9:A201)),1),"")</f>
        <v/>
      </c>
      <c r="B201" s="111" t="str">
        <f ca="1">_xlfn.IFNA(OFFSET(INDEX(Output[Item '#],MATCH($A201,Output[Item '#],0)),0,1)," ")</f>
        <v xml:space="preserve"> </v>
      </c>
      <c r="C201" s="111" t="str">
        <f ca="1">_xlfn.IFNA(OFFSET(INDEX(Output[Item '#],MATCH($A201,Output[Item '#],0)),0,2)," ")</f>
        <v xml:space="preserve"> </v>
      </c>
      <c r="D201" s="111" t="str">
        <f ca="1">_xlfn.IFNA(OFFSET(INDEX(Output[Item '#],MATCH($A201,Output[Item '#],0)),0,3)," ")</f>
        <v xml:space="preserve"> </v>
      </c>
      <c r="E201" s="659" t="str">
        <f ca="1">_xlfn.IFNA(OFFSET(INDEX(Output[Item '#],MATCH($A201,Output[Item '#],0)),0,4)," ")</f>
        <v xml:space="preserve"> </v>
      </c>
      <c r="F201" s="659" t="str">
        <f ca="1">_xlfn.IFNA(OFFSET(INDEX(Output[Item '#],MATCH($A201,Output[Item '#],0)),0,5)," ")</f>
        <v xml:space="preserve"> </v>
      </c>
      <c r="G201" s="556"/>
      <c r="H201" s="584" t="str">
        <f ca="1">_xlfn.XLOOKUP(A201,OUTPUT!$Y$10:$Y$165,OUTPUT!$Z$10:$Z$165,"MiscItems")</f>
        <v>MiscItems</v>
      </c>
      <c r="I201" s="553" t="str">
        <f t="shared" ca="1" si="3"/>
        <v xml:space="preserve"> </v>
      </c>
      <c r="J201" s="113" t="str" cm="1">
        <f t="array" aca="1" ref="J201" ca="1">IFERROR(_xlfn.XLOOKUP($A201&amp;BasicProjectData!$G$18,PRICES!$B$2:$B$3684&amp;PRICES!$A$2:$A$3684,PRICES!$H$2:$H$3684)," ")</f>
        <v xml:space="preserve"> </v>
      </c>
      <c r="K201" s="113" t="str" cm="1">
        <f t="array" aca="1" ref="K201" ca="1">IFERROR(_xlfn.XLOOKUP($A201&amp;"All Districts",PRICES!$B$2:$B$3684&amp;PRICES!$A$2:$A$3684,PRICES!$H$2:$H$3684)," ")</f>
        <v xml:space="preserve"> </v>
      </c>
      <c r="L201" s="556" t="str" cm="1">
        <f t="array" aca="1" ref="L201" ca="1">_xlfn.SWITCH(E201,J201,"District Price",K201,"State Price","Other/User Input/Override")</f>
        <v>District Price</v>
      </c>
    </row>
    <row r="202" spans="1:12">
      <c r="A202" s="110" t="str">
        <f t="array" aca="1" ref="A202" ca="1">IFERROR(INDEX(OUTPUT!$A$9:'OUTPUT'!$A$247,SMALL(IF(OUTPUT!$F$9:$F$247&lt;&gt;0,MATCH(OUTPUT!$A$9:'OUTPUT'!$A$247,OUTPUT!$A$9:'OUTPUT'!$A$247,0)),ROWS(ProjectEstimate!A$9:A202)),1),"")</f>
        <v/>
      </c>
      <c r="B202" s="111" t="str">
        <f ca="1">_xlfn.IFNA(OFFSET(INDEX(Output[Item '#],MATCH($A202,Output[Item '#],0)),0,1)," ")</f>
        <v xml:space="preserve"> </v>
      </c>
      <c r="C202" s="111" t="str">
        <f ca="1">_xlfn.IFNA(OFFSET(INDEX(Output[Item '#],MATCH($A202,Output[Item '#],0)),0,2)," ")</f>
        <v xml:space="preserve"> </v>
      </c>
      <c r="D202" s="111" t="str">
        <f ca="1">_xlfn.IFNA(OFFSET(INDEX(Output[Item '#],MATCH($A202,Output[Item '#],0)),0,3)," ")</f>
        <v xml:space="preserve"> </v>
      </c>
      <c r="E202" s="659" t="str">
        <f ca="1">_xlfn.IFNA(OFFSET(INDEX(Output[Item '#],MATCH($A202,Output[Item '#],0)),0,4)," ")</f>
        <v xml:space="preserve"> </v>
      </c>
      <c r="F202" s="659" t="str">
        <f ca="1">_xlfn.IFNA(OFFSET(INDEX(Output[Item '#],MATCH($A202,Output[Item '#],0)),0,5)," ")</f>
        <v xml:space="preserve"> </v>
      </c>
      <c r="G202" s="556"/>
      <c r="H202" s="584" t="str">
        <f ca="1">_xlfn.XLOOKUP(A202,OUTPUT!$Y$10:$Y$165,OUTPUT!$Z$10:$Z$165,"MiscItems")</f>
        <v>MiscItems</v>
      </c>
      <c r="I202" s="553" t="str">
        <f t="shared" ca="1" si="3"/>
        <v xml:space="preserve"> </v>
      </c>
      <c r="J202" s="113" t="str" cm="1">
        <f t="array" aca="1" ref="J202" ca="1">IFERROR(_xlfn.XLOOKUP($A202&amp;BasicProjectData!$G$18,PRICES!$B$2:$B$3684&amp;PRICES!$A$2:$A$3684,PRICES!$H$2:$H$3684)," ")</f>
        <v xml:space="preserve"> </v>
      </c>
      <c r="K202" s="113" t="str" cm="1">
        <f t="array" aca="1" ref="K202" ca="1">IFERROR(_xlfn.XLOOKUP($A202&amp;"All Districts",PRICES!$B$2:$B$3684&amp;PRICES!$A$2:$A$3684,PRICES!$H$2:$H$3684)," ")</f>
        <v xml:space="preserve"> </v>
      </c>
      <c r="L202" s="556" t="str" cm="1">
        <f t="array" aca="1" ref="L202" ca="1">_xlfn.SWITCH(E202,J202,"District Price",K202,"State Price","Other/User Input/Override")</f>
        <v>District Price</v>
      </c>
    </row>
    <row r="203" spans="1:12">
      <c r="A203" s="110" t="str">
        <f t="array" aca="1" ref="A203" ca="1">IFERROR(INDEX(OUTPUT!$A$9:'OUTPUT'!$A$247,SMALL(IF(OUTPUT!$F$9:$F$247&lt;&gt;0,MATCH(OUTPUT!$A$9:'OUTPUT'!$A$247,OUTPUT!$A$9:'OUTPUT'!$A$247,0)),ROWS(ProjectEstimate!A$9:A203)),1),"")</f>
        <v/>
      </c>
      <c r="B203" s="111" t="str">
        <f ca="1">_xlfn.IFNA(OFFSET(INDEX(Output[Item '#],MATCH($A203,Output[Item '#],0)),0,1)," ")</f>
        <v xml:space="preserve"> </v>
      </c>
      <c r="C203" s="111" t="str">
        <f ca="1">_xlfn.IFNA(OFFSET(INDEX(Output[Item '#],MATCH($A203,Output[Item '#],0)),0,2)," ")</f>
        <v xml:space="preserve"> </v>
      </c>
      <c r="D203" s="111" t="str">
        <f ca="1">_xlfn.IFNA(OFFSET(INDEX(Output[Item '#],MATCH($A203,Output[Item '#],0)),0,3)," ")</f>
        <v xml:space="preserve"> </v>
      </c>
      <c r="E203" s="659" t="str">
        <f ca="1">_xlfn.IFNA(OFFSET(INDEX(Output[Item '#],MATCH($A203,Output[Item '#],0)),0,4)," ")</f>
        <v xml:space="preserve"> </v>
      </c>
      <c r="F203" s="659" t="str">
        <f ca="1">_xlfn.IFNA(OFFSET(INDEX(Output[Item '#],MATCH($A203,Output[Item '#],0)),0,5)," ")</f>
        <v xml:space="preserve"> </v>
      </c>
      <c r="G203" s="556"/>
      <c r="H203" s="584" t="str">
        <f ca="1">_xlfn.XLOOKUP(A203,OUTPUT!$Y$10:$Y$165,OUTPUT!$Z$10:$Z$165,"MiscItems")</f>
        <v>MiscItems</v>
      </c>
      <c r="I203" s="553" t="str">
        <f t="shared" ca="1" si="3"/>
        <v xml:space="preserve"> </v>
      </c>
      <c r="J203" s="113" t="str" cm="1">
        <f t="array" aca="1" ref="J203" ca="1">IFERROR(_xlfn.XLOOKUP($A203&amp;BasicProjectData!$G$18,PRICES!$B$2:$B$3684&amp;PRICES!$A$2:$A$3684,PRICES!$H$2:$H$3684)," ")</f>
        <v xml:space="preserve"> </v>
      </c>
      <c r="K203" s="113" t="str" cm="1">
        <f t="array" aca="1" ref="K203" ca="1">IFERROR(_xlfn.XLOOKUP($A203&amp;"All Districts",PRICES!$B$2:$B$3684&amp;PRICES!$A$2:$A$3684,PRICES!$H$2:$H$3684)," ")</f>
        <v xml:space="preserve"> </v>
      </c>
      <c r="L203" s="556" t="str" cm="1">
        <f t="array" aca="1" ref="L203" ca="1">_xlfn.SWITCH(E203,J203,"District Price",K203,"State Price","Other/User Input/Override")</f>
        <v>District Price</v>
      </c>
    </row>
    <row r="204" spans="1:12">
      <c r="A204" s="110" t="str">
        <f t="array" aca="1" ref="A204" ca="1">IFERROR(INDEX(OUTPUT!$A$9:'OUTPUT'!$A$247,SMALL(IF(OUTPUT!$F$9:$F$247&lt;&gt;0,MATCH(OUTPUT!$A$9:'OUTPUT'!$A$247,OUTPUT!$A$9:'OUTPUT'!$A$247,0)),ROWS(ProjectEstimate!A$9:A204)),1),"")</f>
        <v/>
      </c>
      <c r="B204" s="111" t="str">
        <f ca="1">_xlfn.IFNA(OFFSET(INDEX(Output[Item '#],MATCH($A204,Output[Item '#],0)),0,1)," ")</f>
        <v xml:space="preserve"> </v>
      </c>
      <c r="C204" s="111" t="str">
        <f ca="1">_xlfn.IFNA(OFFSET(INDEX(Output[Item '#],MATCH($A204,Output[Item '#],0)),0,2)," ")</f>
        <v xml:space="preserve"> </v>
      </c>
      <c r="D204" s="111" t="str">
        <f ca="1">_xlfn.IFNA(OFFSET(INDEX(Output[Item '#],MATCH($A204,Output[Item '#],0)),0,3)," ")</f>
        <v xml:space="preserve"> </v>
      </c>
      <c r="E204" s="659" t="str">
        <f ca="1">_xlfn.IFNA(OFFSET(INDEX(Output[Item '#],MATCH($A204,Output[Item '#],0)),0,4)," ")</f>
        <v xml:space="preserve"> </v>
      </c>
      <c r="F204" s="659" t="str">
        <f ca="1">_xlfn.IFNA(OFFSET(INDEX(Output[Item '#],MATCH($A204,Output[Item '#],0)),0,5)," ")</f>
        <v xml:space="preserve"> </v>
      </c>
      <c r="G204" s="556"/>
      <c r="H204" s="584" t="str">
        <f ca="1">_xlfn.XLOOKUP(A204,OUTPUT!$Y$10:$Y$165,OUTPUT!$Z$10:$Z$165,"MiscItems")</f>
        <v>MiscItems</v>
      </c>
      <c r="I204" s="553" t="str">
        <f t="shared" ca="1" si="3"/>
        <v xml:space="preserve"> </v>
      </c>
      <c r="J204" s="113" t="str" cm="1">
        <f t="array" aca="1" ref="J204" ca="1">IFERROR(_xlfn.XLOOKUP($A204&amp;BasicProjectData!$G$18,PRICES!$B$2:$B$3684&amp;PRICES!$A$2:$A$3684,PRICES!$H$2:$H$3684)," ")</f>
        <v xml:space="preserve"> </v>
      </c>
      <c r="K204" s="113" t="str" cm="1">
        <f t="array" aca="1" ref="K204" ca="1">IFERROR(_xlfn.XLOOKUP($A204&amp;"All Districts",PRICES!$B$2:$B$3684&amp;PRICES!$A$2:$A$3684,PRICES!$H$2:$H$3684)," ")</f>
        <v xml:space="preserve"> </v>
      </c>
      <c r="L204" s="556" t="str" cm="1">
        <f t="array" aca="1" ref="L204" ca="1">_xlfn.SWITCH(E204,J204,"District Price",K204,"State Price","Other/User Input/Override")</f>
        <v>District Price</v>
      </c>
    </row>
    <row r="205" spans="1:12">
      <c r="A205" s="110" t="str">
        <f t="array" aca="1" ref="A205" ca="1">IFERROR(INDEX(OUTPUT!$A$9:'OUTPUT'!$A$247,SMALL(IF(OUTPUT!$F$9:$F$247&lt;&gt;0,MATCH(OUTPUT!$A$9:'OUTPUT'!$A$247,OUTPUT!$A$9:'OUTPUT'!$A$247,0)),ROWS(ProjectEstimate!A$9:A205)),1),"")</f>
        <v/>
      </c>
      <c r="B205" s="111" t="str">
        <f ca="1">_xlfn.IFNA(OFFSET(INDEX(Output[Item '#],MATCH($A205,Output[Item '#],0)),0,1)," ")</f>
        <v xml:space="preserve"> </v>
      </c>
      <c r="C205" s="111" t="str">
        <f ca="1">_xlfn.IFNA(OFFSET(INDEX(Output[Item '#],MATCH($A205,Output[Item '#],0)),0,2)," ")</f>
        <v xml:space="preserve"> </v>
      </c>
      <c r="D205" s="111" t="str">
        <f ca="1">_xlfn.IFNA(OFFSET(INDEX(Output[Item '#],MATCH($A205,Output[Item '#],0)),0,3)," ")</f>
        <v xml:space="preserve"> </v>
      </c>
      <c r="E205" s="659" t="str">
        <f ca="1">_xlfn.IFNA(OFFSET(INDEX(Output[Item '#],MATCH($A205,Output[Item '#],0)),0,4)," ")</f>
        <v xml:space="preserve"> </v>
      </c>
      <c r="F205" s="659" t="str">
        <f ca="1">_xlfn.IFNA(OFFSET(INDEX(Output[Item '#],MATCH($A205,Output[Item '#],0)),0,5)," ")</f>
        <v xml:space="preserve"> </v>
      </c>
      <c r="G205" s="556"/>
      <c r="H205" s="584" t="str">
        <f ca="1">_xlfn.XLOOKUP(A205,OUTPUT!$Y$10:$Y$165,OUTPUT!$Z$10:$Z$165,"MiscItems")</f>
        <v>MiscItems</v>
      </c>
      <c r="I205" s="553" t="str">
        <f t="shared" ca="1" si="3"/>
        <v xml:space="preserve"> </v>
      </c>
      <c r="J205" s="113" t="str" cm="1">
        <f t="array" aca="1" ref="J205" ca="1">IFERROR(_xlfn.XLOOKUP($A205&amp;BasicProjectData!$G$18,PRICES!$B$2:$B$3684&amp;PRICES!$A$2:$A$3684,PRICES!$H$2:$H$3684)," ")</f>
        <v xml:space="preserve"> </v>
      </c>
      <c r="K205" s="113" t="str" cm="1">
        <f t="array" aca="1" ref="K205" ca="1">IFERROR(_xlfn.XLOOKUP($A205&amp;"All Districts",PRICES!$B$2:$B$3684&amp;PRICES!$A$2:$A$3684,PRICES!$H$2:$H$3684)," ")</f>
        <v xml:space="preserve"> </v>
      </c>
      <c r="L205" s="556" t="str" cm="1">
        <f t="array" aca="1" ref="L205" ca="1">_xlfn.SWITCH(E205,J205,"District Price",K205,"State Price","Other/User Input/Override")</f>
        <v>District Price</v>
      </c>
    </row>
    <row r="206" spans="1:12">
      <c r="A206" s="110" t="str">
        <f t="array" aca="1" ref="A206" ca="1">IFERROR(INDEX(OUTPUT!$A$9:'OUTPUT'!$A$247,SMALL(IF(OUTPUT!$F$9:$F$247&lt;&gt;0,MATCH(OUTPUT!$A$9:'OUTPUT'!$A$247,OUTPUT!$A$9:'OUTPUT'!$A$247,0)),ROWS(ProjectEstimate!A$9:A206)),1),"")</f>
        <v/>
      </c>
      <c r="B206" s="111" t="str">
        <f ca="1">_xlfn.IFNA(OFFSET(INDEX(Output[Item '#],MATCH($A206,Output[Item '#],0)),0,1)," ")</f>
        <v xml:space="preserve"> </v>
      </c>
      <c r="C206" s="111" t="str">
        <f ca="1">_xlfn.IFNA(OFFSET(INDEX(Output[Item '#],MATCH($A206,Output[Item '#],0)),0,2)," ")</f>
        <v xml:space="preserve"> </v>
      </c>
      <c r="D206" s="111" t="str">
        <f ca="1">_xlfn.IFNA(OFFSET(INDEX(Output[Item '#],MATCH($A206,Output[Item '#],0)),0,3)," ")</f>
        <v xml:space="preserve"> </v>
      </c>
      <c r="E206" s="659" t="str">
        <f ca="1">_xlfn.IFNA(OFFSET(INDEX(Output[Item '#],MATCH($A206,Output[Item '#],0)),0,4)," ")</f>
        <v xml:space="preserve"> </v>
      </c>
      <c r="F206" s="659" t="str">
        <f ca="1">_xlfn.IFNA(OFFSET(INDEX(Output[Item '#],MATCH($A206,Output[Item '#],0)),0,5)," ")</f>
        <v xml:space="preserve"> </v>
      </c>
      <c r="G206" s="556"/>
      <c r="H206" s="584" t="str">
        <f ca="1">_xlfn.XLOOKUP(A206,OUTPUT!$Y$10:$Y$165,OUTPUT!$Z$10:$Z$165,"MiscItems")</f>
        <v>MiscItems</v>
      </c>
      <c r="I206" s="553" t="str">
        <f t="shared" ca="1" si="3"/>
        <v xml:space="preserve"> </v>
      </c>
      <c r="J206" s="113" t="str" cm="1">
        <f t="array" aca="1" ref="J206" ca="1">IFERROR(_xlfn.XLOOKUP($A206&amp;BasicProjectData!$G$18,PRICES!$B$2:$B$3684&amp;PRICES!$A$2:$A$3684,PRICES!$H$2:$H$3684)," ")</f>
        <v xml:space="preserve"> </v>
      </c>
      <c r="K206" s="113" t="str" cm="1">
        <f t="array" aca="1" ref="K206" ca="1">IFERROR(_xlfn.XLOOKUP($A206&amp;"All Districts",PRICES!$B$2:$B$3684&amp;PRICES!$A$2:$A$3684,PRICES!$H$2:$H$3684)," ")</f>
        <v xml:space="preserve"> </v>
      </c>
      <c r="L206" s="556" t="str" cm="1">
        <f t="array" aca="1" ref="L206" ca="1">_xlfn.SWITCH(E206,J206,"District Price",K206,"State Price","Other/User Input/Override")</f>
        <v>District Price</v>
      </c>
    </row>
    <row r="207" spans="1:12">
      <c r="A207" s="110" t="str">
        <f t="array" aca="1" ref="A207" ca="1">IFERROR(INDEX(OUTPUT!$A$9:'OUTPUT'!$A$247,SMALL(IF(OUTPUT!$F$9:$F$247&lt;&gt;0,MATCH(OUTPUT!$A$9:'OUTPUT'!$A$247,OUTPUT!$A$9:'OUTPUT'!$A$247,0)),ROWS(ProjectEstimate!A$9:A207)),1),"")</f>
        <v/>
      </c>
      <c r="B207" s="111" t="str">
        <f ca="1">_xlfn.IFNA(OFFSET(INDEX(Output[Item '#],MATCH($A207,Output[Item '#],0)),0,1)," ")</f>
        <v xml:space="preserve"> </v>
      </c>
      <c r="C207" s="111" t="str">
        <f ca="1">_xlfn.IFNA(OFFSET(INDEX(Output[Item '#],MATCH($A207,Output[Item '#],0)),0,2)," ")</f>
        <v xml:space="preserve"> </v>
      </c>
      <c r="D207" s="111" t="str">
        <f ca="1">_xlfn.IFNA(OFFSET(INDEX(Output[Item '#],MATCH($A207,Output[Item '#],0)),0,3)," ")</f>
        <v xml:space="preserve"> </v>
      </c>
      <c r="E207" s="659" t="str">
        <f ca="1">_xlfn.IFNA(OFFSET(INDEX(Output[Item '#],MATCH($A207,Output[Item '#],0)),0,4)," ")</f>
        <v xml:space="preserve"> </v>
      </c>
      <c r="F207" s="659" t="str">
        <f ca="1">_xlfn.IFNA(OFFSET(INDEX(Output[Item '#],MATCH($A207,Output[Item '#],0)),0,5)," ")</f>
        <v xml:space="preserve"> </v>
      </c>
      <c r="G207" s="556"/>
      <c r="H207" s="584" t="str">
        <f ca="1">_xlfn.XLOOKUP(A207,OUTPUT!$Y$10:$Y$165,OUTPUT!$Z$10:$Z$165,"MiscItems")</f>
        <v>MiscItems</v>
      </c>
      <c r="I207" s="553" t="str">
        <f t="shared" ca="1" si="3"/>
        <v xml:space="preserve"> </v>
      </c>
      <c r="J207" s="113" t="str" cm="1">
        <f t="array" aca="1" ref="J207" ca="1">IFERROR(_xlfn.XLOOKUP($A207&amp;BasicProjectData!$G$18,PRICES!$B$2:$B$3684&amp;PRICES!$A$2:$A$3684,PRICES!$H$2:$H$3684)," ")</f>
        <v xml:space="preserve"> </v>
      </c>
      <c r="K207" s="113" t="str" cm="1">
        <f t="array" aca="1" ref="K207" ca="1">IFERROR(_xlfn.XLOOKUP($A207&amp;"All Districts",PRICES!$B$2:$B$3684&amp;PRICES!$A$2:$A$3684,PRICES!$H$2:$H$3684)," ")</f>
        <v xml:space="preserve"> </v>
      </c>
      <c r="L207" s="556" t="str" cm="1">
        <f t="array" aca="1" ref="L207" ca="1">_xlfn.SWITCH(E207,J207,"District Price",K207,"State Price","Other/User Input/Override")</f>
        <v>District Price</v>
      </c>
    </row>
    <row r="208" spans="1:12">
      <c r="A208" s="110" t="str">
        <f t="array" aca="1" ref="A208" ca="1">IFERROR(INDEX(OUTPUT!$A$9:'OUTPUT'!$A$247,SMALL(IF(OUTPUT!$F$9:$F$247&lt;&gt;0,MATCH(OUTPUT!$A$9:'OUTPUT'!$A$247,OUTPUT!$A$9:'OUTPUT'!$A$247,0)),ROWS(ProjectEstimate!A$9:A208)),1),"")</f>
        <v/>
      </c>
      <c r="B208" s="111" t="str">
        <f ca="1">_xlfn.IFNA(OFFSET(INDEX(Output[Item '#],MATCH($A208,Output[Item '#],0)),0,1)," ")</f>
        <v xml:space="preserve"> </v>
      </c>
      <c r="C208" s="111" t="str">
        <f ca="1">_xlfn.IFNA(OFFSET(INDEX(Output[Item '#],MATCH($A208,Output[Item '#],0)),0,2)," ")</f>
        <v xml:space="preserve"> </v>
      </c>
      <c r="D208" s="111" t="str">
        <f ca="1">_xlfn.IFNA(OFFSET(INDEX(Output[Item '#],MATCH($A208,Output[Item '#],0)),0,3)," ")</f>
        <v xml:space="preserve"> </v>
      </c>
      <c r="E208" s="659" t="str">
        <f ca="1">_xlfn.IFNA(OFFSET(INDEX(Output[Item '#],MATCH($A208,Output[Item '#],0)),0,4)," ")</f>
        <v xml:space="preserve"> </v>
      </c>
      <c r="F208" s="659" t="str">
        <f ca="1">_xlfn.IFNA(OFFSET(INDEX(Output[Item '#],MATCH($A208,Output[Item '#],0)),0,5)," ")</f>
        <v xml:space="preserve"> </v>
      </c>
      <c r="G208" s="556"/>
      <c r="H208" s="584" t="str">
        <f ca="1">_xlfn.XLOOKUP(A208,OUTPUT!$Y$10:$Y$165,OUTPUT!$Z$10:$Z$165,"MiscItems")</f>
        <v>MiscItems</v>
      </c>
      <c r="I208" s="553" t="str">
        <f t="shared" ca="1" si="3"/>
        <v xml:space="preserve"> </v>
      </c>
      <c r="J208" s="113" t="str" cm="1">
        <f t="array" aca="1" ref="J208" ca="1">IFERROR(_xlfn.XLOOKUP($A208&amp;BasicProjectData!$G$18,PRICES!$B$2:$B$3684&amp;PRICES!$A$2:$A$3684,PRICES!$H$2:$H$3684)," ")</f>
        <v xml:space="preserve"> </v>
      </c>
      <c r="K208" s="113" t="str" cm="1">
        <f t="array" aca="1" ref="K208" ca="1">IFERROR(_xlfn.XLOOKUP($A208&amp;"All Districts",PRICES!$B$2:$B$3684&amp;PRICES!$A$2:$A$3684,PRICES!$H$2:$H$3684)," ")</f>
        <v xml:space="preserve"> </v>
      </c>
      <c r="L208" s="556" t="str" cm="1">
        <f t="array" aca="1" ref="L208" ca="1">_xlfn.SWITCH(E208,J208,"District Price",K208,"State Price","Other/User Input/Override")</f>
        <v>District Price</v>
      </c>
    </row>
    <row r="209" spans="1:12">
      <c r="A209" s="110" t="str">
        <f t="array" aca="1" ref="A209" ca="1">IFERROR(INDEX(OUTPUT!$A$9:'OUTPUT'!$A$247,SMALL(IF(OUTPUT!$F$9:$F$247&lt;&gt;0,MATCH(OUTPUT!$A$9:'OUTPUT'!$A$247,OUTPUT!$A$9:'OUTPUT'!$A$247,0)),ROWS(ProjectEstimate!A$9:A209)),1),"")</f>
        <v/>
      </c>
      <c r="B209" s="111" t="str">
        <f ca="1">_xlfn.IFNA(OFFSET(INDEX(Output[Item '#],MATCH($A209,Output[Item '#],0)),0,1)," ")</f>
        <v xml:space="preserve"> </v>
      </c>
      <c r="C209" s="111" t="str">
        <f ca="1">_xlfn.IFNA(OFFSET(INDEX(Output[Item '#],MATCH($A209,Output[Item '#],0)),0,2)," ")</f>
        <v xml:space="preserve"> </v>
      </c>
      <c r="D209" s="111" t="str">
        <f ca="1">_xlfn.IFNA(OFFSET(INDEX(Output[Item '#],MATCH($A209,Output[Item '#],0)),0,3)," ")</f>
        <v xml:space="preserve"> </v>
      </c>
      <c r="E209" s="659" t="str">
        <f ca="1">_xlfn.IFNA(OFFSET(INDEX(Output[Item '#],MATCH($A209,Output[Item '#],0)),0,4)," ")</f>
        <v xml:space="preserve"> </v>
      </c>
      <c r="F209" s="659" t="str">
        <f ca="1">_xlfn.IFNA(OFFSET(INDEX(Output[Item '#],MATCH($A209,Output[Item '#],0)),0,5)," ")</f>
        <v xml:space="preserve"> </v>
      </c>
      <c r="G209" s="556"/>
      <c r="H209" s="584" t="str">
        <f ca="1">_xlfn.XLOOKUP(A209,OUTPUT!$Y$10:$Y$165,OUTPUT!$Z$10:$Z$165,"MiscItems")</f>
        <v>MiscItems</v>
      </c>
      <c r="I209" s="553" t="str">
        <f t="shared" ref="I209:I248" ca="1" si="4">IFERROR(IF(ISNUMBER( A209),HYPERLINK("#"&amp;$H209&amp;"!A"&amp;MATCH($A209,INDIRECT($H209&amp;"!$C$1:$C$300"),0),CONCATENATE("Go to ",$A209)),HYPERLINK("#'"&amp;$H209&amp;"'!A"&amp;MATCH($A209,INDIRECT("'"&amp;$H209&amp;"'!$C$1:$C$300"),0),CONCATENATE("Go to ",$A209)))," ")</f>
        <v xml:space="preserve"> </v>
      </c>
      <c r="J209" s="113" t="str" cm="1">
        <f t="array" aca="1" ref="J209" ca="1">IFERROR(_xlfn.XLOOKUP($A209&amp;BasicProjectData!$G$18,PRICES!$B$2:$B$3684&amp;PRICES!$A$2:$A$3684,PRICES!$H$2:$H$3684)," ")</f>
        <v xml:space="preserve"> </v>
      </c>
      <c r="K209" s="113" t="str" cm="1">
        <f t="array" aca="1" ref="K209" ca="1">IFERROR(_xlfn.XLOOKUP($A209&amp;"All Districts",PRICES!$B$2:$B$3684&amp;PRICES!$A$2:$A$3684,PRICES!$H$2:$H$3684)," ")</f>
        <v xml:space="preserve"> </v>
      </c>
      <c r="L209" s="556" t="str" cm="1">
        <f t="array" aca="1" ref="L209" ca="1">_xlfn.SWITCH(E209,J209,"District Price",K209,"State Price","Other/User Input/Override")</f>
        <v>District Price</v>
      </c>
    </row>
    <row r="210" spans="1:12">
      <c r="A210" s="110" t="str">
        <f t="array" aca="1" ref="A210" ca="1">IFERROR(INDEX(OUTPUT!$A$9:'OUTPUT'!$A$247,SMALL(IF(OUTPUT!$F$9:$F$247&lt;&gt;0,MATCH(OUTPUT!$A$9:'OUTPUT'!$A$247,OUTPUT!$A$9:'OUTPUT'!$A$247,0)),ROWS(ProjectEstimate!A$9:A210)),1),"")</f>
        <v/>
      </c>
      <c r="B210" s="111" t="str">
        <f ca="1">_xlfn.IFNA(OFFSET(INDEX(Output[Item '#],MATCH($A210,Output[Item '#],0)),0,1)," ")</f>
        <v xml:space="preserve"> </v>
      </c>
      <c r="C210" s="111" t="str">
        <f ca="1">_xlfn.IFNA(OFFSET(INDEX(Output[Item '#],MATCH($A210,Output[Item '#],0)),0,2)," ")</f>
        <v xml:space="preserve"> </v>
      </c>
      <c r="D210" s="111" t="str">
        <f ca="1">_xlfn.IFNA(OFFSET(INDEX(Output[Item '#],MATCH($A210,Output[Item '#],0)),0,3)," ")</f>
        <v xml:space="preserve"> </v>
      </c>
      <c r="E210" s="659" t="str">
        <f ca="1">_xlfn.IFNA(OFFSET(INDEX(Output[Item '#],MATCH($A210,Output[Item '#],0)),0,4)," ")</f>
        <v xml:space="preserve"> </v>
      </c>
      <c r="F210" s="659" t="str">
        <f ca="1">_xlfn.IFNA(OFFSET(INDEX(Output[Item '#],MATCH($A210,Output[Item '#],0)),0,5)," ")</f>
        <v xml:space="preserve"> </v>
      </c>
      <c r="G210" s="556"/>
      <c r="H210" s="584" t="str">
        <f ca="1">_xlfn.XLOOKUP(A210,OUTPUT!$Y$10:$Y$165,OUTPUT!$Z$10:$Z$165,"MiscItems")</f>
        <v>MiscItems</v>
      </c>
      <c r="I210" s="553" t="str">
        <f t="shared" ca="1" si="4"/>
        <v xml:space="preserve"> </v>
      </c>
      <c r="J210" s="113" t="str" cm="1">
        <f t="array" aca="1" ref="J210" ca="1">IFERROR(_xlfn.XLOOKUP($A210&amp;BasicProjectData!$G$18,PRICES!$B$2:$B$3684&amp;PRICES!$A$2:$A$3684,PRICES!$H$2:$H$3684)," ")</f>
        <v xml:space="preserve"> </v>
      </c>
      <c r="K210" s="113" t="str" cm="1">
        <f t="array" aca="1" ref="K210" ca="1">IFERROR(_xlfn.XLOOKUP($A210&amp;"All Districts",PRICES!$B$2:$B$3684&amp;PRICES!$A$2:$A$3684,PRICES!$H$2:$H$3684)," ")</f>
        <v xml:space="preserve"> </v>
      </c>
      <c r="L210" s="556" t="str" cm="1">
        <f t="array" aca="1" ref="L210" ca="1">_xlfn.SWITCH(E210,J210,"District Price",K210,"State Price","Other/User Input/Override")</f>
        <v>District Price</v>
      </c>
    </row>
    <row r="211" spans="1:12">
      <c r="A211" s="110" t="str">
        <f t="array" aca="1" ref="A211" ca="1">IFERROR(INDEX(OUTPUT!$A$9:'OUTPUT'!$A$247,SMALL(IF(OUTPUT!$F$9:$F$247&lt;&gt;0,MATCH(OUTPUT!$A$9:'OUTPUT'!$A$247,OUTPUT!$A$9:'OUTPUT'!$A$247,0)),ROWS(ProjectEstimate!A$9:A211)),1),"")</f>
        <v/>
      </c>
      <c r="B211" s="111" t="str">
        <f ca="1">_xlfn.IFNA(OFFSET(INDEX(Output[Item '#],MATCH($A211,Output[Item '#],0)),0,1)," ")</f>
        <v xml:space="preserve"> </v>
      </c>
      <c r="C211" s="111" t="str">
        <f ca="1">_xlfn.IFNA(OFFSET(INDEX(Output[Item '#],MATCH($A211,Output[Item '#],0)),0,2)," ")</f>
        <v xml:space="preserve"> </v>
      </c>
      <c r="D211" s="111" t="str">
        <f ca="1">_xlfn.IFNA(OFFSET(INDEX(Output[Item '#],MATCH($A211,Output[Item '#],0)),0,3)," ")</f>
        <v xml:space="preserve"> </v>
      </c>
      <c r="E211" s="659" t="str">
        <f ca="1">_xlfn.IFNA(OFFSET(INDEX(Output[Item '#],MATCH($A211,Output[Item '#],0)),0,4)," ")</f>
        <v xml:space="preserve"> </v>
      </c>
      <c r="F211" s="659" t="str">
        <f ca="1">_xlfn.IFNA(OFFSET(INDEX(Output[Item '#],MATCH($A211,Output[Item '#],0)),0,5)," ")</f>
        <v xml:space="preserve"> </v>
      </c>
      <c r="G211" s="556"/>
      <c r="H211" s="584" t="str">
        <f ca="1">_xlfn.XLOOKUP(A211,OUTPUT!$Y$10:$Y$165,OUTPUT!$Z$10:$Z$165,"MiscItems")</f>
        <v>MiscItems</v>
      </c>
      <c r="I211" s="553" t="str">
        <f t="shared" ca="1" si="4"/>
        <v xml:space="preserve"> </v>
      </c>
      <c r="J211" s="113" t="str" cm="1">
        <f t="array" aca="1" ref="J211" ca="1">IFERROR(_xlfn.XLOOKUP($A211&amp;BasicProjectData!$G$18,PRICES!$B$2:$B$3684&amp;PRICES!$A$2:$A$3684,PRICES!$H$2:$H$3684)," ")</f>
        <v xml:space="preserve"> </v>
      </c>
      <c r="K211" s="113" t="str" cm="1">
        <f t="array" aca="1" ref="K211" ca="1">IFERROR(_xlfn.XLOOKUP($A211&amp;"All Districts",PRICES!$B$2:$B$3684&amp;PRICES!$A$2:$A$3684,PRICES!$H$2:$H$3684)," ")</f>
        <v xml:space="preserve"> </v>
      </c>
      <c r="L211" s="556" t="str" cm="1">
        <f t="array" aca="1" ref="L211" ca="1">_xlfn.SWITCH(E211,J211,"District Price",K211,"State Price","Other/User Input/Override")</f>
        <v>District Price</v>
      </c>
    </row>
    <row r="212" spans="1:12">
      <c r="A212" s="110" t="str">
        <f t="array" aca="1" ref="A212" ca="1">IFERROR(INDEX(OUTPUT!$A$9:'OUTPUT'!$A$247,SMALL(IF(OUTPUT!$F$9:$F$247&lt;&gt;0,MATCH(OUTPUT!$A$9:'OUTPUT'!$A$247,OUTPUT!$A$9:'OUTPUT'!$A$247,0)),ROWS(ProjectEstimate!A$9:A212)),1),"")</f>
        <v/>
      </c>
      <c r="B212" s="111" t="str">
        <f ca="1">_xlfn.IFNA(OFFSET(INDEX(Output[Item '#],MATCH($A212,Output[Item '#],0)),0,1)," ")</f>
        <v xml:space="preserve"> </v>
      </c>
      <c r="C212" s="111" t="str">
        <f ca="1">_xlfn.IFNA(OFFSET(INDEX(Output[Item '#],MATCH($A212,Output[Item '#],0)),0,2)," ")</f>
        <v xml:space="preserve"> </v>
      </c>
      <c r="D212" s="111" t="str">
        <f ca="1">_xlfn.IFNA(OFFSET(INDEX(Output[Item '#],MATCH($A212,Output[Item '#],0)),0,3)," ")</f>
        <v xml:space="preserve"> </v>
      </c>
      <c r="E212" s="659" t="str">
        <f ca="1">_xlfn.IFNA(OFFSET(INDEX(Output[Item '#],MATCH($A212,Output[Item '#],0)),0,4)," ")</f>
        <v xml:space="preserve"> </v>
      </c>
      <c r="F212" s="659" t="str">
        <f ca="1">_xlfn.IFNA(OFFSET(INDEX(Output[Item '#],MATCH($A212,Output[Item '#],0)),0,5)," ")</f>
        <v xml:space="preserve"> </v>
      </c>
      <c r="G212" s="556"/>
      <c r="H212" s="584" t="str">
        <f ca="1">_xlfn.XLOOKUP(A212,OUTPUT!$Y$10:$Y$165,OUTPUT!$Z$10:$Z$165,"MiscItems")</f>
        <v>MiscItems</v>
      </c>
      <c r="I212" s="553" t="str">
        <f t="shared" ca="1" si="4"/>
        <v xml:space="preserve"> </v>
      </c>
      <c r="J212" s="113" t="str" cm="1">
        <f t="array" aca="1" ref="J212" ca="1">IFERROR(_xlfn.XLOOKUP($A212&amp;BasicProjectData!$G$18,PRICES!$B$2:$B$3684&amp;PRICES!$A$2:$A$3684,PRICES!$H$2:$H$3684)," ")</f>
        <v xml:space="preserve"> </v>
      </c>
      <c r="K212" s="113" t="str" cm="1">
        <f t="array" aca="1" ref="K212" ca="1">IFERROR(_xlfn.XLOOKUP($A212&amp;"All Districts",PRICES!$B$2:$B$3684&amp;PRICES!$A$2:$A$3684,PRICES!$H$2:$H$3684)," ")</f>
        <v xml:space="preserve"> </v>
      </c>
      <c r="L212" s="556" t="str" cm="1">
        <f t="array" aca="1" ref="L212" ca="1">_xlfn.SWITCH(E212,J212,"District Price",K212,"State Price","Other/User Input/Override")</f>
        <v>District Price</v>
      </c>
    </row>
    <row r="213" spans="1:12">
      <c r="A213" s="110" t="str">
        <f t="array" aca="1" ref="A213" ca="1">IFERROR(INDEX(OUTPUT!$A$9:'OUTPUT'!$A$247,SMALL(IF(OUTPUT!$F$9:$F$247&lt;&gt;0,MATCH(OUTPUT!$A$9:'OUTPUT'!$A$247,OUTPUT!$A$9:'OUTPUT'!$A$247,0)),ROWS(ProjectEstimate!A$9:A213)),1),"")</f>
        <v/>
      </c>
      <c r="B213" s="111" t="str">
        <f ca="1">_xlfn.IFNA(OFFSET(INDEX(Output[Item '#],MATCH($A213,Output[Item '#],0)),0,1)," ")</f>
        <v xml:space="preserve"> </v>
      </c>
      <c r="C213" s="111" t="str">
        <f ca="1">_xlfn.IFNA(OFFSET(INDEX(Output[Item '#],MATCH($A213,Output[Item '#],0)),0,2)," ")</f>
        <v xml:space="preserve"> </v>
      </c>
      <c r="D213" s="111" t="str">
        <f ca="1">_xlfn.IFNA(OFFSET(INDEX(Output[Item '#],MATCH($A213,Output[Item '#],0)),0,3)," ")</f>
        <v xml:space="preserve"> </v>
      </c>
      <c r="E213" s="659" t="str">
        <f ca="1">_xlfn.IFNA(OFFSET(INDEX(Output[Item '#],MATCH($A213,Output[Item '#],0)),0,4)," ")</f>
        <v xml:space="preserve"> </v>
      </c>
      <c r="F213" s="659" t="str">
        <f ca="1">_xlfn.IFNA(OFFSET(INDEX(Output[Item '#],MATCH($A213,Output[Item '#],0)),0,5)," ")</f>
        <v xml:space="preserve"> </v>
      </c>
      <c r="G213" s="556"/>
      <c r="H213" s="584" t="str">
        <f ca="1">_xlfn.XLOOKUP(A213,OUTPUT!$Y$10:$Y$165,OUTPUT!$Z$10:$Z$165,"MiscItems")</f>
        <v>MiscItems</v>
      </c>
      <c r="I213" s="553" t="str">
        <f t="shared" ca="1" si="4"/>
        <v xml:space="preserve"> </v>
      </c>
      <c r="J213" s="113" t="str" cm="1">
        <f t="array" aca="1" ref="J213" ca="1">IFERROR(_xlfn.XLOOKUP($A213&amp;BasicProjectData!$G$18,PRICES!$B$2:$B$3684&amp;PRICES!$A$2:$A$3684,PRICES!$H$2:$H$3684)," ")</f>
        <v xml:space="preserve"> </v>
      </c>
      <c r="K213" s="113" t="str" cm="1">
        <f t="array" aca="1" ref="K213" ca="1">IFERROR(_xlfn.XLOOKUP($A213&amp;"All Districts",PRICES!$B$2:$B$3684&amp;PRICES!$A$2:$A$3684,PRICES!$H$2:$H$3684)," ")</f>
        <v xml:space="preserve"> </v>
      </c>
      <c r="L213" s="556" t="str" cm="1">
        <f t="array" aca="1" ref="L213" ca="1">_xlfn.SWITCH(E213,J213,"District Price",K213,"State Price","Other/User Input/Override")</f>
        <v>District Price</v>
      </c>
    </row>
    <row r="214" spans="1:12">
      <c r="A214" s="110" t="str">
        <f t="array" aca="1" ref="A214" ca="1">IFERROR(INDEX(OUTPUT!$A$9:'OUTPUT'!$A$247,SMALL(IF(OUTPUT!$F$9:$F$247&lt;&gt;0,MATCH(OUTPUT!$A$9:'OUTPUT'!$A$247,OUTPUT!$A$9:'OUTPUT'!$A$247,0)),ROWS(ProjectEstimate!A$9:A214)),1),"")</f>
        <v/>
      </c>
      <c r="B214" s="111" t="str">
        <f ca="1">_xlfn.IFNA(OFFSET(INDEX(Output[Item '#],MATCH($A214,Output[Item '#],0)),0,1)," ")</f>
        <v xml:space="preserve"> </v>
      </c>
      <c r="C214" s="111" t="str">
        <f ca="1">_xlfn.IFNA(OFFSET(INDEX(Output[Item '#],MATCH($A214,Output[Item '#],0)),0,2)," ")</f>
        <v xml:space="preserve"> </v>
      </c>
      <c r="D214" s="111" t="str">
        <f ca="1">_xlfn.IFNA(OFFSET(INDEX(Output[Item '#],MATCH($A214,Output[Item '#],0)),0,3)," ")</f>
        <v xml:space="preserve"> </v>
      </c>
      <c r="E214" s="659" t="str">
        <f ca="1">_xlfn.IFNA(OFFSET(INDEX(Output[Item '#],MATCH($A214,Output[Item '#],0)),0,4)," ")</f>
        <v xml:space="preserve"> </v>
      </c>
      <c r="F214" s="659" t="str">
        <f ca="1">_xlfn.IFNA(OFFSET(INDEX(Output[Item '#],MATCH($A214,Output[Item '#],0)),0,5)," ")</f>
        <v xml:space="preserve"> </v>
      </c>
      <c r="G214" s="556"/>
      <c r="H214" s="584" t="str">
        <f ca="1">_xlfn.XLOOKUP(A214,OUTPUT!$Y$10:$Y$165,OUTPUT!$Z$10:$Z$165,"MiscItems")</f>
        <v>MiscItems</v>
      </c>
      <c r="I214" s="553" t="str">
        <f t="shared" ca="1" si="4"/>
        <v xml:space="preserve"> </v>
      </c>
      <c r="J214" s="113" t="str" cm="1">
        <f t="array" aca="1" ref="J214" ca="1">IFERROR(_xlfn.XLOOKUP($A214&amp;BasicProjectData!$G$18,PRICES!$B$2:$B$3684&amp;PRICES!$A$2:$A$3684,PRICES!$H$2:$H$3684)," ")</f>
        <v xml:space="preserve"> </v>
      </c>
      <c r="K214" s="113" t="str" cm="1">
        <f t="array" aca="1" ref="K214" ca="1">IFERROR(_xlfn.XLOOKUP($A214&amp;"All Districts",PRICES!$B$2:$B$3684&amp;PRICES!$A$2:$A$3684,PRICES!$H$2:$H$3684)," ")</f>
        <v xml:space="preserve"> </v>
      </c>
      <c r="L214" s="556" t="str" cm="1">
        <f t="array" aca="1" ref="L214" ca="1">_xlfn.SWITCH(E214,J214,"District Price",K214,"State Price","Other/User Input/Override")</f>
        <v>District Price</v>
      </c>
    </row>
    <row r="215" spans="1:12">
      <c r="A215" s="110" t="str">
        <f t="array" aca="1" ref="A215" ca="1">IFERROR(INDEX(OUTPUT!$A$9:'OUTPUT'!$A$247,SMALL(IF(OUTPUT!$F$9:$F$247&lt;&gt;0,MATCH(OUTPUT!$A$9:'OUTPUT'!$A$247,OUTPUT!$A$9:'OUTPUT'!$A$247,0)),ROWS(ProjectEstimate!A$9:A215)),1),"")</f>
        <v/>
      </c>
      <c r="B215" s="111" t="str">
        <f ca="1">_xlfn.IFNA(OFFSET(INDEX(Output[Item '#],MATCH($A215,Output[Item '#],0)),0,1)," ")</f>
        <v xml:space="preserve"> </v>
      </c>
      <c r="C215" s="111" t="str">
        <f ca="1">_xlfn.IFNA(OFFSET(INDEX(Output[Item '#],MATCH($A215,Output[Item '#],0)),0,2)," ")</f>
        <v xml:space="preserve"> </v>
      </c>
      <c r="D215" s="111" t="str">
        <f ca="1">_xlfn.IFNA(OFFSET(INDEX(Output[Item '#],MATCH($A215,Output[Item '#],0)),0,3)," ")</f>
        <v xml:space="preserve"> </v>
      </c>
      <c r="E215" s="659" t="str">
        <f ca="1">_xlfn.IFNA(OFFSET(INDEX(Output[Item '#],MATCH($A215,Output[Item '#],0)),0,4)," ")</f>
        <v xml:space="preserve"> </v>
      </c>
      <c r="F215" s="659" t="str">
        <f ca="1">_xlfn.IFNA(OFFSET(INDEX(Output[Item '#],MATCH($A215,Output[Item '#],0)),0,5)," ")</f>
        <v xml:space="preserve"> </v>
      </c>
      <c r="G215" s="556"/>
      <c r="H215" s="584" t="str">
        <f ca="1">_xlfn.XLOOKUP(A215,OUTPUT!$Y$10:$Y$165,OUTPUT!$Z$10:$Z$165,"MiscItems")</f>
        <v>MiscItems</v>
      </c>
      <c r="I215" s="553" t="str">
        <f t="shared" ca="1" si="4"/>
        <v xml:space="preserve"> </v>
      </c>
      <c r="J215" s="113" t="str" cm="1">
        <f t="array" aca="1" ref="J215" ca="1">IFERROR(_xlfn.XLOOKUP($A215&amp;BasicProjectData!$G$18,PRICES!$B$2:$B$3684&amp;PRICES!$A$2:$A$3684,PRICES!$H$2:$H$3684)," ")</f>
        <v xml:space="preserve"> </v>
      </c>
      <c r="K215" s="113" t="str" cm="1">
        <f t="array" aca="1" ref="K215" ca="1">IFERROR(_xlfn.XLOOKUP($A215&amp;"All Districts",PRICES!$B$2:$B$3684&amp;PRICES!$A$2:$A$3684,PRICES!$H$2:$H$3684)," ")</f>
        <v xml:space="preserve"> </v>
      </c>
      <c r="L215" s="556" t="str" cm="1">
        <f t="array" aca="1" ref="L215" ca="1">_xlfn.SWITCH(E215,J215,"District Price",K215,"State Price","Other/User Input/Override")</f>
        <v>District Price</v>
      </c>
    </row>
    <row r="216" spans="1:12">
      <c r="A216" s="110" t="str">
        <f t="array" aca="1" ref="A216" ca="1">IFERROR(INDEX(OUTPUT!$A$9:'OUTPUT'!$A$247,SMALL(IF(OUTPUT!$F$9:$F$247&lt;&gt;0,MATCH(OUTPUT!$A$9:'OUTPUT'!$A$247,OUTPUT!$A$9:'OUTPUT'!$A$247,0)),ROWS(ProjectEstimate!A$9:A216)),1),"")</f>
        <v/>
      </c>
      <c r="B216" s="111" t="str">
        <f ca="1">_xlfn.IFNA(OFFSET(INDEX(Output[Item '#],MATCH($A216,Output[Item '#],0)),0,1)," ")</f>
        <v xml:space="preserve"> </v>
      </c>
      <c r="C216" s="111" t="str">
        <f ca="1">_xlfn.IFNA(OFFSET(INDEX(Output[Item '#],MATCH($A216,Output[Item '#],0)),0,2)," ")</f>
        <v xml:space="preserve"> </v>
      </c>
      <c r="D216" s="111" t="str">
        <f ca="1">_xlfn.IFNA(OFFSET(INDEX(Output[Item '#],MATCH($A216,Output[Item '#],0)),0,3)," ")</f>
        <v xml:space="preserve"> </v>
      </c>
      <c r="E216" s="659" t="str">
        <f ca="1">_xlfn.IFNA(OFFSET(INDEX(Output[Item '#],MATCH($A216,Output[Item '#],0)),0,4)," ")</f>
        <v xml:space="preserve"> </v>
      </c>
      <c r="F216" s="659" t="str">
        <f ca="1">_xlfn.IFNA(OFFSET(INDEX(Output[Item '#],MATCH($A216,Output[Item '#],0)),0,5)," ")</f>
        <v xml:space="preserve"> </v>
      </c>
      <c r="G216" s="556"/>
      <c r="H216" s="584" t="str">
        <f ca="1">_xlfn.XLOOKUP(A216,OUTPUT!$Y$10:$Y$165,OUTPUT!$Z$10:$Z$165,"MiscItems")</f>
        <v>MiscItems</v>
      </c>
      <c r="I216" s="553" t="str">
        <f t="shared" ca="1" si="4"/>
        <v xml:space="preserve"> </v>
      </c>
      <c r="J216" s="113" t="str" cm="1">
        <f t="array" aca="1" ref="J216" ca="1">IFERROR(_xlfn.XLOOKUP($A216&amp;BasicProjectData!$G$18,PRICES!$B$2:$B$3684&amp;PRICES!$A$2:$A$3684,PRICES!$H$2:$H$3684)," ")</f>
        <v xml:space="preserve"> </v>
      </c>
      <c r="K216" s="113" t="str" cm="1">
        <f t="array" aca="1" ref="K216" ca="1">IFERROR(_xlfn.XLOOKUP($A216&amp;"All Districts",PRICES!$B$2:$B$3684&amp;PRICES!$A$2:$A$3684,PRICES!$H$2:$H$3684)," ")</f>
        <v xml:space="preserve"> </v>
      </c>
      <c r="L216" s="556" t="str" cm="1">
        <f t="array" aca="1" ref="L216" ca="1">_xlfn.SWITCH(E216,J216,"District Price",K216,"State Price","Other/User Input/Override")</f>
        <v>District Price</v>
      </c>
    </row>
    <row r="217" spans="1:12">
      <c r="A217" s="110" t="str">
        <f t="array" aca="1" ref="A217" ca="1">IFERROR(INDEX(OUTPUT!$A$9:'OUTPUT'!$A$247,SMALL(IF(OUTPUT!$F$9:$F$247&lt;&gt;0,MATCH(OUTPUT!$A$9:'OUTPUT'!$A$247,OUTPUT!$A$9:'OUTPUT'!$A$247,0)),ROWS(ProjectEstimate!A$9:A217)),1),"")</f>
        <v/>
      </c>
      <c r="B217" s="111" t="str">
        <f ca="1">_xlfn.IFNA(OFFSET(INDEX(Output[Item '#],MATCH($A217,Output[Item '#],0)),0,1)," ")</f>
        <v xml:space="preserve"> </v>
      </c>
      <c r="C217" s="111" t="str">
        <f ca="1">_xlfn.IFNA(OFFSET(INDEX(Output[Item '#],MATCH($A217,Output[Item '#],0)),0,2)," ")</f>
        <v xml:space="preserve"> </v>
      </c>
      <c r="D217" s="111" t="str">
        <f ca="1">_xlfn.IFNA(OFFSET(INDEX(Output[Item '#],MATCH($A217,Output[Item '#],0)),0,3)," ")</f>
        <v xml:space="preserve"> </v>
      </c>
      <c r="E217" s="659" t="str">
        <f ca="1">_xlfn.IFNA(OFFSET(INDEX(Output[Item '#],MATCH($A217,Output[Item '#],0)),0,4)," ")</f>
        <v xml:space="preserve"> </v>
      </c>
      <c r="F217" s="659" t="str">
        <f ca="1">_xlfn.IFNA(OFFSET(INDEX(Output[Item '#],MATCH($A217,Output[Item '#],0)),0,5)," ")</f>
        <v xml:space="preserve"> </v>
      </c>
      <c r="G217" s="556"/>
      <c r="H217" s="584" t="str">
        <f ca="1">_xlfn.XLOOKUP(A217,OUTPUT!$Y$10:$Y$165,OUTPUT!$Z$10:$Z$165,"MiscItems")</f>
        <v>MiscItems</v>
      </c>
      <c r="I217" s="553" t="str">
        <f t="shared" ca="1" si="4"/>
        <v xml:space="preserve"> </v>
      </c>
      <c r="J217" s="113" t="str" cm="1">
        <f t="array" aca="1" ref="J217" ca="1">IFERROR(_xlfn.XLOOKUP($A217&amp;BasicProjectData!$G$18,PRICES!$B$2:$B$3684&amp;PRICES!$A$2:$A$3684,PRICES!$H$2:$H$3684)," ")</f>
        <v xml:space="preserve"> </v>
      </c>
      <c r="K217" s="113" t="str" cm="1">
        <f t="array" aca="1" ref="K217" ca="1">IFERROR(_xlfn.XLOOKUP($A217&amp;"All Districts",PRICES!$B$2:$B$3684&amp;PRICES!$A$2:$A$3684,PRICES!$H$2:$H$3684)," ")</f>
        <v xml:space="preserve"> </v>
      </c>
      <c r="L217" s="556" t="str" cm="1">
        <f t="array" aca="1" ref="L217" ca="1">_xlfn.SWITCH(E217,J217,"District Price",K217,"State Price","Other/User Input/Override")</f>
        <v>District Price</v>
      </c>
    </row>
    <row r="218" spans="1:12">
      <c r="A218" s="110" t="str">
        <f t="array" aca="1" ref="A218" ca="1">IFERROR(INDEX(OUTPUT!$A$9:'OUTPUT'!$A$247,SMALL(IF(OUTPUT!$F$9:$F$247&lt;&gt;0,MATCH(OUTPUT!$A$9:'OUTPUT'!$A$247,OUTPUT!$A$9:'OUTPUT'!$A$247,0)),ROWS(ProjectEstimate!A$9:A218)),1),"")</f>
        <v/>
      </c>
      <c r="B218" s="111" t="str">
        <f ca="1">_xlfn.IFNA(OFFSET(INDEX(Output[Item '#],MATCH($A218,Output[Item '#],0)),0,1)," ")</f>
        <v xml:space="preserve"> </v>
      </c>
      <c r="C218" s="111" t="str">
        <f ca="1">_xlfn.IFNA(OFFSET(INDEX(Output[Item '#],MATCH($A218,Output[Item '#],0)),0,2)," ")</f>
        <v xml:space="preserve"> </v>
      </c>
      <c r="D218" s="111" t="str">
        <f ca="1">_xlfn.IFNA(OFFSET(INDEX(Output[Item '#],MATCH($A218,Output[Item '#],0)),0,3)," ")</f>
        <v xml:space="preserve"> </v>
      </c>
      <c r="E218" s="659" t="str">
        <f ca="1">_xlfn.IFNA(OFFSET(INDEX(Output[Item '#],MATCH($A218,Output[Item '#],0)),0,4)," ")</f>
        <v xml:space="preserve"> </v>
      </c>
      <c r="F218" s="659" t="str">
        <f ca="1">_xlfn.IFNA(OFFSET(INDEX(Output[Item '#],MATCH($A218,Output[Item '#],0)),0,5)," ")</f>
        <v xml:space="preserve"> </v>
      </c>
      <c r="G218" s="556"/>
      <c r="H218" s="584" t="str">
        <f ca="1">_xlfn.XLOOKUP(A218,OUTPUT!$Y$10:$Y$165,OUTPUT!$Z$10:$Z$165,"MiscItems")</f>
        <v>MiscItems</v>
      </c>
      <c r="I218" s="553" t="str">
        <f t="shared" ca="1" si="4"/>
        <v xml:space="preserve"> </v>
      </c>
      <c r="J218" s="113" t="str" cm="1">
        <f t="array" aca="1" ref="J218" ca="1">IFERROR(_xlfn.XLOOKUP($A218&amp;BasicProjectData!$G$18,PRICES!$B$2:$B$3684&amp;PRICES!$A$2:$A$3684,PRICES!$H$2:$H$3684)," ")</f>
        <v xml:space="preserve"> </v>
      </c>
      <c r="K218" s="113" t="str" cm="1">
        <f t="array" aca="1" ref="K218" ca="1">IFERROR(_xlfn.XLOOKUP($A218&amp;"All Districts",PRICES!$B$2:$B$3684&amp;PRICES!$A$2:$A$3684,PRICES!$H$2:$H$3684)," ")</f>
        <v xml:space="preserve"> </v>
      </c>
      <c r="L218" s="556" t="str" cm="1">
        <f t="array" aca="1" ref="L218" ca="1">_xlfn.SWITCH(E218,J218,"District Price",K218,"State Price","Other/User Input/Override")</f>
        <v>District Price</v>
      </c>
    </row>
    <row r="219" spans="1:12">
      <c r="A219" s="110" t="str">
        <f t="array" aca="1" ref="A219" ca="1">IFERROR(INDEX(OUTPUT!$A$9:'OUTPUT'!$A$247,SMALL(IF(OUTPUT!$F$9:$F$247&lt;&gt;0,MATCH(OUTPUT!$A$9:'OUTPUT'!$A$247,OUTPUT!$A$9:'OUTPUT'!$A$247,0)),ROWS(ProjectEstimate!A$9:A219)),1),"")</f>
        <v/>
      </c>
      <c r="B219" s="111" t="str">
        <f ca="1">_xlfn.IFNA(OFFSET(INDEX(Output[Item '#],MATCH($A219,Output[Item '#],0)),0,1)," ")</f>
        <v xml:space="preserve"> </v>
      </c>
      <c r="C219" s="111" t="str">
        <f ca="1">_xlfn.IFNA(OFFSET(INDEX(Output[Item '#],MATCH($A219,Output[Item '#],0)),0,2)," ")</f>
        <v xml:space="preserve"> </v>
      </c>
      <c r="D219" s="111" t="str">
        <f ca="1">_xlfn.IFNA(OFFSET(INDEX(Output[Item '#],MATCH($A219,Output[Item '#],0)),0,3)," ")</f>
        <v xml:space="preserve"> </v>
      </c>
      <c r="E219" s="659" t="str">
        <f ca="1">_xlfn.IFNA(OFFSET(INDEX(Output[Item '#],MATCH($A219,Output[Item '#],0)),0,4)," ")</f>
        <v xml:space="preserve"> </v>
      </c>
      <c r="F219" s="659" t="str">
        <f ca="1">_xlfn.IFNA(OFFSET(INDEX(Output[Item '#],MATCH($A219,Output[Item '#],0)),0,5)," ")</f>
        <v xml:space="preserve"> </v>
      </c>
      <c r="G219" s="556"/>
      <c r="H219" s="584" t="str">
        <f ca="1">_xlfn.XLOOKUP(A219,OUTPUT!$Y$10:$Y$165,OUTPUT!$Z$10:$Z$165,"MiscItems")</f>
        <v>MiscItems</v>
      </c>
      <c r="I219" s="553" t="str">
        <f t="shared" ca="1" si="4"/>
        <v xml:space="preserve"> </v>
      </c>
      <c r="J219" s="113" t="str" cm="1">
        <f t="array" aca="1" ref="J219" ca="1">IFERROR(_xlfn.XLOOKUP($A219&amp;BasicProjectData!$G$18,PRICES!$B$2:$B$3684&amp;PRICES!$A$2:$A$3684,PRICES!$H$2:$H$3684)," ")</f>
        <v xml:space="preserve"> </v>
      </c>
      <c r="K219" s="113" t="str" cm="1">
        <f t="array" aca="1" ref="K219" ca="1">IFERROR(_xlfn.XLOOKUP($A219&amp;"All Districts",PRICES!$B$2:$B$3684&amp;PRICES!$A$2:$A$3684,PRICES!$H$2:$H$3684)," ")</f>
        <v xml:space="preserve"> </v>
      </c>
      <c r="L219" s="556" t="str" cm="1">
        <f t="array" aca="1" ref="L219" ca="1">_xlfn.SWITCH(E219,J219,"District Price",K219,"State Price","Other/User Input/Override")</f>
        <v>District Price</v>
      </c>
    </row>
    <row r="220" spans="1:12">
      <c r="A220" s="110" t="str">
        <f t="array" aca="1" ref="A220" ca="1">IFERROR(INDEX(OUTPUT!$A$9:'OUTPUT'!$A$247,SMALL(IF(OUTPUT!$F$9:$F$247&lt;&gt;0,MATCH(OUTPUT!$A$9:'OUTPUT'!$A$247,OUTPUT!$A$9:'OUTPUT'!$A$247,0)),ROWS(ProjectEstimate!A$9:A220)),1),"")</f>
        <v/>
      </c>
      <c r="B220" s="111" t="str">
        <f ca="1">_xlfn.IFNA(OFFSET(INDEX(Output[Item '#],MATCH($A220,Output[Item '#],0)),0,1)," ")</f>
        <v xml:space="preserve"> </v>
      </c>
      <c r="C220" s="111" t="str">
        <f ca="1">_xlfn.IFNA(OFFSET(INDEX(Output[Item '#],MATCH($A220,Output[Item '#],0)),0,2)," ")</f>
        <v xml:space="preserve"> </v>
      </c>
      <c r="D220" s="111" t="str">
        <f ca="1">_xlfn.IFNA(OFFSET(INDEX(Output[Item '#],MATCH($A220,Output[Item '#],0)),0,3)," ")</f>
        <v xml:space="preserve"> </v>
      </c>
      <c r="E220" s="659" t="str">
        <f ca="1">_xlfn.IFNA(OFFSET(INDEX(Output[Item '#],MATCH($A220,Output[Item '#],0)),0,4)," ")</f>
        <v xml:space="preserve"> </v>
      </c>
      <c r="F220" s="659" t="str">
        <f ca="1">_xlfn.IFNA(OFFSET(INDEX(Output[Item '#],MATCH($A220,Output[Item '#],0)),0,5)," ")</f>
        <v xml:space="preserve"> </v>
      </c>
      <c r="G220" s="556"/>
      <c r="H220" s="584" t="str">
        <f ca="1">_xlfn.XLOOKUP(A220,OUTPUT!$Y$10:$Y$165,OUTPUT!$Z$10:$Z$165,"MiscItems")</f>
        <v>MiscItems</v>
      </c>
      <c r="I220" s="553" t="str">
        <f t="shared" ca="1" si="4"/>
        <v xml:space="preserve"> </v>
      </c>
      <c r="J220" s="113" t="str" cm="1">
        <f t="array" aca="1" ref="J220" ca="1">IFERROR(_xlfn.XLOOKUP($A220&amp;BasicProjectData!$G$18,PRICES!$B$2:$B$3684&amp;PRICES!$A$2:$A$3684,PRICES!$H$2:$H$3684)," ")</f>
        <v xml:space="preserve"> </v>
      </c>
      <c r="K220" s="113" t="str" cm="1">
        <f t="array" aca="1" ref="K220" ca="1">IFERROR(_xlfn.XLOOKUP($A220&amp;"All Districts",PRICES!$B$2:$B$3684&amp;PRICES!$A$2:$A$3684,PRICES!$H$2:$H$3684)," ")</f>
        <v xml:space="preserve"> </v>
      </c>
      <c r="L220" s="556" t="str" cm="1">
        <f t="array" aca="1" ref="L220" ca="1">_xlfn.SWITCH(E220,J220,"District Price",K220,"State Price","Other/User Input/Override")</f>
        <v>District Price</v>
      </c>
    </row>
    <row r="221" spans="1:12">
      <c r="A221" s="110" t="str">
        <f t="array" aca="1" ref="A221" ca="1">IFERROR(INDEX(OUTPUT!$A$9:'OUTPUT'!$A$247,SMALL(IF(OUTPUT!$F$9:$F$247&lt;&gt;0,MATCH(OUTPUT!$A$9:'OUTPUT'!$A$247,OUTPUT!$A$9:'OUTPUT'!$A$247,0)),ROWS(ProjectEstimate!A$9:A221)),1),"")</f>
        <v/>
      </c>
      <c r="B221" s="111" t="str">
        <f ca="1">_xlfn.IFNA(OFFSET(INDEX(Output[Item '#],MATCH($A221,Output[Item '#],0)),0,1)," ")</f>
        <v xml:space="preserve"> </v>
      </c>
      <c r="C221" s="111" t="str">
        <f ca="1">_xlfn.IFNA(OFFSET(INDEX(Output[Item '#],MATCH($A221,Output[Item '#],0)),0,2)," ")</f>
        <v xml:space="preserve"> </v>
      </c>
      <c r="D221" s="111" t="str">
        <f ca="1">_xlfn.IFNA(OFFSET(INDEX(Output[Item '#],MATCH($A221,Output[Item '#],0)),0,3)," ")</f>
        <v xml:space="preserve"> </v>
      </c>
      <c r="E221" s="659" t="str">
        <f ca="1">_xlfn.IFNA(OFFSET(INDEX(Output[Item '#],MATCH($A221,Output[Item '#],0)),0,4)," ")</f>
        <v xml:space="preserve"> </v>
      </c>
      <c r="F221" s="659" t="str">
        <f ca="1">_xlfn.IFNA(OFFSET(INDEX(Output[Item '#],MATCH($A221,Output[Item '#],0)),0,5)," ")</f>
        <v xml:space="preserve"> </v>
      </c>
      <c r="G221" s="556"/>
      <c r="H221" s="584" t="str">
        <f ca="1">_xlfn.XLOOKUP(A221,OUTPUT!$Y$10:$Y$165,OUTPUT!$Z$10:$Z$165,"MiscItems")</f>
        <v>MiscItems</v>
      </c>
      <c r="I221" s="553" t="str">
        <f t="shared" ca="1" si="4"/>
        <v xml:space="preserve"> </v>
      </c>
      <c r="J221" s="113" t="str" cm="1">
        <f t="array" aca="1" ref="J221" ca="1">IFERROR(_xlfn.XLOOKUP($A221&amp;BasicProjectData!$G$18,PRICES!$B$2:$B$3684&amp;PRICES!$A$2:$A$3684,PRICES!$H$2:$H$3684)," ")</f>
        <v xml:space="preserve"> </v>
      </c>
      <c r="K221" s="113" t="str" cm="1">
        <f t="array" aca="1" ref="K221" ca="1">IFERROR(_xlfn.XLOOKUP($A221&amp;"All Districts",PRICES!$B$2:$B$3684&amp;PRICES!$A$2:$A$3684,PRICES!$H$2:$H$3684)," ")</f>
        <v xml:space="preserve"> </v>
      </c>
      <c r="L221" s="556" t="str" cm="1">
        <f t="array" aca="1" ref="L221" ca="1">_xlfn.SWITCH(E221,J221,"District Price",K221,"State Price","Other/User Input/Override")</f>
        <v>District Price</v>
      </c>
    </row>
    <row r="222" spans="1:12">
      <c r="A222" s="110" t="str">
        <f t="array" aca="1" ref="A222" ca="1">IFERROR(INDEX(OUTPUT!$A$9:'OUTPUT'!$A$247,SMALL(IF(OUTPUT!$F$9:$F$247&lt;&gt;0,MATCH(OUTPUT!$A$9:'OUTPUT'!$A$247,OUTPUT!$A$9:'OUTPUT'!$A$247,0)),ROWS(ProjectEstimate!A$9:A222)),1),"")</f>
        <v/>
      </c>
      <c r="B222" s="111" t="str">
        <f ca="1">_xlfn.IFNA(OFFSET(INDEX(Output[Item '#],MATCH($A222,Output[Item '#],0)),0,1)," ")</f>
        <v xml:space="preserve"> </v>
      </c>
      <c r="C222" s="111" t="str">
        <f ca="1">_xlfn.IFNA(OFFSET(INDEX(Output[Item '#],MATCH($A222,Output[Item '#],0)),0,2)," ")</f>
        <v xml:space="preserve"> </v>
      </c>
      <c r="D222" s="111" t="str">
        <f ca="1">_xlfn.IFNA(OFFSET(INDEX(Output[Item '#],MATCH($A222,Output[Item '#],0)),0,3)," ")</f>
        <v xml:space="preserve"> </v>
      </c>
      <c r="E222" s="659" t="str">
        <f ca="1">_xlfn.IFNA(OFFSET(INDEX(Output[Item '#],MATCH($A222,Output[Item '#],0)),0,4)," ")</f>
        <v xml:space="preserve"> </v>
      </c>
      <c r="F222" s="659" t="str">
        <f ca="1">_xlfn.IFNA(OFFSET(INDEX(Output[Item '#],MATCH($A222,Output[Item '#],0)),0,5)," ")</f>
        <v xml:space="preserve"> </v>
      </c>
      <c r="G222" s="556"/>
      <c r="H222" s="584" t="str">
        <f ca="1">_xlfn.XLOOKUP(A222,OUTPUT!$Y$10:$Y$165,OUTPUT!$Z$10:$Z$165,"MiscItems")</f>
        <v>MiscItems</v>
      </c>
      <c r="I222" s="553" t="str">
        <f t="shared" ca="1" si="4"/>
        <v xml:space="preserve"> </v>
      </c>
      <c r="J222" s="113" t="str" cm="1">
        <f t="array" aca="1" ref="J222" ca="1">IFERROR(_xlfn.XLOOKUP($A222&amp;BasicProjectData!$G$18,PRICES!$B$2:$B$3684&amp;PRICES!$A$2:$A$3684,PRICES!$H$2:$H$3684)," ")</f>
        <v xml:space="preserve"> </v>
      </c>
      <c r="K222" s="113" t="str" cm="1">
        <f t="array" aca="1" ref="K222" ca="1">IFERROR(_xlfn.XLOOKUP($A222&amp;"All Districts",PRICES!$B$2:$B$3684&amp;PRICES!$A$2:$A$3684,PRICES!$H$2:$H$3684)," ")</f>
        <v xml:space="preserve"> </v>
      </c>
      <c r="L222" s="556" t="str" cm="1">
        <f t="array" aca="1" ref="L222" ca="1">_xlfn.SWITCH(E222,J222,"District Price",K222,"State Price","Other/User Input/Override")</f>
        <v>District Price</v>
      </c>
    </row>
    <row r="223" spans="1:12">
      <c r="A223" s="110" t="str">
        <f t="array" aca="1" ref="A223" ca="1">IFERROR(INDEX(OUTPUT!$A$9:'OUTPUT'!$A$247,SMALL(IF(OUTPUT!$F$9:$F$247&lt;&gt;0,MATCH(OUTPUT!$A$9:'OUTPUT'!$A$247,OUTPUT!$A$9:'OUTPUT'!$A$247,0)),ROWS(ProjectEstimate!A$9:A223)),1),"")</f>
        <v/>
      </c>
      <c r="B223" s="111" t="str">
        <f ca="1">_xlfn.IFNA(OFFSET(INDEX(Output[Item '#],MATCH($A223,Output[Item '#],0)),0,1)," ")</f>
        <v xml:space="preserve"> </v>
      </c>
      <c r="C223" s="111" t="str">
        <f ca="1">_xlfn.IFNA(OFFSET(INDEX(Output[Item '#],MATCH($A223,Output[Item '#],0)),0,2)," ")</f>
        <v xml:space="preserve"> </v>
      </c>
      <c r="D223" s="111" t="str">
        <f ca="1">_xlfn.IFNA(OFFSET(INDEX(Output[Item '#],MATCH($A223,Output[Item '#],0)),0,3)," ")</f>
        <v xml:space="preserve"> </v>
      </c>
      <c r="E223" s="659" t="str">
        <f ca="1">_xlfn.IFNA(OFFSET(INDEX(Output[Item '#],MATCH($A223,Output[Item '#],0)),0,4)," ")</f>
        <v xml:space="preserve"> </v>
      </c>
      <c r="F223" s="659" t="str">
        <f ca="1">_xlfn.IFNA(OFFSET(INDEX(Output[Item '#],MATCH($A223,Output[Item '#],0)),0,5)," ")</f>
        <v xml:space="preserve"> </v>
      </c>
      <c r="G223" s="556"/>
      <c r="H223" s="584" t="str">
        <f ca="1">_xlfn.XLOOKUP(A223,OUTPUT!$Y$10:$Y$165,OUTPUT!$Z$10:$Z$165,"MiscItems")</f>
        <v>MiscItems</v>
      </c>
      <c r="I223" s="553" t="str">
        <f t="shared" ca="1" si="4"/>
        <v xml:space="preserve"> </v>
      </c>
      <c r="J223" s="113" t="str" cm="1">
        <f t="array" aca="1" ref="J223" ca="1">IFERROR(_xlfn.XLOOKUP($A223&amp;BasicProjectData!$G$18,PRICES!$B$2:$B$3684&amp;PRICES!$A$2:$A$3684,PRICES!$H$2:$H$3684)," ")</f>
        <v xml:space="preserve"> </v>
      </c>
      <c r="K223" s="113" t="str" cm="1">
        <f t="array" aca="1" ref="K223" ca="1">IFERROR(_xlfn.XLOOKUP($A223&amp;"All Districts",PRICES!$B$2:$B$3684&amp;PRICES!$A$2:$A$3684,PRICES!$H$2:$H$3684)," ")</f>
        <v xml:space="preserve"> </v>
      </c>
      <c r="L223" s="556" t="str" cm="1">
        <f t="array" aca="1" ref="L223" ca="1">_xlfn.SWITCH(E223,J223,"District Price",K223,"State Price","Other/User Input/Override")</f>
        <v>District Price</v>
      </c>
    </row>
    <row r="224" spans="1:12">
      <c r="A224" s="110" t="str">
        <f t="array" aca="1" ref="A224" ca="1">IFERROR(INDEX(OUTPUT!$A$9:'OUTPUT'!$A$247,SMALL(IF(OUTPUT!$F$9:$F$247&lt;&gt;0,MATCH(OUTPUT!$A$9:'OUTPUT'!$A$247,OUTPUT!$A$9:'OUTPUT'!$A$247,0)),ROWS(ProjectEstimate!A$9:A224)),1),"")</f>
        <v/>
      </c>
      <c r="B224" s="111" t="str">
        <f ca="1">_xlfn.IFNA(OFFSET(INDEX(Output[Item '#],MATCH($A224,Output[Item '#],0)),0,1)," ")</f>
        <v xml:space="preserve"> </v>
      </c>
      <c r="C224" s="111" t="str">
        <f ca="1">_xlfn.IFNA(OFFSET(INDEX(Output[Item '#],MATCH($A224,Output[Item '#],0)),0,2)," ")</f>
        <v xml:space="preserve"> </v>
      </c>
      <c r="D224" s="111" t="str">
        <f ca="1">_xlfn.IFNA(OFFSET(INDEX(Output[Item '#],MATCH($A224,Output[Item '#],0)),0,3)," ")</f>
        <v xml:space="preserve"> </v>
      </c>
      <c r="E224" s="659" t="str">
        <f ca="1">_xlfn.IFNA(OFFSET(INDEX(Output[Item '#],MATCH($A224,Output[Item '#],0)),0,4)," ")</f>
        <v xml:space="preserve"> </v>
      </c>
      <c r="F224" s="659" t="str">
        <f ca="1">_xlfn.IFNA(OFFSET(INDEX(Output[Item '#],MATCH($A224,Output[Item '#],0)),0,5)," ")</f>
        <v xml:space="preserve"> </v>
      </c>
      <c r="G224" s="556"/>
      <c r="H224" s="584" t="str">
        <f ca="1">_xlfn.XLOOKUP(A224,OUTPUT!$Y$10:$Y$165,OUTPUT!$Z$10:$Z$165,"MiscItems")</f>
        <v>MiscItems</v>
      </c>
      <c r="I224" s="553" t="str">
        <f t="shared" ca="1" si="4"/>
        <v xml:space="preserve"> </v>
      </c>
      <c r="J224" s="113" t="str" cm="1">
        <f t="array" aca="1" ref="J224" ca="1">IFERROR(_xlfn.XLOOKUP($A224&amp;BasicProjectData!$G$18,PRICES!$B$2:$B$3684&amp;PRICES!$A$2:$A$3684,PRICES!$H$2:$H$3684)," ")</f>
        <v xml:space="preserve"> </v>
      </c>
      <c r="K224" s="113" t="str" cm="1">
        <f t="array" aca="1" ref="K224" ca="1">IFERROR(_xlfn.XLOOKUP($A224&amp;"All Districts",PRICES!$B$2:$B$3684&amp;PRICES!$A$2:$A$3684,PRICES!$H$2:$H$3684)," ")</f>
        <v xml:space="preserve"> </v>
      </c>
      <c r="L224" s="556" t="str" cm="1">
        <f t="array" aca="1" ref="L224" ca="1">_xlfn.SWITCH(E224,J224,"District Price",K224,"State Price","Other/User Input/Override")</f>
        <v>District Price</v>
      </c>
    </row>
    <row r="225" spans="1:12">
      <c r="A225" s="110" t="str">
        <f t="array" aca="1" ref="A225" ca="1">IFERROR(INDEX(OUTPUT!$A$9:'OUTPUT'!$A$247,SMALL(IF(OUTPUT!$F$9:$F$247&lt;&gt;0,MATCH(OUTPUT!$A$9:'OUTPUT'!$A$247,OUTPUT!$A$9:'OUTPUT'!$A$247,0)),ROWS(ProjectEstimate!A$9:A225)),1),"")</f>
        <v/>
      </c>
      <c r="B225" s="111" t="str">
        <f ca="1">_xlfn.IFNA(OFFSET(INDEX(Output[Item '#],MATCH($A225,Output[Item '#],0)),0,1)," ")</f>
        <v xml:space="preserve"> </v>
      </c>
      <c r="C225" s="111" t="str">
        <f ca="1">_xlfn.IFNA(OFFSET(INDEX(Output[Item '#],MATCH($A225,Output[Item '#],0)),0,2)," ")</f>
        <v xml:space="preserve"> </v>
      </c>
      <c r="D225" s="111" t="str">
        <f ca="1">_xlfn.IFNA(OFFSET(INDEX(Output[Item '#],MATCH($A225,Output[Item '#],0)),0,3)," ")</f>
        <v xml:space="preserve"> </v>
      </c>
      <c r="E225" s="659" t="str">
        <f ca="1">_xlfn.IFNA(OFFSET(INDEX(Output[Item '#],MATCH($A225,Output[Item '#],0)),0,4)," ")</f>
        <v xml:space="preserve"> </v>
      </c>
      <c r="F225" s="659" t="str">
        <f ca="1">_xlfn.IFNA(OFFSET(INDEX(Output[Item '#],MATCH($A225,Output[Item '#],0)),0,5)," ")</f>
        <v xml:space="preserve"> </v>
      </c>
      <c r="G225" s="556"/>
      <c r="H225" s="584" t="str">
        <f ca="1">_xlfn.XLOOKUP(A225,OUTPUT!$Y$10:$Y$165,OUTPUT!$Z$10:$Z$165,"MiscItems")</f>
        <v>MiscItems</v>
      </c>
      <c r="I225" s="553" t="str">
        <f t="shared" ca="1" si="4"/>
        <v xml:space="preserve"> </v>
      </c>
      <c r="J225" s="113" t="str" cm="1">
        <f t="array" aca="1" ref="J225" ca="1">IFERROR(_xlfn.XLOOKUP($A225&amp;BasicProjectData!$G$18,PRICES!$B$2:$B$3684&amp;PRICES!$A$2:$A$3684,PRICES!$H$2:$H$3684)," ")</f>
        <v xml:space="preserve"> </v>
      </c>
      <c r="K225" s="113" t="str" cm="1">
        <f t="array" aca="1" ref="K225" ca="1">IFERROR(_xlfn.XLOOKUP($A225&amp;"All Districts",PRICES!$B$2:$B$3684&amp;PRICES!$A$2:$A$3684,PRICES!$H$2:$H$3684)," ")</f>
        <v xml:space="preserve"> </v>
      </c>
      <c r="L225" s="556" t="str" cm="1">
        <f t="array" aca="1" ref="L225" ca="1">_xlfn.SWITCH(E225,J225,"District Price",K225,"State Price","Other/User Input/Override")</f>
        <v>District Price</v>
      </c>
    </row>
    <row r="226" spans="1:12">
      <c r="A226" s="110" t="str">
        <f t="array" aca="1" ref="A226" ca="1">IFERROR(INDEX(OUTPUT!$A$9:'OUTPUT'!$A$247,SMALL(IF(OUTPUT!$F$9:$F$247&lt;&gt;0,MATCH(OUTPUT!$A$9:'OUTPUT'!$A$247,OUTPUT!$A$9:'OUTPUT'!$A$247,0)),ROWS(ProjectEstimate!A$9:A226)),1),"")</f>
        <v/>
      </c>
      <c r="B226" s="111" t="str">
        <f ca="1">_xlfn.IFNA(OFFSET(INDEX(Output[Item '#],MATCH($A226,Output[Item '#],0)),0,1)," ")</f>
        <v xml:space="preserve"> </v>
      </c>
      <c r="C226" s="111" t="str">
        <f ca="1">_xlfn.IFNA(OFFSET(INDEX(Output[Item '#],MATCH($A226,Output[Item '#],0)),0,2)," ")</f>
        <v xml:space="preserve"> </v>
      </c>
      <c r="D226" s="111" t="str">
        <f ca="1">_xlfn.IFNA(OFFSET(INDEX(Output[Item '#],MATCH($A226,Output[Item '#],0)),0,3)," ")</f>
        <v xml:space="preserve"> </v>
      </c>
      <c r="E226" s="659" t="str">
        <f ca="1">_xlfn.IFNA(OFFSET(INDEX(Output[Item '#],MATCH($A226,Output[Item '#],0)),0,4)," ")</f>
        <v xml:space="preserve"> </v>
      </c>
      <c r="F226" s="659" t="str">
        <f ca="1">_xlfn.IFNA(OFFSET(INDEX(Output[Item '#],MATCH($A226,Output[Item '#],0)),0,5)," ")</f>
        <v xml:space="preserve"> </v>
      </c>
      <c r="G226" s="556"/>
      <c r="H226" s="584" t="str">
        <f ca="1">_xlfn.XLOOKUP(A226,OUTPUT!$Y$10:$Y$165,OUTPUT!$Z$10:$Z$165,"MiscItems")</f>
        <v>MiscItems</v>
      </c>
      <c r="I226" s="553" t="str">
        <f t="shared" ca="1" si="4"/>
        <v xml:space="preserve"> </v>
      </c>
      <c r="J226" s="113" t="str" cm="1">
        <f t="array" aca="1" ref="J226" ca="1">IFERROR(_xlfn.XLOOKUP($A226&amp;BasicProjectData!$G$18,PRICES!$B$2:$B$3684&amp;PRICES!$A$2:$A$3684,PRICES!$H$2:$H$3684)," ")</f>
        <v xml:space="preserve"> </v>
      </c>
      <c r="K226" s="113" t="str" cm="1">
        <f t="array" aca="1" ref="K226" ca="1">IFERROR(_xlfn.XLOOKUP($A226&amp;"All Districts",PRICES!$B$2:$B$3684&amp;PRICES!$A$2:$A$3684,PRICES!$H$2:$H$3684)," ")</f>
        <v xml:space="preserve"> </v>
      </c>
      <c r="L226" s="556" t="str" cm="1">
        <f t="array" aca="1" ref="L226" ca="1">_xlfn.SWITCH(E226,J226,"District Price",K226,"State Price","Other/User Input/Override")</f>
        <v>District Price</v>
      </c>
    </row>
    <row r="227" spans="1:12">
      <c r="A227" s="110" t="str">
        <f t="array" aca="1" ref="A227" ca="1">IFERROR(INDEX(OUTPUT!$A$9:'OUTPUT'!$A$247,SMALL(IF(OUTPUT!$F$9:$F$247&lt;&gt;0,MATCH(OUTPUT!$A$9:'OUTPUT'!$A$247,OUTPUT!$A$9:'OUTPUT'!$A$247,0)),ROWS(ProjectEstimate!A$9:A227)),1),"")</f>
        <v/>
      </c>
      <c r="B227" s="111" t="str">
        <f ca="1">_xlfn.IFNA(OFFSET(INDEX(Output[Item '#],MATCH($A227,Output[Item '#],0)),0,1)," ")</f>
        <v xml:space="preserve"> </v>
      </c>
      <c r="C227" s="111" t="str">
        <f ca="1">_xlfn.IFNA(OFFSET(INDEX(Output[Item '#],MATCH($A227,Output[Item '#],0)),0,2)," ")</f>
        <v xml:space="preserve"> </v>
      </c>
      <c r="D227" s="111" t="str">
        <f ca="1">_xlfn.IFNA(OFFSET(INDEX(Output[Item '#],MATCH($A227,Output[Item '#],0)),0,3)," ")</f>
        <v xml:space="preserve"> </v>
      </c>
      <c r="E227" s="659" t="str">
        <f ca="1">_xlfn.IFNA(OFFSET(INDEX(Output[Item '#],MATCH($A227,Output[Item '#],0)),0,4)," ")</f>
        <v xml:space="preserve"> </v>
      </c>
      <c r="F227" s="659" t="str">
        <f ca="1">_xlfn.IFNA(OFFSET(INDEX(Output[Item '#],MATCH($A227,Output[Item '#],0)),0,5)," ")</f>
        <v xml:space="preserve"> </v>
      </c>
      <c r="G227" s="556"/>
      <c r="H227" s="584" t="str">
        <f ca="1">_xlfn.XLOOKUP(A227,OUTPUT!$Y$10:$Y$165,OUTPUT!$Z$10:$Z$165,"MiscItems")</f>
        <v>MiscItems</v>
      </c>
      <c r="I227" s="553" t="str">
        <f t="shared" ca="1" si="4"/>
        <v xml:space="preserve"> </v>
      </c>
      <c r="J227" s="113" t="str" cm="1">
        <f t="array" aca="1" ref="J227" ca="1">IFERROR(_xlfn.XLOOKUP($A227&amp;BasicProjectData!$G$18,PRICES!$B$2:$B$3684&amp;PRICES!$A$2:$A$3684,PRICES!$H$2:$H$3684)," ")</f>
        <v xml:space="preserve"> </v>
      </c>
      <c r="K227" s="113" t="str" cm="1">
        <f t="array" aca="1" ref="K227" ca="1">IFERROR(_xlfn.XLOOKUP($A227&amp;"All Districts",PRICES!$B$2:$B$3684&amp;PRICES!$A$2:$A$3684,PRICES!$H$2:$H$3684)," ")</f>
        <v xml:space="preserve"> </v>
      </c>
      <c r="L227" s="556" t="str" cm="1">
        <f t="array" aca="1" ref="L227" ca="1">_xlfn.SWITCH(E227,J227,"District Price",K227,"State Price","Other/User Input/Override")</f>
        <v>District Price</v>
      </c>
    </row>
    <row r="228" spans="1:12">
      <c r="A228" s="110" t="str">
        <f t="array" aca="1" ref="A228" ca="1">IFERROR(INDEX(OUTPUT!$A$9:'OUTPUT'!$A$247,SMALL(IF(OUTPUT!$F$9:$F$247&lt;&gt;0,MATCH(OUTPUT!$A$9:'OUTPUT'!$A$247,OUTPUT!$A$9:'OUTPUT'!$A$247,0)),ROWS(ProjectEstimate!A$9:A228)),1),"")</f>
        <v/>
      </c>
      <c r="B228" s="111" t="str">
        <f ca="1">_xlfn.IFNA(OFFSET(INDEX(Output[Item '#],MATCH($A228,Output[Item '#],0)),0,1)," ")</f>
        <v xml:space="preserve"> </v>
      </c>
      <c r="C228" s="111" t="str">
        <f ca="1">_xlfn.IFNA(OFFSET(INDEX(Output[Item '#],MATCH($A228,Output[Item '#],0)),0,2)," ")</f>
        <v xml:space="preserve"> </v>
      </c>
      <c r="D228" s="111" t="str">
        <f ca="1">_xlfn.IFNA(OFFSET(INDEX(Output[Item '#],MATCH($A228,Output[Item '#],0)),0,3)," ")</f>
        <v xml:space="preserve"> </v>
      </c>
      <c r="E228" s="659" t="str">
        <f ca="1">_xlfn.IFNA(OFFSET(INDEX(Output[Item '#],MATCH($A228,Output[Item '#],0)),0,4)," ")</f>
        <v xml:space="preserve"> </v>
      </c>
      <c r="F228" s="659" t="str">
        <f ca="1">_xlfn.IFNA(OFFSET(INDEX(Output[Item '#],MATCH($A228,Output[Item '#],0)),0,5)," ")</f>
        <v xml:space="preserve"> </v>
      </c>
      <c r="G228" s="556"/>
      <c r="H228" s="584" t="str">
        <f ca="1">_xlfn.XLOOKUP(A228,OUTPUT!$Y$10:$Y$165,OUTPUT!$Z$10:$Z$165,"MiscItems")</f>
        <v>MiscItems</v>
      </c>
      <c r="I228" s="553" t="str">
        <f t="shared" ca="1" si="4"/>
        <v xml:space="preserve"> </v>
      </c>
      <c r="J228" s="113" t="str" cm="1">
        <f t="array" aca="1" ref="J228" ca="1">IFERROR(_xlfn.XLOOKUP($A228&amp;BasicProjectData!$G$18,PRICES!$B$2:$B$3684&amp;PRICES!$A$2:$A$3684,PRICES!$H$2:$H$3684)," ")</f>
        <v xml:space="preserve"> </v>
      </c>
      <c r="K228" s="113" t="str" cm="1">
        <f t="array" aca="1" ref="K228" ca="1">IFERROR(_xlfn.XLOOKUP($A228&amp;"All Districts",PRICES!$B$2:$B$3684&amp;PRICES!$A$2:$A$3684,PRICES!$H$2:$H$3684)," ")</f>
        <v xml:space="preserve"> </v>
      </c>
      <c r="L228" s="556" t="str" cm="1">
        <f t="array" aca="1" ref="L228" ca="1">_xlfn.SWITCH(E228,J228,"District Price",K228,"State Price","Other/User Input/Override")</f>
        <v>District Price</v>
      </c>
    </row>
    <row r="229" spans="1:12">
      <c r="A229" s="110" t="str">
        <f t="array" aca="1" ref="A229" ca="1">IFERROR(INDEX(OUTPUT!$A$9:'OUTPUT'!$A$247,SMALL(IF(OUTPUT!$F$9:$F$247&lt;&gt;0,MATCH(OUTPUT!$A$9:'OUTPUT'!$A$247,OUTPUT!$A$9:'OUTPUT'!$A$247,0)),ROWS(ProjectEstimate!A$9:A229)),1),"")</f>
        <v/>
      </c>
      <c r="B229" s="111" t="str">
        <f ca="1">_xlfn.IFNA(OFFSET(INDEX(Output[Item '#],MATCH($A229,Output[Item '#],0)),0,1)," ")</f>
        <v xml:space="preserve"> </v>
      </c>
      <c r="C229" s="111" t="str">
        <f ca="1">_xlfn.IFNA(OFFSET(INDEX(Output[Item '#],MATCH($A229,Output[Item '#],0)),0,2)," ")</f>
        <v xml:space="preserve"> </v>
      </c>
      <c r="D229" s="111" t="str">
        <f ca="1">_xlfn.IFNA(OFFSET(INDEX(Output[Item '#],MATCH($A229,Output[Item '#],0)),0,3)," ")</f>
        <v xml:space="preserve"> </v>
      </c>
      <c r="E229" s="659" t="str">
        <f ca="1">_xlfn.IFNA(OFFSET(INDEX(Output[Item '#],MATCH($A229,Output[Item '#],0)),0,4)," ")</f>
        <v xml:space="preserve"> </v>
      </c>
      <c r="F229" s="659" t="str">
        <f ca="1">_xlfn.IFNA(OFFSET(INDEX(Output[Item '#],MATCH($A229,Output[Item '#],0)),0,5)," ")</f>
        <v xml:space="preserve"> </v>
      </c>
      <c r="G229" s="556"/>
      <c r="H229" s="584" t="str">
        <f ca="1">_xlfn.XLOOKUP(A229,OUTPUT!$Y$10:$Y$165,OUTPUT!$Z$10:$Z$165,"MiscItems")</f>
        <v>MiscItems</v>
      </c>
      <c r="I229" s="553" t="str">
        <f t="shared" ca="1" si="4"/>
        <v xml:space="preserve"> </v>
      </c>
      <c r="J229" s="113" t="str" cm="1">
        <f t="array" aca="1" ref="J229" ca="1">IFERROR(_xlfn.XLOOKUP($A229&amp;BasicProjectData!$G$18,PRICES!$B$2:$B$3684&amp;PRICES!$A$2:$A$3684,PRICES!$H$2:$H$3684)," ")</f>
        <v xml:space="preserve"> </v>
      </c>
      <c r="K229" s="113" t="str" cm="1">
        <f t="array" aca="1" ref="K229" ca="1">IFERROR(_xlfn.XLOOKUP($A229&amp;"All Districts",PRICES!$B$2:$B$3684&amp;PRICES!$A$2:$A$3684,PRICES!$H$2:$H$3684)," ")</f>
        <v xml:space="preserve"> </v>
      </c>
      <c r="L229" s="556" t="str" cm="1">
        <f t="array" aca="1" ref="L229" ca="1">_xlfn.SWITCH(E229,J229,"District Price",K229,"State Price","Other/User Input/Override")</f>
        <v>District Price</v>
      </c>
    </row>
    <row r="230" spans="1:12">
      <c r="A230" s="110" t="str">
        <f t="array" aca="1" ref="A230" ca="1">IFERROR(INDEX(OUTPUT!$A$9:'OUTPUT'!$A$247,SMALL(IF(OUTPUT!$F$9:$F$247&lt;&gt;0,MATCH(OUTPUT!$A$9:'OUTPUT'!$A$247,OUTPUT!$A$9:'OUTPUT'!$A$247,0)),ROWS(ProjectEstimate!A$9:A230)),1),"")</f>
        <v/>
      </c>
      <c r="B230" s="111" t="str">
        <f ca="1">_xlfn.IFNA(OFFSET(INDEX(Output[Item '#],MATCH($A230,Output[Item '#],0)),0,1)," ")</f>
        <v xml:space="preserve"> </v>
      </c>
      <c r="C230" s="111" t="str">
        <f ca="1">_xlfn.IFNA(OFFSET(INDEX(Output[Item '#],MATCH($A230,Output[Item '#],0)),0,2)," ")</f>
        <v xml:space="preserve"> </v>
      </c>
      <c r="D230" s="111" t="str">
        <f ca="1">_xlfn.IFNA(OFFSET(INDEX(Output[Item '#],MATCH($A230,Output[Item '#],0)),0,3)," ")</f>
        <v xml:space="preserve"> </v>
      </c>
      <c r="E230" s="659" t="str">
        <f ca="1">_xlfn.IFNA(OFFSET(INDEX(Output[Item '#],MATCH($A230,Output[Item '#],0)),0,4)," ")</f>
        <v xml:space="preserve"> </v>
      </c>
      <c r="F230" s="659" t="str">
        <f ca="1">_xlfn.IFNA(OFFSET(INDEX(Output[Item '#],MATCH($A230,Output[Item '#],0)),0,5)," ")</f>
        <v xml:space="preserve"> </v>
      </c>
      <c r="G230" s="556"/>
      <c r="H230" s="584" t="str">
        <f ca="1">_xlfn.XLOOKUP(A230,OUTPUT!$Y$10:$Y$165,OUTPUT!$Z$10:$Z$165,"MiscItems")</f>
        <v>MiscItems</v>
      </c>
      <c r="I230" s="553" t="str">
        <f t="shared" ca="1" si="4"/>
        <v xml:space="preserve"> </v>
      </c>
      <c r="J230" s="113" t="str" cm="1">
        <f t="array" aca="1" ref="J230" ca="1">IFERROR(_xlfn.XLOOKUP($A230&amp;BasicProjectData!$G$18,PRICES!$B$2:$B$3684&amp;PRICES!$A$2:$A$3684,PRICES!$H$2:$H$3684)," ")</f>
        <v xml:space="preserve"> </v>
      </c>
      <c r="K230" s="113" t="str" cm="1">
        <f t="array" aca="1" ref="K230" ca="1">IFERROR(_xlfn.XLOOKUP($A230&amp;"All Districts",PRICES!$B$2:$B$3684&amp;PRICES!$A$2:$A$3684,PRICES!$H$2:$H$3684)," ")</f>
        <v xml:space="preserve"> </v>
      </c>
      <c r="L230" s="556" t="str" cm="1">
        <f t="array" aca="1" ref="L230" ca="1">_xlfn.SWITCH(E230,J230,"District Price",K230,"State Price","Other/User Input/Override")</f>
        <v>District Price</v>
      </c>
    </row>
    <row r="231" spans="1:12">
      <c r="A231" s="110" t="str">
        <f t="array" aca="1" ref="A231" ca="1">IFERROR(INDEX(OUTPUT!$A$9:'OUTPUT'!$A$247,SMALL(IF(OUTPUT!$F$9:$F$247&lt;&gt;0,MATCH(OUTPUT!$A$9:'OUTPUT'!$A$247,OUTPUT!$A$9:'OUTPUT'!$A$247,0)),ROWS(ProjectEstimate!A$9:A231)),1),"")</f>
        <v/>
      </c>
      <c r="B231" s="111" t="str">
        <f ca="1">_xlfn.IFNA(OFFSET(INDEX(Output[Item '#],MATCH($A231,Output[Item '#],0)),0,1)," ")</f>
        <v xml:space="preserve"> </v>
      </c>
      <c r="C231" s="111" t="str">
        <f ca="1">_xlfn.IFNA(OFFSET(INDEX(Output[Item '#],MATCH($A231,Output[Item '#],0)),0,2)," ")</f>
        <v xml:space="preserve"> </v>
      </c>
      <c r="D231" s="111" t="str">
        <f ca="1">_xlfn.IFNA(OFFSET(INDEX(Output[Item '#],MATCH($A231,Output[Item '#],0)),0,3)," ")</f>
        <v xml:space="preserve"> </v>
      </c>
      <c r="E231" s="659" t="str">
        <f ca="1">_xlfn.IFNA(OFFSET(INDEX(Output[Item '#],MATCH($A231,Output[Item '#],0)),0,4)," ")</f>
        <v xml:space="preserve"> </v>
      </c>
      <c r="F231" s="659" t="str">
        <f ca="1">_xlfn.IFNA(OFFSET(INDEX(Output[Item '#],MATCH($A231,Output[Item '#],0)),0,5)," ")</f>
        <v xml:space="preserve"> </v>
      </c>
      <c r="G231" s="556"/>
      <c r="H231" s="584" t="str">
        <f ca="1">_xlfn.XLOOKUP(A231,OUTPUT!$Y$10:$Y$165,OUTPUT!$Z$10:$Z$165,"MiscItems")</f>
        <v>MiscItems</v>
      </c>
      <c r="I231" s="553" t="str">
        <f t="shared" ca="1" si="4"/>
        <v xml:space="preserve"> </v>
      </c>
      <c r="J231" s="113" t="str" cm="1">
        <f t="array" aca="1" ref="J231" ca="1">IFERROR(_xlfn.XLOOKUP($A231&amp;BasicProjectData!$G$18,PRICES!$B$2:$B$3684&amp;PRICES!$A$2:$A$3684,PRICES!$H$2:$H$3684)," ")</f>
        <v xml:space="preserve"> </v>
      </c>
      <c r="K231" s="113" t="str" cm="1">
        <f t="array" aca="1" ref="K231" ca="1">IFERROR(_xlfn.XLOOKUP($A231&amp;"All Districts",PRICES!$B$2:$B$3684&amp;PRICES!$A$2:$A$3684,PRICES!$H$2:$H$3684)," ")</f>
        <v xml:space="preserve"> </v>
      </c>
      <c r="L231" s="556" t="str" cm="1">
        <f t="array" aca="1" ref="L231" ca="1">_xlfn.SWITCH(E231,J231,"District Price",K231,"State Price","Other/User Input/Override")</f>
        <v>District Price</v>
      </c>
    </row>
    <row r="232" spans="1:12">
      <c r="A232" s="110" t="str">
        <f t="array" aca="1" ref="A232" ca="1">IFERROR(INDEX(OUTPUT!$A$9:'OUTPUT'!$A$247,SMALL(IF(OUTPUT!$F$9:$F$247&lt;&gt;0,MATCH(OUTPUT!$A$9:'OUTPUT'!$A$247,OUTPUT!$A$9:'OUTPUT'!$A$247,0)),ROWS(ProjectEstimate!A$9:A232)),1),"")</f>
        <v/>
      </c>
      <c r="B232" s="111" t="str">
        <f ca="1">_xlfn.IFNA(OFFSET(INDEX(Output[Item '#],MATCH($A232,Output[Item '#],0)),0,1)," ")</f>
        <v xml:space="preserve"> </v>
      </c>
      <c r="C232" s="111" t="str">
        <f ca="1">_xlfn.IFNA(OFFSET(INDEX(Output[Item '#],MATCH($A232,Output[Item '#],0)),0,2)," ")</f>
        <v xml:space="preserve"> </v>
      </c>
      <c r="D232" s="111" t="str">
        <f ca="1">_xlfn.IFNA(OFFSET(INDEX(Output[Item '#],MATCH($A232,Output[Item '#],0)),0,3)," ")</f>
        <v xml:space="preserve"> </v>
      </c>
      <c r="E232" s="659" t="str">
        <f ca="1">_xlfn.IFNA(OFFSET(INDEX(Output[Item '#],MATCH($A232,Output[Item '#],0)),0,4)," ")</f>
        <v xml:space="preserve"> </v>
      </c>
      <c r="F232" s="659" t="str">
        <f ca="1">_xlfn.IFNA(OFFSET(INDEX(Output[Item '#],MATCH($A232,Output[Item '#],0)),0,5)," ")</f>
        <v xml:space="preserve"> </v>
      </c>
      <c r="G232" s="556"/>
      <c r="H232" s="584" t="str">
        <f ca="1">_xlfn.XLOOKUP(A232,OUTPUT!$Y$10:$Y$165,OUTPUT!$Z$10:$Z$165,"MiscItems")</f>
        <v>MiscItems</v>
      </c>
      <c r="I232" s="553" t="str">
        <f t="shared" ca="1" si="4"/>
        <v xml:space="preserve"> </v>
      </c>
      <c r="J232" s="113" t="str" cm="1">
        <f t="array" aca="1" ref="J232" ca="1">IFERROR(_xlfn.XLOOKUP($A232&amp;BasicProjectData!$G$18,PRICES!$B$2:$B$3684&amp;PRICES!$A$2:$A$3684,PRICES!$H$2:$H$3684)," ")</f>
        <v xml:space="preserve"> </v>
      </c>
      <c r="K232" s="113" t="str" cm="1">
        <f t="array" aca="1" ref="K232" ca="1">IFERROR(_xlfn.XLOOKUP($A232&amp;"All Districts",PRICES!$B$2:$B$3684&amp;PRICES!$A$2:$A$3684,PRICES!$H$2:$H$3684)," ")</f>
        <v xml:space="preserve"> </v>
      </c>
      <c r="L232" s="556" t="str" cm="1">
        <f t="array" aca="1" ref="L232" ca="1">_xlfn.SWITCH(E232,J232,"District Price",K232,"State Price","Other/User Input/Override")</f>
        <v>District Price</v>
      </c>
    </row>
    <row r="233" spans="1:12">
      <c r="A233" s="110" t="str">
        <f t="array" aca="1" ref="A233" ca="1">IFERROR(INDEX(OUTPUT!$A$9:'OUTPUT'!$A$247,SMALL(IF(OUTPUT!$F$9:$F$247&lt;&gt;0,MATCH(OUTPUT!$A$9:'OUTPUT'!$A$247,OUTPUT!$A$9:'OUTPUT'!$A$247,0)),ROWS(ProjectEstimate!A$9:A233)),1),"")</f>
        <v/>
      </c>
      <c r="B233" s="111" t="str">
        <f ca="1">_xlfn.IFNA(OFFSET(INDEX(Output[Item '#],MATCH($A233,Output[Item '#],0)),0,1)," ")</f>
        <v xml:space="preserve"> </v>
      </c>
      <c r="C233" s="111" t="str">
        <f ca="1">_xlfn.IFNA(OFFSET(INDEX(Output[Item '#],MATCH($A233,Output[Item '#],0)),0,2)," ")</f>
        <v xml:space="preserve"> </v>
      </c>
      <c r="D233" s="111" t="str">
        <f ca="1">_xlfn.IFNA(OFFSET(INDEX(Output[Item '#],MATCH($A233,Output[Item '#],0)),0,3)," ")</f>
        <v xml:space="preserve"> </v>
      </c>
      <c r="E233" s="659" t="str">
        <f ca="1">_xlfn.IFNA(OFFSET(INDEX(Output[Item '#],MATCH($A233,Output[Item '#],0)),0,4)," ")</f>
        <v xml:space="preserve"> </v>
      </c>
      <c r="F233" s="659" t="str">
        <f ca="1">_xlfn.IFNA(OFFSET(INDEX(Output[Item '#],MATCH($A233,Output[Item '#],0)),0,5)," ")</f>
        <v xml:space="preserve"> </v>
      </c>
      <c r="G233" s="556"/>
      <c r="H233" s="584" t="str">
        <f ca="1">_xlfn.XLOOKUP(A233,OUTPUT!$Y$10:$Y$165,OUTPUT!$Z$10:$Z$165,"MiscItems")</f>
        <v>MiscItems</v>
      </c>
      <c r="I233" s="553" t="str">
        <f t="shared" ca="1" si="4"/>
        <v xml:space="preserve"> </v>
      </c>
      <c r="J233" s="113" t="str" cm="1">
        <f t="array" aca="1" ref="J233" ca="1">IFERROR(_xlfn.XLOOKUP($A233&amp;BasicProjectData!$G$18,PRICES!$B$2:$B$3684&amp;PRICES!$A$2:$A$3684,PRICES!$H$2:$H$3684)," ")</f>
        <v xml:space="preserve"> </v>
      </c>
      <c r="K233" s="113" t="str" cm="1">
        <f t="array" aca="1" ref="K233" ca="1">IFERROR(_xlfn.XLOOKUP($A233&amp;"All Districts",PRICES!$B$2:$B$3684&amp;PRICES!$A$2:$A$3684,PRICES!$H$2:$H$3684)," ")</f>
        <v xml:space="preserve"> </v>
      </c>
      <c r="L233" s="556" t="str" cm="1">
        <f t="array" aca="1" ref="L233" ca="1">_xlfn.SWITCH(E233,J233,"District Price",K233,"State Price","Other/User Input/Override")</f>
        <v>District Price</v>
      </c>
    </row>
    <row r="234" spans="1:12">
      <c r="A234" s="110" t="str">
        <f t="array" aca="1" ref="A234" ca="1">IFERROR(INDEX(OUTPUT!$A$9:'OUTPUT'!$A$247,SMALL(IF(OUTPUT!$F$9:$F$247&lt;&gt;0,MATCH(OUTPUT!$A$9:'OUTPUT'!$A$247,OUTPUT!$A$9:'OUTPUT'!$A$247,0)),ROWS(ProjectEstimate!A$9:A234)),1),"")</f>
        <v/>
      </c>
      <c r="B234" s="111" t="str">
        <f ca="1">_xlfn.IFNA(OFFSET(INDEX(Output[Item '#],MATCH($A234,Output[Item '#],0)),0,1)," ")</f>
        <v xml:space="preserve"> </v>
      </c>
      <c r="C234" s="111" t="str">
        <f ca="1">_xlfn.IFNA(OFFSET(INDEX(Output[Item '#],MATCH($A234,Output[Item '#],0)),0,2)," ")</f>
        <v xml:space="preserve"> </v>
      </c>
      <c r="D234" s="111" t="str">
        <f ca="1">_xlfn.IFNA(OFFSET(INDEX(Output[Item '#],MATCH($A234,Output[Item '#],0)),0,3)," ")</f>
        <v xml:space="preserve"> </v>
      </c>
      <c r="E234" s="659" t="str">
        <f ca="1">_xlfn.IFNA(OFFSET(INDEX(Output[Item '#],MATCH($A234,Output[Item '#],0)),0,4)," ")</f>
        <v xml:space="preserve"> </v>
      </c>
      <c r="F234" s="659" t="str">
        <f ca="1">_xlfn.IFNA(OFFSET(INDEX(Output[Item '#],MATCH($A234,Output[Item '#],0)),0,5)," ")</f>
        <v xml:space="preserve"> </v>
      </c>
      <c r="G234" s="556"/>
      <c r="H234" s="584" t="str">
        <f ca="1">_xlfn.XLOOKUP(A234,OUTPUT!$Y$10:$Y$165,OUTPUT!$Z$10:$Z$165,"MiscItems")</f>
        <v>MiscItems</v>
      </c>
      <c r="I234" s="553" t="str">
        <f t="shared" ca="1" si="4"/>
        <v xml:space="preserve"> </v>
      </c>
      <c r="J234" s="113" t="str" cm="1">
        <f t="array" aca="1" ref="J234" ca="1">IFERROR(_xlfn.XLOOKUP($A234&amp;BasicProjectData!$G$18,PRICES!$B$2:$B$3684&amp;PRICES!$A$2:$A$3684,PRICES!$H$2:$H$3684)," ")</f>
        <v xml:space="preserve"> </v>
      </c>
      <c r="K234" s="113" t="str" cm="1">
        <f t="array" aca="1" ref="K234" ca="1">IFERROR(_xlfn.XLOOKUP($A234&amp;"All Districts",PRICES!$B$2:$B$3684&amp;PRICES!$A$2:$A$3684,PRICES!$H$2:$H$3684)," ")</f>
        <v xml:space="preserve"> </v>
      </c>
      <c r="L234" s="556" t="str" cm="1">
        <f t="array" aca="1" ref="L234" ca="1">_xlfn.SWITCH(E234,J234,"District Price",K234,"State Price","Other/User Input/Override")</f>
        <v>District Price</v>
      </c>
    </row>
    <row r="235" spans="1:12">
      <c r="A235" s="110" t="str">
        <f t="array" aca="1" ref="A235" ca="1">IFERROR(INDEX(OUTPUT!$A$9:'OUTPUT'!$A$247,SMALL(IF(OUTPUT!$F$9:$F$247&lt;&gt;0,MATCH(OUTPUT!$A$9:'OUTPUT'!$A$247,OUTPUT!$A$9:'OUTPUT'!$A$247,0)),ROWS(ProjectEstimate!A$9:A235)),1),"")</f>
        <v/>
      </c>
      <c r="B235" s="111" t="str">
        <f ca="1">_xlfn.IFNA(OFFSET(INDEX(Output[Item '#],MATCH($A235,Output[Item '#],0)),0,1)," ")</f>
        <v xml:space="preserve"> </v>
      </c>
      <c r="C235" s="111" t="str">
        <f ca="1">_xlfn.IFNA(OFFSET(INDEX(Output[Item '#],MATCH($A235,Output[Item '#],0)),0,2)," ")</f>
        <v xml:space="preserve"> </v>
      </c>
      <c r="D235" s="111" t="str">
        <f ca="1">_xlfn.IFNA(OFFSET(INDEX(Output[Item '#],MATCH($A235,Output[Item '#],0)),0,3)," ")</f>
        <v xml:space="preserve"> </v>
      </c>
      <c r="E235" s="659" t="str">
        <f ca="1">_xlfn.IFNA(OFFSET(INDEX(Output[Item '#],MATCH($A235,Output[Item '#],0)),0,4)," ")</f>
        <v xml:space="preserve"> </v>
      </c>
      <c r="F235" s="659" t="str">
        <f ca="1">_xlfn.IFNA(OFFSET(INDEX(Output[Item '#],MATCH($A235,Output[Item '#],0)),0,5)," ")</f>
        <v xml:space="preserve"> </v>
      </c>
      <c r="G235" s="556"/>
      <c r="H235" s="584" t="str">
        <f ca="1">_xlfn.XLOOKUP(A235,OUTPUT!$Y$10:$Y$165,OUTPUT!$Z$10:$Z$165,"MiscItems")</f>
        <v>MiscItems</v>
      </c>
      <c r="I235" s="553" t="str">
        <f t="shared" ca="1" si="4"/>
        <v xml:space="preserve"> </v>
      </c>
      <c r="J235" s="113" t="str" cm="1">
        <f t="array" aca="1" ref="J235" ca="1">IFERROR(_xlfn.XLOOKUP($A235&amp;BasicProjectData!$G$18,PRICES!$B$2:$B$3684&amp;PRICES!$A$2:$A$3684,PRICES!$H$2:$H$3684)," ")</f>
        <v xml:space="preserve"> </v>
      </c>
      <c r="K235" s="113" t="str" cm="1">
        <f t="array" aca="1" ref="K235" ca="1">IFERROR(_xlfn.XLOOKUP($A235&amp;"All Districts",PRICES!$B$2:$B$3684&amp;PRICES!$A$2:$A$3684,PRICES!$H$2:$H$3684)," ")</f>
        <v xml:space="preserve"> </v>
      </c>
      <c r="L235" s="556" t="str" cm="1">
        <f t="array" aca="1" ref="L235" ca="1">_xlfn.SWITCH(E235,J235,"District Price",K235,"State Price","Other/User Input/Override")</f>
        <v>District Price</v>
      </c>
    </row>
    <row r="236" spans="1:12">
      <c r="A236" s="110" t="str">
        <f t="array" aca="1" ref="A236" ca="1">IFERROR(INDEX(OUTPUT!$A$9:'OUTPUT'!$A$247,SMALL(IF(OUTPUT!$F$9:$F$247&lt;&gt;0,MATCH(OUTPUT!$A$9:'OUTPUT'!$A$247,OUTPUT!$A$9:'OUTPUT'!$A$247,0)),ROWS(ProjectEstimate!A$9:A236)),1),"")</f>
        <v/>
      </c>
      <c r="B236" s="111" t="str">
        <f ca="1">_xlfn.IFNA(OFFSET(INDEX(Output[Item '#],MATCH($A236,Output[Item '#],0)),0,1)," ")</f>
        <v xml:space="preserve"> </v>
      </c>
      <c r="C236" s="111" t="str">
        <f ca="1">_xlfn.IFNA(OFFSET(INDEX(Output[Item '#],MATCH($A236,Output[Item '#],0)),0,2)," ")</f>
        <v xml:space="preserve"> </v>
      </c>
      <c r="D236" s="111" t="str">
        <f ca="1">_xlfn.IFNA(OFFSET(INDEX(Output[Item '#],MATCH($A236,Output[Item '#],0)),0,3)," ")</f>
        <v xml:space="preserve"> </v>
      </c>
      <c r="E236" s="659" t="str">
        <f ca="1">_xlfn.IFNA(OFFSET(INDEX(Output[Item '#],MATCH($A236,Output[Item '#],0)),0,4)," ")</f>
        <v xml:space="preserve"> </v>
      </c>
      <c r="F236" s="659" t="str">
        <f ca="1">_xlfn.IFNA(OFFSET(INDEX(Output[Item '#],MATCH($A236,Output[Item '#],0)),0,5)," ")</f>
        <v xml:space="preserve"> </v>
      </c>
      <c r="G236" s="556"/>
      <c r="H236" s="584" t="str">
        <f ca="1">_xlfn.XLOOKUP(A236,OUTPUT!$Y$10:$Y$165,OUTPUT!$Z$10:$Z$165,"MiscItems")</f>
        <v>MiscItems</v>
      </c>
      <c r="I236" s="553" t="str">
        <f t="shared" ca="1" si="4"/>
        <v xml:space="preserve"> </v>
      </c>
      <c r="J236" s="113" t="str" cm="1">
        <f t="array" aca="1" ref="J236" ca="1">IFERROR(_xlfn.XLOOKUP($A236&amp;BasicProjectData!$G$18,PRICES!$B$2:$B$3684&amp;PRICES!$A$2:$A$3684,PRICES!$H$2:$H$3684)," ")</f>
        <v xml:space="preserve"> </v>
      </c>
      <c r="K236" s="113" t="str" cm="1">
        <f t="array" aca="1" ref="K236" ca="1">IFERROR(_xlfn.XLOOKUP($A236&amp;"All Districts",PRICES!$B$2:$B$3684&amp;PRICES!$A$2:$A$3684,PRICES!$H$2:$H$3684)," ")</f>
        <v xml:space="preserve"> </v>
      </c>
      <c r="L236" s="556" t="str" cm="1">
        <f t="array" aca="1" ref="L236" ca="1">_xlfn.SWITCH(E236,J236,"District Price",K236,"State Price","Other/User Input/Override")</f>
        <v>District Price</v>
      </c>
    </row>
    <row r="237" spans="1:12">
      <c r="A237" s="110" t="str">
        <f t="array" aca="1" ref="A237" ca="1">IFERROR(INDEX(OUTPUT!$A$9:'OUTPUT'!$A$247,SMALL(IF(OUTPUT!$F$9:$F$247&lt;&gt;0,MATCH(OUTPUT!$A$9:'OUTPUT'!$A$247,OUTPUT!$A$9:'OUTPUT'!$A$247,0)),ROWS(ProjectEstimate!A$9:A237)),1),"")</f>
        <v/>
      </c>
      <c r="B237" s="111" t="str">
        <f ca="1">_xlfn.IFNA(OFFSET(INDEX(Output[Item '#],MATCH($A237,Output[Item '#],0)),0,1)," ")</f>
        <v xml:space="preserve"> </v>
      </c>
      <c r="C237" s="111" t="str">
        <f ca="1">_xlfn.IFNA(OFFSET(INDEX(Output[Item '#],MATCH($A237,Output[Item '#],0)),0,2)," ")</f>
        <v xml:space="preserve"> </v>
      </c>
      <c r="D237" s="111" t="str">
        <f ca="1">_xlfn.IFNA(OFFSET(INDEX(Output[Item '#],MATCH($A237,Output[Item '#],0)),0,3)," ")</f>
        <v xml:space="preserve"> </v>
      </c>
      <c r="E237" s="659" t="str">
        <f ca="1">_xlfn.IFNA(OFFSET(INDEX(Output[Item '#],MATCH($A237,Output[Item '#],0)),0,4)," ")</f>
        <v xml:space="preserve"> </v>
      </c>
      <c r="F237" s="659" t="str">
        <f ca="1">_xlfn.IFNA(OFFSET(INDEX(Output[Item '#],MATCH($A237,Output[Item '#],0)),0,5)," ")</f>
        <v xml:space="preserve"> </v>
      </c>
      <c r="G237" s="556"/>
      <c r="H237" s="584" t="str">
        <f ca="1">_xlfn.XLOOKUP(A237,OUTPUT!$Y$10:$Y$165,OUTPUT!$Z$10:$Z$165,"MiscItems")</f>
        <v>MiscItems</v>
      </c>
      <c r="I237" s="553" t="str">
        <f t="shared" ca="1" si="4"/>
        <v xml:space="preserve"> </v>
      </c>
      <c r="J237" s="113" t="str" cm="1">
        <f t="array" aca="1" ref="J237" ca="1">IFERROR(_xlfn.XLOOKUP($A237&amp;BasicProjectData!$G$18,PRICES!$B$2:$B$3684&amp;PRICES!$A$2:$A$3684,PRICES!$H$2:$H$3684)," ")</f>
        <v xml:space="preserve"> </v>
      </c>
      <c r="K237" s="113" t="str" cm="1">
        <f t="array" aca="1" ref="K237" ca="1">IFERROR(_xlfn.XLOOKUP($A237&amp;"All Districts",PRICES!$B$2:$B$3684&amp;PRICES!$A$2:$A$3684,PRICES!$H$2:$H$3684)," ")</f>
        <v xml:space="preserve"> </v>
      </c>
      <c r="L237" s="556" t="str" cm="1">
        <f t="array" aca="1" ref="L237" ca="1">_xlfn.SWITCH(E237,J237,"District Price",K237,"State Price","Other/User Input/Override")</f>
        <v>District Price</v>
      </c>
    </row>
    <row r="238" spans="1:12">
      <c r="A238" s="110" t="str">
        <f t="array" aca="1" ref="A238" ca="1">IFERROR(INDEX(OUTPUT!$A$9:'OUTPUT'!$A$247,SMALL(IF(OUTPUT!$F$9:$F$247&lt;&gt;0,MATCH(OUTPUT!$A$9:'OUTPUT'!$A$247,OUTPUT!$A$9:'OUTPUT'!$A$247,0)),ROWS(ProjectEstimate!A$9:A238)),1),"")</f>
        <v/>
      </c>
      <c r="B238" s="111" t="str">
        <f ca="1">_xlfn.IFNA(OFFSET(INDEX(Output[Item '#],MATCH($A238,Output[Item '#],0)),0,1)," ")</f>
        <v xml:space="preserve"> </v>
      </c>
      <c r="C238" s="111" t="str">
        <f ca="1">_xlfn.IFNA(OFFSET(INDEX(Output[Item '#],MATCH($A238,Output[Item '#],0)),0,2)," ")</f>
        <v xml:space="preserve"> </v>
      </c>
      <c r="D238" s="111" t="str">
        <f ca="1">_xlfn.IFNA(OFFSET(INDEX(Output[Item '#],MATCH($A238,Output[Item '#],0)),0,3)," ")</f>
        <v xml:space="preserve"> </v>
      </c>
      <c r="E238" s="659" t="str">
        <f ca="1">_xlfn.IFNA(OFFSET(INDEX(Output[Item '#],MATCH($A238,Output[Item '#],0)),0,4)," ")</f>
        <v xml:space="preserve"> </v>
      </c>
      <c r="F238" s="659" t="str">
        <f ca="1">_xlfn.IFNA(OFFSET(INDEX(Output[Item '#],MATCH($A238,Output[Item '#],0)),0,5)," ")</f>
        <v xml:space="preserve"> </v>
      </c>
      <c r="G238" s="556"/>
      <c r="H238" s="584" t="str">
        <f ca="1">_xlfn.XLOOKUP(A238,OUTPUT!$Y$10:$Y$165,OUTPUT!$Z$10:$Z$165,"MiscItems")</f>
        <v>MiscItems</v>
      </c>
      <c r="I238" s="553" t="str">
        <f t="shared" ca="1" si="4"/>
        <v xml:space="preserve"> </v>
      </c>
      <c r="J238" s="113" t="str" cm="1">
        <f t="array" aca="1" ref="J238" ca="1">IFERROR(_xlfn.XLOOKUP($A238&amp;BasicProjectData!$G$18,PRICES!$B$2:$B$3684&amp;PRICES!$A$2:$A$3684,PRICES!$H$2:$H$3684)," ")</f>
        <v xml:space="preserve"> </v>
      </c>
      <c r="K238" s="113" t="str" cm="1">
        <f t="array" aca="1" ref="K238" ca="1">IFERROR(_xlfn.XLOOKUP($A238&amp;"All Districts",PRICES!$B$2:$B$3684&amp;PRICES!$A$2:$A$3684,PRICES!$H$2:$H$3684)," ")</f>
        <v xml:space="preserve"> </v>
      </c>
      <c r="L238" s="556" t="str" cm="1">
        <f t="array" aca="1" ref="L238" ca="1">_xlfn.SWITCH(E238,J238,"District Price",K238,"State Price","Other/User Input/Override")</f>
        <v>District Price</v>
      </c>
    </row>
    <row r="239" spans="1:12">
      <c r="A239" s="110" t="str">
        <f t="array" aca="1" ref="A239" ca="1">IFERROR(INDEX(OUTPUT!$A$9:'OUTPUT'!$A$247,SMALL(IF(OUTPUT!$F$9:$F$247&lt;&gt;0,MATCH(OUTPUT!$A$9:'OUTPUT'!$A$247,OUTPUT!$A$9:'OUTPUT'!$A$247,0)),ROWS(ProjectEstimate!A$9:A239)),1),"")</f>
        <v/>
      </c>
      <c r="B239" s="111" t="str">
        <f ca="1">_xlfn.IFNA(OFFSET(INDEX(Output[Item '#],MATCH($A239,Output[Item '#],0)),0,1)," ")</f>
        <v xml:space="preserve"> </v>
      </c>
      <c r="C239" s="111" t="str">
        <f ca="1">_xlfn.IFNA(OFFSET(INDEX(Output[Item '#],MATCH($A239,Output[Item '#],0)),0,2)," ")</f>
        <v xml:space="preserve"> </v>
      </c>
      <c r="D239" s="111" t="str">
        <f ca="1">_xlfn.IFNA(OFFSET(INDEX(Output[Item '#],MATCH($A239,Output[Item '#],0)),0,3)," ")</f>
        <v xml:space="preserve"> </v>
      </c>
      <c r="E239" s="659" t="str">
        <f ca="1">_xlfn.IFNA(OFFSET(INDEX(Output[Item '#],MATCH($A239,Output[Item '#],0)),0,4)," ")</f>
        <v xml:space="preserve"> </v>
      </c>
      <c r="F239" s="659" t="str">
        <f ca="1">_xlfn.IFNA(OFFSET(INDEX(Output[Item '#],MATCH($A239,Output[Item '#],0)),0,5)," ")</f>
        <v xml:space="preserve"> </v>
      </c>
      <c r="G239" s="556"/>
      <c r="H239" s="584" t="str">
        <f ca="1">_xlfn.XLOOKUP(A239,OUTPUT!$Y$10:$Y$165,OUTPUT!$Z$10:$Z$165,"MiscItems")</f>
        <v>MiscItems</v>
      </c>
      <c r="I239" s="553" t="str">
        <f t="shared" ca="1" si="4"/>
        <v xml:space="preserve"> </v>
      </c>
      <c r="J239" s="113" t="str" cm="1">
        <f t="array" aca="1" ref="J239" ca="1">IFERROR(_xlfn.XLOOKUP($A239&amp;BasicProjectData!$G$18,PRICES!$B$2:$B$3684&amp;PRICES!$A$2:$A$3684,PRICES!$H$2:$H$3684)," ")</f>
        <v xml:space="preserve"> </v>
      </c>
      <c r="K239" s="113" t="str" cm="1">
        <f t="array" aca="1" ref="K239" ca="1">IFERROR(_xlfn.XLOOKUP($A239&amp;"All Districts",PRICES!$B$2:$B$3684&amp;PRICES!$A$2:$A$3684,PRICES!$H$2:$H$3684)," ")</f>
        <v xml:space="preserve"> </v>
      </c>
      <c r="L239" s="556" t="str" cm="1">
        <f t="array" aca="1" ref="L239" ca="1">_xlfn.SWITCH(E239,J239,"District Price",K239,"State Price","Other/User Input/Override")</f>
        <v>District Price</v>
      </c>
    </row>
    <row r="240" spans="1:12">
      <c r="A240" s="110" t="str">
        <f t="array" aca="1" ref="A240" ca="1">IFERROR(INDEX(OUTPUT!$A$9:'OUTPUT'!$A$247,SMALL(IF(OUTPUT!$F$9:$F$247&lt;&gt;0,MATCH(OUTPUT!$A$9:'OUTPUT'!$A$247,OUTPUT!$A$9:'OUTPUT'!$A$247,0)),ROWS(ProjectEstimate!A$9:A240)),1),"")</f>
        <v/>
      </c>
      <c r="B240" s="111" t="str">
        <f ca="1">_xlfn.IFNA(OFFSET(INDEX(Output[Item '#],MATCH($A240,Output[Item '#],0)),0,1)," ")</f>
        <v xml:space="preserve"> </v>
      </c>
      <c r="C240" s="111" t="str">
        <f ca="1">_xlfn.IFNA(OFFSET(INDEX(Output[Item '#],MATCH($A240,Output[Item '#],0)),0,2)," ")</f>
        <v xml:space="preserve"> </v>
      </c>
      <c r="D240" s="111" t="str">
        <f ca="1">_xlfn.IFNA(OFFSET(INDEX(Output[Item '#],MATCH($A240,Output[Item '#],0)),0,3)," ")</f>
        <v xml:space="preserve"> </v>
      </c>
      <c r="E240" s="659" t="str">
        <f ca="1">_xlfn.IFNA(OFFSET(INDEX(Output[Item '#],MATCH($A240,Output[Item '#],0)),0,4)," ")</f>
        <v xml:space="preserve"> </v>
      </c>
      <c r="F240" s="659" t="str">
        <f ca="1">_xlfn.IFNA(OFFSET(INDEX(Output[Item '#],MATCH($A240,Output[Item '#],0)),0,5)," ")</f>
        <v xml:space="preserve"> </v>
      </c>
      <c r="G240" s="556"/>
      <c r="H240" s="584" t="str">
        <f ca="1">_xlfn.XLOOKUP(A240,OUTPUT!$Y$10:$Y$165,OUTPUT!$Z$10:$Z$165,"MiscItems")</f>
        <v>MiscItems</v>
      </c>
      <c r="I240" s="553" t="str">
        <f t="shared" ca="1" si="4"/>
        <v xml:space="preserve"> </v>
      </c>
      <c r="J240" s="113" t="str" cm="1">
        <f t="array" aca="1" ref="J240" ca="1">IFERROR(_xlfn.XLOOKUP($A240&amp;BasicProjectData!$G$18,PRICES!$B$2:$B$3684&amp;PRICES!$A$2:$A$3684,PRICES!$H$2:$H$3684)," ")</f>
        <v xml:space="preserve"> </v>
      </c>
      <c r="K240" s="113" t="str" cm="1">
        <f t="array" aca="1" ref="K240" ca="1">IFERROR(_xlfn.XLOOKUP($A240&amp;"All Districts",PRICES!$B$2:$B$3684&amp;PRICES!$A$2:$A$3684,PRICES!$H$2:$H$3684)," ")</f>
        <v xml:space="preserve"> </v>
      </c>
      <c r="L240" s="556" t="str" cm="1">
        <f t="array" aca="1" ref="L240" ca="1">_xlfn.SWITCH(E240,J240,"District Price",K240,"State Price","Other/User Input/Override")</f>
        <v>District Price</v>
      </c>
    </row>
    <row r="241" spans="1:12">
      <c r="A241" s="110" t="str">
        <f t="array" aca="1" ref="A241" ca="1">IFERROR(INDEX(OUTPUT!$A$9:'OUTPUT'!$A$247,SMALL(IF(OUTPUT!$F$9:$F$247&lt;&gt;0,MATCH(OUTPUT!$A$9:'OUTPUT'!$A$247,OUTPUT!$A$9:'OUTPUT'!$A$247,0)),ROWS(ProjectEstimate!A$9:A241)),1),"")</f>
        <v/>
      </c>
      <c r="B241" s="111" t="str">
        <f ca="1">_xlfn.IFNA(OFFSET(INDEX(Output[Item '#],MATCH($A241,Output[Item '#],0)),0,1)," ")</f>
        <v xml:space="preserve"> </v>
      </c>
      <c r="C241" s="111" t="str">
        <f ca="1">_xlfn.IFNA(OFFSET(INDEX(Output[Item '#],MATCH($A241,Output[Item '#],0)),0,2)," ")</f>
        <v xml:space="preserve"> </v>
      </c>
      <c r="D241" s="111" t="str">
        <f ca="1">_xlfn.IFNA(OFFSET(INDEX(Output[Item '#],MATCH($A241,Output[Item '#],0)),0,3)," ")</f>
        <v xml:space="preserve"> </v>
      </c>
      <c r="E241" s="659" t="str">
        <f ca="1">_xlfn.IFNA(OFFSET(INDEX(Output[Item '#],MATCH($A241,Output[Item '#],0)),0,4)," ")</f>
        <v xml:space="preserve"> </v>
      </c>
      <c r="F241" s="659" t="str">
        <f ca="1">_xlfn.IFNA(OFFSET(INDEX(Output[Item '#],MATCH($A241,Output[Item '#],0)),0,5)," ")</f>
        <v xml:space="preserve"> </v>
      </c>
      <c r="G241" s="556"/>
      <c r="H241" s="584" t="str">
        <f ca="1">_xlfn.XLOOKUP(A241,OUTPUT!$Y$10:$Y$165,OUTPUT!$Z$10:$Z$165,"MiscItems")</f>
        <v>MiscItems</v>
      </c>
      <c r="I241" s="553" t="str">
        <f t="shared" ca="1" si="4"/>
        <v xml:space="preserve"> </v>
      </c>
      <c r="J241" s="113" t="str" cm="1">
        <f t="array" aca="1" ref="J241" ca="1">IFERROR(_xlfn.XLOOKUP($A241&amp;BasicProjectData!$G$18,PRICES!$B$2:$B$3684&amp;PRICES!$A$2:$A$3684,PRICES!$H$2:$H$3684)," ")</f>
        <v xml:space="preserve"> </v>
      </c>
      <c r="K241" s="113" t="str" cm="1">
        <f t="array" aca="1" ref="K241" ca="1">IFERROR(_xlfn.XLOOKUP($A241&amp;"All Districts",PRICES!$B$2:$B$3684&amp;PRICES!$A$2:$A$3684,PRICES!$H$2:$H$3684)," ")</f>
        <v xml:space="preserve"> </v>
      </c>
      <c r="L241" s="556" t="str" cm="1">
        <f t="array" aca="1" ref="L241" ca="1">_xlfn.SWITCH(E241,J241,"District Price",K241,"State Price","Other/User Input/Override")</f>
        <v>District Price</v>
      </c>
    </row>
    <row r="242" spans="1:12">
      <c r="A242" s="110" t="str">
        <f t="array" aca="1" ref="A242" ca="1">IFERROR(INDEX(OUTPUT!$A$9:'OUTPUT'!$A$247,SMALL(IF(OUTPUT!$F$9:$F$247&lt;&gt;0,MATCH(OUTPUT!$A$9:'OUTPUT'!$A$247,OUTPUT!$A$9:'OUTPUT'!$A$247,0)),ROWS(ProjectEstimate!A$9:A242)),1),"")</f>
        <v/>
      </c>
      <c r="B242" s="111" t="str">
        <f ca="1">_xlfn.IFNA(OFFSET(INDEX(Output[Item '#],MATCH($A242,Output[Item '#],0)),0,1)," ")</f>
        <v xml:space="preserve"> </v>
      </c>
      <c r="C242" s="111" t="str">
        <f ca="1">_xlfn.IFNA(OFFSET(INDEX(Output[Item '#],MATCH($A242,Output[Item '#],0)),0,2)," ")</f>
        <v xml:space="preserve"> </v>
      </c>
      <c r="D242" s="111" t="str">
        <f ca="1">_xlfn.IFNA(OFFSET(INDEX(Output[Item '#],MATCH($A242,Output[Item '#],0)),0,3)," ")</f>
        <v xml:space="preserve"> </v>
      </c>
      <c r="E242" s="659" t="str">
        <f ca="1">_xlfn.IFNA(OFFSET(INDEX(Output[Item '#],MATCH($A242,Output[Item '#],0)),0,4)," ")</f>
        <v xml:space="preserve"> </v>
      </c>
      <c r="F242" s="659" t="str">
        <f ca="1">_xlfn.IFNA(OFFSET(INDEX(Output[Item '#],MATCH($A242,Output[Item '#],0)),0,5)," ")</f>
        <v xml:space="preserve"> </v>
      </c>
      <c r="G242" s="556"/>
      <c r="H242" s="584" t="str">
        <f ca="1">_xlfn.XLOOKUP(A242,OUTPUT!$Y$10:$Y$165,OUTPUT!$Z$10:$Z$165,"MiscItems")</f>
        <v>MiscItems</v>
      </c>
      <c r="I242" s="553" t="str">
        <f t="shared" ca="1" si="4"/>
        <v xml:space="preserve"> </v>
      </c>
      <c r="J242" s="113" t="str" cm="1">
        <f t="array" aca="1" ref="J242" ca="1">IFERROR(_xlfn.XLOOKUP($A242&amp;BasicProjectData!$G$18,PRICES!$B$2:$B$3684&amp;PRICES!$A$2:$A$3684,PRICES!$H$2:$H$3684)," ")</f>
        <v xml:space="preserve"> </v>
      </c>
      <c r="K242" s="113" t="str" cm="1">
        <f t="array" aca="1" ref="K242" ca="1">IFERROR(_xlfn.XLOOKUP($A242&amp;"All Districts",PRICES!$B$2:$B$3684&amp;PRICES!$A$2:$A$3684,PRICES!$H$2:$H$3684)," ")</f>
        <v xml:space="preserve"> </v>
      </c>
      <c r="L242" s="556" t="str" cm="1">
        <f t="array" aca="1" ref="L242" ca="1">_xlfn.SWITCH(E242,J242,"District Price",K242,"State Price","Other/User Input/Override")</f>
        <v>District Price</v>
      </c>
    </row>
    <row r="243" spans="1:12">
      <c r="A243" s="110" t="str">
        <f t="array" aca="1" ref="A243" ca="1">IFERROR(INDEX(OUTPUT!$A$9:'OUTPUT'!$A$247,SMALL(IF(OUTPUT!$F$9:$F$247&lt;&gt;0,MATCH(OUTPUT!$A$9:'OUTPUT'!$A$247,OUTPUT!$A$9:'OUTPUT'!$A$247,0)),ROWS(ProjectEstimate!A$9:A243)),1),"")</f>
        <v/>
      </c>
      <c r="B243" s="111" t="str">
        <f ca="1">_xlfn.IFNA(OFFSET(INDEX(Output[Item '#],MATCH($A243,Output[Item '#],0)),0,1)," ")</f>
        <v xml:space="preserve"> </v>
      </c>
      <c r="C243" s="111" t="str">
        <f ca="1">_xlfn.IFNA(OFFSET(INDEX(Output[Item '#],MATCH($A243,Output[Item '#],0)),0,2)," ")</f>
        <v xml:space="preserve"> </v>
      </c>
      <c r="D243" s="111" t="str">
        <f ca="1">_xlfn.IFNA(OFFSET(INDEX(Output[Item '#],MATCH($A243,Output[Item '#],0)),0,3)," ")</f>
        <v xml:space="preserve"> </v>
      </c>
      <c r="E243" s="659" t="str">
        <f ca="1">_xlfn.IFNA(OFFSET(INDEX(Output[Item '#],MATCH($A243,Output[Item '#],0)),0,4)," ")</f>
        <v xml:space="preserve"> </v>
      </c>
      <c r="F243" s="659" t="str">
        <f ca="1">_xlfn.IFNA(OFFSET(INDEX(Output[Item '#],MATCH($A243,Output[Item '#],0)),0,5)," ")</f>
        <v xml:space="preserve"> </v>
      </c>
      <c r="G243" s="556"/>
      <c r="H243" s="584" t="str">
        <f ca="1">_xlfn.XLOOKUP(A243,OUTPUT!$Y$10:$Y$165,OUTPUT!$Z$10:$Z$165,"MiscItems")</f>
        <v>MiscItems</v>
      </c>
      <c r="I243" s="553" t="str">
        <f t="shared" ca="1" si="4"/>
        <v xml:space="preserve"> </v>
      </c>
      <c r="J243" s="113" t="str" cm="1">
        <f t="array" aca="1" ref="J243" ca="1">IFERROR(_xlfn.XLOOKUP($A243&amp;BasicProjectData!$G$18,PRICES!$B$2:$B$3684&amp;PRICES!$A$2:$A$3684,PRICES!$H$2:$H$3684)," ")</f>
        <v xml:space="preserve"> </v>
      </c>
      <c r="K243" s="113" t="str" cm="1">
        <f t="array" aca="1" ref="K243" ca="1">IFERROR(_xlfn.XLOOKUP($A243&amp;"All Districts",PRICES!$B$2:$B$3684&amp;PRICES!$A$2:$A$3684,PRICES!$H$2:$H$3684)," ")</f>
        <v xml:space="preserve"> </v>
      </c>
      <c r="L243" s="556" t="str" cm="1">
        <f t="array" aca="1" ref="L243" ca="1">_xlfn.SWITCH(E243,J243,"District Price",K243,"State Price","Other/User Input/Override")</f>
        <v>District Price</v>
      </c>
    </row>
    <row r="244" spans="1:12">
      <c r="A244" s="110" t="str">
        <f t="array" aca="1" ref="A244" ca="1">IFERROR(INDEX(OUTPUT!$A$9:'OUTPUT'!$A$247,SMALL(IF(OUTPUT!$F$9:$F$247&lt;&gt;0,MATCH(OUTPUT!$A$9:'OUTPUT'!$A$247,OUTPUT!$A$9:'OUTPUT'!$A$247,0)),ROWS(ProjectEstimate!A$9:A244)),1),"")</f>
        <v/>
      </c>
      <c r="B244" s="111" t="str">
        <f ca="1">_xlfn.IFNA(OFFSET(INDEX(Output[Item '#],MATCH($A244,Output[Item '#],0)),0,1)," ")</f>
        <v xml:space="preserve"> </v>
      </c>
      <c r="C244" s="111" t="str">
        <f ca="1">_xlfn.IFNA(OFFSET(INDEX(Output[Item '#],MATCH($A244,Output[Item '#],0)),0,2)," ")</f>
        <v xml:space="preserve"> </v>
      </c>
      <c r="D244" s="111" t="str">
        <f ca="1">_xlfn.IFNA(OFFSET(INDEX(Output[Item '#],MATCH($A244,Output[Item '#],0)),0,3)," ")</f>
        <v xml:space="preserve"> </v>
      </c>
      <c r="E244" s="659" t="str">
        <f ca="1">_xlfn.IFNA(OFFSET(INDEX(Output[Item '#],MATCH($A244,Output[Item '#],0)),0,4)," ")</f>
        <v xml:space="preserve"> </v>
      </c>
      <c r="F244" s="659" t="str">
        <f ca="1">_xlfn.IFNA(OFFSET(INDEX(Output[Item '#],MATCH($A244,Output[Item '#],0)),0,5)," ")</f>
        <v xml:space="preserve"> </v>
      </c>
      <c r="G244" s="556"/>
      <c r="H244" s="584" t="str">
        <f ca="1">_xlfn.XLOOKUP(A244,OUTPUT!$Y$10:$Y$165,OUTPUT!$Z$10:$Z$165,"MiscItems")</f>
        <v>MiscItems</v>
      </c>
      <c r="I244" s="553" t="str">
        <f t="shared" ca="1" si="4"/>
        <v xml:space="preserve"> </v>
      </c>
      <c r="J244" s="113" t="str" cm="1">
        <f t="array" aca="1" ref="J244" ca="1">IFERROR(_xlfn.XLOOKUP($A244&amp;BasicProjectData!$G$18,PRICES!$B$2:$B$3684&amp;PRICES!$A$2:$A$3684,PRICES!$H$2:$H$3684)," ")</f>
        <v xml:space="preserve"> </v>
      </c>
      <c r="K244" s="113" t="str" cm="1">
        <f t="array" aca="1" ref="K244" ca="1">IFERROR(_xlfn.XLOOKUP($A244&amp;"All Districts",PRICES!$B$2:$B$3684&amp;PRICES!$A$2:$A$3684,PRICES!$H$2:$H$3684)," ")</f>
        <v xml:space="preserve"> </v>
      </c>
      <c r="L244" s="556" t="str" cm="1">
        <f t="array" aca="1" ref="L244" ca="1">_xlfn.SWITCH(E244,J244,"District Price",K244,"State Price","Other/User Input/Override")</f>
        <v>District Price</v>
      </c>
    </row>
    <row r="245" spans="1:12">
      <c r="A245" s="110" t="str">
        <f t="array" aca="1" ref="A245" ca="1">IFERROR(INDEX(OUTPUT!$A$9:'OUTPUT'!$A$247,SMALL(IF(OUTPUT!$F$9:$F$247&lt;&gt;0,MATCH(OUTPUT!$A$9:'OUTPUT'!$A$247,OUTPUT!$A$9:'OUTPUT'!$A$247,0)),ROWS(ProjectEstimate!A$9:A245)),1),"")</f>
        <v/>
      </c>
      <c r="B245" s="111" t="str">
        <f ca="1">_xlfn.IFNA(OFFSET(INDEX(Output[Item '#],MATCH($A245,Output[Item '#],0)),0,1)," ")</f>
        <v xml:space="preserve"> </v>
      </c>
      <c r="C245" s="111" t="str">
        <f ca="1">_xlfn.IFNA(OFFSET(INDEX(Output[Item '#],MATCH($A245,Output[Item '#],0)),0,2)," ")</f>
        <v xml:space="preserve"> </v>
      </c>
      <c r="D245" s="111" t="str">
        <f ca="1">_xlfn.IFNA(OFFSET(INDEX(Output[Item '#],MATCH($A245,Output[Item '#],0)),0,3)," ")</f>
        <v xml:space="preserve"> </v>
      </c>
      <c r="E245" s="659" t="str">
        <f ca="1">_xlfn.IFNA(OFFSET(INDEX(Output[Item '#],MATCH($A245,Output[Item '#],0)),0,4)," ")</f>
        <v xml:space="preserve"> </v>
      </c>
      <c r="F245" s="659" t="str">
        <f ca="1">_xlfn.IFNA(OFFSET(INDEX(Output[Item '#],MATCH($A245,Output[Item '#],0)),0,5)," ")</f>
        <v xml:space="preserve"> </v>
      </c>
      <c r="G245" s="556"/>
      <c r="H245" s="584" t="str">
        <f ca="1">_xlfn.XLOOKUP(A245,OUTPUT!$Y$10:$Y$165,OUTPUT!$Z$10:$Z$165,"MiscItems")</f>
        <v>MiscItems</v>
      </c>
      <c r="I245" s="553" t="str">
        <f t="shared" ca="1" si="4"/>
        <v xml:space="preserve"> </v>
      </c>
      <c r="J245" s="113" t="str" cm="1">
        <f t="array" aca="1" ref="J245" ca="1">IFERROR(_xlfn.XLOOKUP($A245&amp;BasicProjectData!$G$18,PRICES!$B$2:$B$3684&amp;PRICES!$A$2:$A$3684,PRICES!$H$2:$H$3684)," ")</f>
        <v xml:space="preserve"> </v>
      </c>
      <c r="K245" s="113" t="str" cm="1">
        <f t="array" aca="1" ref="K245" ca="1">IFERROR(_xlfn.XLOOKUP($A245&amp;"All Districts",PRICES!$B$2:$B$3684&amp;PRICES!$A$2:$A$3684,PRICES!$H$2:$H$3684)," ")</f>
        <v xml:space="preserve"> </v>
      </c>
      <c r="L245" s="556" t="str" cm="1">
        <f t="array" aca="1" ref="L245" ca="1">_xlfn.SWITCH(E245,J245,"District Price",K245,"State Price","Other/User Input/Override")</f>
        <v>District Price</v>
      </c>
    </row>
    <row r="246" spans="1:12">
      <c r="A246" s="110" t="str">
        <f t="array" aca="1" ref="A246" ca="1">IFERROR(INDEX(OUTPUT!$A$9:'OUTPUT'!$A$247,SMALL(IF(OUTPUT!$F$9:$F$247&lt;&gt;0,MATCH(OUTPUT!$A$9:'OUTPUT'!$A$247,OUTPUT!$A$9:'OUTPUT'!$A$247,0)),ROWS(ProjectEstimate!A$9:A246)),1),"")</f>
        <v/>
      </c>
      <c r="B246" s="111" t="str">
        <f ca="1">_xlfn.IFNA(OFFSET(INDEX(Output[Item '#],MATCH($A246,Output[Item '#],0)),0,1)," ")</f>
        <v xml:space="preserve"> </v>
      </c>
      <c r="C246" s="111" t="str">
        <f ca="1">_xlfn.IFNA(OFFSET(INDEX(Output[Item '#],MATCH($A246,Output[Item '#],0)),0,2)," ")</f>
        <v xml:space="preserve"> </v>
      </c>
      <c r="D246" s="111" t="str">
        <f ca="1">_xlfn.IFNA(OFFSET(INDEX(Output[Item '#],MATCH($A246,Output[Item '#],0)),0,3)," ")</f>
        <v xml:space="preserve"> </v>
      </c>
      <c r="E246" s="659" t="str">
        <f ca="1">_xlfn.IFNA(OFFSET(INDEX(Output[Item '#],MATCH($A246,Output[Item '#],0)),0,4)," ")</f>
        <v xml:space="preserve"> </v>
      </c>
      <c r="F246" s="659" t="str">
        <f ca="1">_xlfn.IFNA(OFFSET(INDEX(Output[Item '#],MATCH($A246,Output[Item '#],0)),0,5)," ")</f>
        <v xml:space="preserve"> </v>
      </c>
      <c r="G246" s="556"/>
      <c r="H246" s="584" t="str">
        <f ca="1">_xlfn.XLOOKUP(A246,OUTPUT!$Y$10:$Y$165,OUTPUT!$Z$10:$Z$165,"MiscItems")</f>
        <v>MiscItems</v>
      </c>
      <c r="I246" s="553" t="str">
        <f t="shared" ca="1" si="4"/>
        <v xml:space="preserve"> </v>
      </c>
      <c r="J246" s="113" t="str" cm="1">
        <f t="array" aca="1" ref="J246" ca="1">IFERROR(_xlfn.XLOOKUP($A246&amp;BasicProjectData!$G$18,PRICES!$B$2:$B$3684&amp;PRICES!$A$2:$A$3684,PRICES!$H$2:$H$3684)," ")</f>
        <v xml:space="preserve"> </v>
      </c>
      <c r="K246" s="113" t="str" cm="1">
        <f t="array" aca="1" ref="K246" ca="1">IFERROR(_xlfn.XLOOKUP($A246&amp;"All Districts",PRICES!$B$2:$B$3684&amp;PRICES!$A$2:$A$3684,PRICES!$H$2:$H$3684)," ")</f>
        <v xml:space="preserve"> </v>
      </c>
      <c r="L246" s="556" t="str" cm="1">
        <f t="array" aca="1" ref="L246" ca="1">_xlfn.SWITCH(E246,J246,"District Price",K246,"State Price","Other/User Input/Override")</f>
        <v>District Price</v>
      </c>
    </row>
    <row r="247" spans="1:12">
      <c r="A247" s="110" t="str">
        <f t="array" aca="1" ref="A247" ca="1">IFERROR(INDEX(OUTPUT!$A$9:'OUTPUT'!$A$247,SMALL(IF(OUTPUT!$F$9:$F$247&lt;&gt;0,MATCH(OUTPUT!$A$9:'OUTPUT'!$A$247,OUTPUT!$A$9:'OUTPUT'!$A$247,0)),ROWS(ProjectEstimate!A$9:A247)),1),"")</f>
        <v/>
      </c>
      <c r="B247" s="111" t="str">
        <f ca="1">_xlfn.IFNA(OFFSET(INDEX(Output[Item '#],MATCH($A247,Output[Item '#],0)),0,1)," ")</f>
        <v xml:space="preserve"> </v>
      </c>
      <c r="C247" s="111" t="str">
        <f ca="1">_xlfn.IFNA(OFFSET(INDEX(Output[Item '#],MATCH($A247,Output[Item '#],0)),0,2)," ")</f>
        <v xml:space="preserve"> </v>
      </c>
      <c r="D247" s="111" t="str">
        <f ca="1">_xlfn.IFNA(OFFSET(INDEX(Output[Item '#],MATCH($A247,Output[Item '#],0)),0,3)," ")</f>
        <v xml:space="preserve"> </v>
      </c>
      <c r="E247" s="659" t="str">
        <f ca="1">_xlfn.IFNA(OFFSET(INDEX(Output[Item '#],MATCH($A247,Output[Item '#],0)),0,4)," ")</f>
        <v xml:space="preserve"> </v>
      </c>
      <c r="F247" s="659" t="str">
        <f ca="1">_xlfn.IFNA(OFFSET(INDEX(Output[Item '#],MATCH($A247,Output[Item '#],0)),0,5)," ")</f>
        <v xml:space="preserve"> </v>
      </c>
      <c r="G247" s="556"/>
      <c r="H247" s="584" t="str">
        <f ca="1">_xlfn.XLOOKUP(A247,OUTPUT!$Y$10:$Y$165,OUTPUT!$Z$10:$Z$165,"MiscItems")</f>
        <v>MiscItems</v>
      </c>
      <c r="I247" s="553" t="str">
        <f t="shared" ca="1" si="4"/>
        <v xml:space="preserve"> </v>
      </c>
      <c r="J247" s="113" t="str" cm="1">
        <f t="array" aca="1" ref="J247" ca="1">IFERROR(_xlfn.XLOOKUP($A247&amp;BasicProjectData!$G$18,PRICES!$B$2:$B$3684&amp;PRICES!$A$2:$A$3684,PRICES!$H$2:$H$3684)," ")</f>
        <v xml:space="preserve"> </v>
      </c>
      <c r="K247" s="113" t="str" cm="1">
        <f t="array" aca="1" ref="K247" ca="1">IFERROR(_xlfn.XLOOKUP($A247&amp;"All Districts",PRICES!$B$2:$B$3684&amp;PRICES!$A$2:$A$3684,PRICES!$H$2:$H$3684)," ")</f>
        <v xml:space="preserve"> </v>
      </c>
      <c r="L247" s="556" t="str" cm="1">
        <f t="array" aca="1" ref="L247" ca="1">_xlfn.SWITCH(E247,J247,"District Price",K247,"State Price","Other/User Input/Override")</f>
        <v>District Price</v>
      </c>
    </row>
    <row r="248" spans="1:12">
      <c r="A248" s="110" t="str">
        <f t="array" aca="1" ref="A248" ca="1">IFERROR(INDEX(OUTPUT!$A$9:'OUTPUT'!$A$247,SMALL(IF(OUTPUT!$F$9:$F$247&lt;&gt;0,MATCH(OUTPUT!$A$9:'OUTPUT'!$A$247,OUTPUT!$A$9:'OUTPUT'!$A$247,0)),ROWS(ProjectEstimate!A$9:A248)),1),"")</f>
        <v/>
      </c>
      <c r="B248" s="111" t="str">
        <f ca="1">_xlfn.IFNA(OFFSET(INDEX(Output[Item '#],MATCH($A248,Output[Item '#],0)),0,1)," ")</f>
        <v xml:space="preserve"> </v>
      </c>
      <c r="C248" s="111" t="str">
        <f ca="1">_xlfn.IFNA(OFFSET(INDEX(Output[Item '#],MATCH($A248,Output[Item '#],0)),0,2)," ")</f>
        <v xml:space="preserve"> </v>
      </c>
      <c r="D248" s="111" t="str">
        <f ca="1">_xlfn.IFNA(OFFSET(INDEX(Output[Item '#],MATCH($A248,Output[Item '#],0)),0,3)," ")</f>
        <v xml:space="preserve"> </v>
      </c>
      <c r="E248" s="659" t="str">
        <f ca="1">_xlfn.IFNA(OFFSET(INDEX(Output[Item '#],MATCH($A248,Output[Item '#],0)),0,4)," ")</f>
        <v xml:space="preserve"> </v>
      </c>
      <c r="F248" s="659" t="str">
        <f ca="1">_xlfn.IFNA(OFFSET(INDEX(Output[Item '#],MATCH($A248,Output[Item '#],0)),0,5)," ")</f>
        <v xml:space="preserve"> </v>
      </c>
      <c r="G248" s="556"/>
      <c r="H248" s="584" t="str">
        <f ca="1">_xlfn.XLOOKUP(A248,OUTPUT!$Y$10:$Y$165,OUTPUT!$Z$10:$Z$165,"MiscItems")</f>
        <v>MiscItems</v>
      </c>
      <c r="I248" s="553" t="str">
        <f t="shared" ca="1" si="4"/>
        <v xml:space="preserve"> </v>
      </c>
      <c r="J248" s="113" t="str" cm="1">
        <f t="array" aca="1" ref="J248" ca="1">IFERROR(_xlfn.XLOOKUP($A248&amp;BasicProjectData!$G$18,PRICES!$B$2:$B$3684&amp;PRICES!$A$2:$A$3684,PRICES!$H$2:$H$3684)," ")</f>
        <v xml:space="preserve"> </v>
      </c>
      <c r="K248" s="113" t="str" cm="1">
        <f t="array" aca="1" ref="K248" ca="1">IFERROR(_xlfn.XLOOKUP($A248&amp;"All Districts",PRICES!$B$2:$B$3684&amp;PRICES!$A$2:$A$3684,PRICES!$H$2:$H$3684)," ")</f>
        <v xml:space="preserve"> </v>
      </c>
      <c r="L248" s="556" t="str" cm="1">
        <f t="array" aca="1" ref="L248" ca="1">_xlfn.SWITCH(E248,J248,"District Price",K248,"State Price","Other/User Input/Override")</f>
        <v>District Price</v>
      </c>
    </row>
    <row r="249" spans="1:12" s="491" customFormat="1">
      <c r="A249" s="498"/>
      <c r="B249" s="499"/>
      <c r="C249" s="499"/>
      <c r="D249" s="500"/>
      <c r="E249" s="501"/>
      <c r="J249" s="501"/>
      <c r="K249" s="501"/>
    </row>
    <row r="250" spans="1:12" s="491" customFormat="1">
      <c r="A250" s="498"/>
      <c r="B250" s="499"/>
      <c r="C250" s="499"/>
      <c r="D250" s="500"/>
      <c r="E250" s="501"/>
      <c r="J250" s="501"/>
      <c r="K250" s="501"/>
    </row>
    <row r="251" spans="1:12" s="491" customFormat="1">
      <c r="A251" s="498"/>
      <c r="B251" s="499"/>
      <c r="C251" s="499"/>
      <c r="D251" s="500"/>
      <c r="E251" s="501"/>
      <c r="J251" s="501"/>
      <c r="K251" s="501"/>
    </row>
    <row r="252" spans="1:12" s="491" customFormat="1">
      <c r="A252" s="498"/>
      <c r="B252" s="499"/>
      <c r="C252" s="499"/>
      <c r="D252" s="500"/>
      <c r="E252" s="501"/>
      <c r="J252" s="501"/>
      <c r="K252" s="501"/>
    </row>
    <row r="253" spans="1:12" s="491" customFormat="1">
      <c r="A253" s="498"/>
      <c r="B253" s="499"/>
      <c r="C253" s="499"/>
      <c r="D253" s="500"/>
      <c r="E253" s="501"/>
      <c r="J253" s="501"/>
      <c r="K253" s="501"/>
    </row>
    <row r="254" spans="1:12" s="491" customFormat="1">
      <c r="A254" s="498"/>
      <c r="B254" s="499"/>
      <c r="C254" s="499"/>
      <c r="D254" s="500"/>
      <c r="E254" s="501"/>
      <c r="J254" s="501"/>
      <c r="K254" s="501"/>
    </row>
    <row r="255" spans="1:12" s="491" customFormat="1">
      <c r="A255" s="498"/>
      <c r="B255" s="499"/>
      <c r="C255" s="499"/>
      <c r="D255" s="500"/>
      <c r="E255" s="501"/>
      <c r="J255" s="501"/>
      <c r="K255" s="501"/>
    </row>
    <row r="256" spans="1:12" s="491" customFormat="1">
      <c r="A256" s="498"/>
      <c r="B256" s="499"/>
      <c r="C256" s="499"/>
      <c r="D256" s="500"/>
      <c r="E256" s="501"/>
      <c r="J256" s="501"/>
      <c r="K256" s="501"/>
    </row>
    <row r="257" spans="1:11" s="491" customFormat="1">
      <c r="A257" s="498"/>
      <c r="B257" s="499"/>
      <c r="C257" s="499"/>
      <c r="D257" s="500"/>
      <c r="E257" s="501"/>
      <c r="J257" s="501"/>
      <c r="K257" s="501"/>
    </row>
    <row r="258" spans="1:11" s="491" customFormat="1">
      <c r="A258" s="498"/>
      <c r="B258" s="499"/>
      <c r="C258" s="499"/>
      <c r="D258" s="500"/>
      <c r="E258" s="501"/>
      <c r="J258" s="501"/>
      <c r="K258" s="501"/>
    </row>
    <row r="259" spans="1:11" s="491" customFormat="1">
      <c r="A259" s="498"/>
      <c r="B259" s="499"/>
      <c r="C259" s="499"/>
      <c r="D259" s="500"/>
      <c r="E259" s="501"/>
      <c r="J259" s="501"/>
      <c r="K259" s="501"/>
    </row>
    <row r="260" spans="1:11" s="491" customFormat="1">
      <c r="A260" s="498"/>
      <c r="B260" s="499"/>
      <c r="C260" s="499"/>
      <c r="D260" s="500"/>
      <c r="E260" s="501"/>
      <c r="J260" s="501"/>
      <c r="K260" s="501"/>
    </row>
    <row r="261" spans="1:11" s="491" customFormat="1">
      <c r="A261" s="498"/>
      <c r="B261" s="499"/>
      <c r="C261" s="499"/>
      <c r="D261" s="500"/>
      <c r="E261" s="501"/>
      <c r="J261" s="501"/>
      <c r="K261" s="501"/>
    </row>
    <row r="262" spans="1:11" s="491" customFormat="1">
      <c r="A262" s="498"/>
      <c r="B262" s="499"/>
      <c r="C262" s="499"/>
      <c r="D262" s="500"/>
      <c r="E262" s="501"/>
      <c r="J262" s="501"/>
      <c r="K262" s="501"/>
    </row>
    <row r="263" spans="1:11" s="491" customFormat="1">
      <c r="A263" s="498"/>
      <c r="B263" s="499"/>
      <c r="C263" s="499"/>
      <c r="D263" s="500"/>
      <c r="E263" s="501"/>
      <c r="J263" s="501"/>
      <c r="K263" s="501"/>
    </row>
    <row r="264" spans="1:11" s="491" customFormat="1">
      <c r="A264" s="498"/>
      <c r="B264" s="499"/>
      <c r="C264" s="499"/>
      <c r="D264" s="500"/>
      <c r="E264" s="501"/>
      <c r="J264" s="501"/>
      <c r="K264" s="501"/>
    </row>
    <row r="265" spans="1:11" s="491" customFormat="1">
      <c r="A265" s="498"/>
      <c r="B265" s="499"/>
      <c r="C265" s="499"/>
      <c r="D265" s="500"/>
      <c r="E265" s="501"/>
      <c r="J265" s="501"/>
      <c r="K265" s="501"/>
    </row>
    <row r="266" spans="1:11" s="491" customFormat="1">
      <c r="A266" s="498"/>
      <c r="B266" s="499"/>
      <c r="C266" s="499"/>
      <c r="D266" s="500"/>
      <c r="E266" s="501"/>
      <c r="J266" s="501"/>
      <c r="K266" s="501"/>
    </row>
    <row r="267" spans="1:11" s="491" customFormat="1">
      <c r="A267" s="498"/>
      <c r="B267" s="499"/>
      <c r="C267" s="499"/>
      <c r="D267" s="500"/>
      <c r="E267" s="501"/>
      <c r="J267" s="501"/>
      <c r="K267" s="501"/>
    </row>
    <row r="268" spans="1:11" s="491" customFormat="1">
      <c r="A268" s="498"/>
      <c r="B268" s="499"/>
      <c r="C268" s="499"/>
      <c r="D268" s="500"/>
      <c r="E268" s="501"/>
      <c r="J268" s="501"/>
      <c r="K268" s="501"/>
    </row>
    <row r="269" spans="1:11" s="491" customFormat="1">
      <c r="A269" s="498"/>
      <c r="B269" s="499"/>
      <c r="C269" s="499"/>
      <c r="D269" s="500"/>
      <c r="E269" s="501"/>
      <c r="J269" s="501"/>
      <c r="K269" s="501"/>
    </row>
    <row r="270" spans="1:11" s="491" customFormat="1">
      <c r="A270" s="498"/>
      <c r="B270" s="499"/>
      <c r="C270" s="499"/>
      <c r="D270" s="500"/>
      <c r="E270" s="501"/>
      <c r="J270" s="501"/>
      <c r="K270" s="501"/>
    </row>
    <row r="271" spans="1:11" s="491" customFormat="1">
      <c r="A271" s="498"/>
      <c r="B271" s="499"/>
      <c r="C271" s="499"/>
      <c r="D271" s="500"/>
      <c r="E271" s="501"/>
      <c r="J271" s="501"/>
      <c r="K271" s="501"/>
    </row>
    <row r="272" spans="1:11" s="491" customFormat="1">
      <c r="A272" s="498"/>
      <c r="B272" s="499"/>
      <c r="C272" s="499"/>
      <c r="D272" s="500"/>
      <c r="E272" s="501"/>
      <c r="J272" s="501"/>
      <c r="K272" s="501"/>
    </row>
    <row r="273" spans="1:11" s="491" customFormat="1">
      <c r="A273" s="498"/>
      <c r="B273" s="499"/>
      <c r="C273" s="499"/>
      <c r="D273" s="500"/>
      <c r="E273" s="501"/>
      <c r="J273" s="501"/>
      <c r="K273" s="501"/>
    </row>
    <row r="274" spans="1:11" s="491" customFormat="1">
      <c r="A274" s="498"/>
      <c r="B274" s="499"/>
      <c r="C274" s="499"/>
      <c r="D274" s="500"/>
      <c r="E274" s="501"/>
      <c r="J274" s="501"/>
      <c r="K274" s="501"/>
    </row>
    <row r="275" spans="1:11" s="491" customFormat="1">
      <c r="A275" s="498"/>
      <c r="B275" s="499"/>
      <c r="C275" s="499"/>
      <c r="D275" s="500"/>
      <c r="E275" s="501"/>
      <c r="J275" s="501"/>
      <c r="K275" s="501"/>
    </row>
    <row r="276" spans="1:11" s="491" customFormat="1">
      <c r="A276" s="498"/>
      <c r="B276" s="499"/>
      <c r="C276" s="499"/>
      <c r="D276" s="500"/>
      <c r="E276" s="501"/>
      <c r="J276" s="501"/>
      <c r="K276" s="501"/>
    </row>
    <row r="277" spans="1:11" s="491" customFormat="1">
      <c r="A277" s="498"/>
      <c r="B277" s="499"/>
      <c r="C277" s="499"/>
      <c r="D277" s="500"/>
      <c r="E277" s="501"/>
      <c r="J277" s="501"/>
      <c r="K277" s="501"/>
    </row>
    <row r="278" spans="1:11" s="491" customFormat="1">
      <c r="A278" s="498"/>
      <c r="B278" s="499"/>
      <c r="C278" s="499"/>
      <c r="D278" s="500"/>
      <c r="E278" s="501"/>
      <c r="J278" s="501"/>
      <c r="K278" s="501"/>
    </row>
    <row r="279" spans="1:11" s="491" customFormat="1">
      <c r="A279" s="498"/>
      <c r="B279" s="499"/>
      <c r="C279" s="499"/>
      <c r="D279" s="500"/>
      <c r="E279" s="501"/>
      <c r="J279" s="501"/>
      <c r="K279" s="501"/>
    </row>
    <row r="280" spans="1:11" s="491" customFormat="1">
      <c r="A280" s="498"/>
      <c r="B280" s="499"/>
      <c r="C280" s="499"/>
      <c r="D280" s="500"/>
      <c r="E280" s="501"/>
      <c r="J280" s="501"/>
      <c r="K280" s="501"/>
    </row>
    <row r="281" spans="1:11" s="491" customFormat="1">
      <c r="A281" s="498"/>
      <c r="B281" s="499"/>
      <c r="C281" s="499"/>
      <c r="D281" s="500"/>
      <c r="E281" s="501"/>
      <c r="J281" s="501"/>
      <c r="K281" s="501"/>
    </row>
  </sheetData>
  <sheetProtection algorithmName="SHA-512" hashValue="q1+2ZhhacKnzEroXRSO1PSAo53n6c3phlnnFhOWEE+BPrdbG8Sc750WooAFvoaZtPLiYrwEnbaNDvkeSxv0Gnw==" saltValue="ywUjpJSH+/wRKkwgP0GpuA==" spinCount="100000" sheet="1" objects="1" scenarios="1"/>
  <autoFilter ref="A7:F248" xr:uid="{066E52DE-33FC-449F-8B01-BFCBA96731AE}">
    <sortState xmlns:xlrd2="http://schemas.microsoft.com/office/spreadsheetml/2017/richdata2" ref="A8:F146">
      <sortCondition ref="A7"/>
    </sortState>
  </autoFilter>
  <mergeCells count="3">
    <mergeCell ref="A2:G3"/>
    <mergeCell ref="A4:G4"/>
    <mergeCell ref="A5:G5"/>
  </mergeCells>
  <hyperlinks>
    <hyperlink ref="A5:G5" r:id="rId1" display=" This table can be pasted directly into MassDOT's Preliminary Estimate Form. In order to ensure no formulas and formatting are lost, be sure to paste as &quot;Values&quot;" xr:uid="{FFBB2028-A521-4DD4-B337-70EB363A0F81}"/>
  </hyperlinks>
  <pageMargins left="0.75" right="0.75" top="1" bottom="1" header="0.5" footer="0.5"/>
  <pageSetup scale="61" fitToHeight="0" orientation="portrait" r:id="rId2"/>
  <headerFooter alignWithMargins="0">
    <oddHeader>&amp;C&amp;"Arial,Bold Italic"&amp;20DRAFT - TOOL STILL IN PRODUCTION</oddHeader>
    <oddFooter>&amp;C&amp;"Futura Bk BT,Book"Page &amp;P</oddFooter>
  </headerFooter>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27FE0508F578649918CAFEC101D4334" ma:contentTypeVersion="16" ma:contentTypeDescription="Create a new document." ma:contentTypeScope="" ma:versionID="0b32db76587e95079d54b40cd083f03d">
  <xsd:schema xmlns:xsd="http://www.w3.org/2001/XMLSchema" xmlns:xs="http://www.w3.org/2001/XMLSchema" xmlns:p="http://schemas.microsoft.com/office/2006/metadata/properties" xmlns:ns3="69f3536b-5120-467e-a513-24654697a4f8" xmlns:ns4="6e8869bf-c19e-4d91-ad94-ebef49785c4c" targetNamespace="http://schemas.microsoft.com/office/2006/metadata/properties" ma:root="true" ma:fieldsID="9bedf1263c2052e94dc3c1cf872c5973" ns3:_="" ns4:_="">
    <xsd:import namespace="69f3536b-5120-467e-a513-24654697a4f8"/>
    <xsd:import namespace="6e8869bf-c19e-4d91-ad94-ebef49785c4c"/>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3:MediaServiceDateTaken" minOccurs="0"/>
                <xsd:element ref="ns3:MediaServiceLocation" minOccurs="0"/>
                <xsd:element ref="ns3:MediaLengthInSeconds" minOccurs="0"/>
                <xsd:element ref="ns3:_activity"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f3536b-5120-467e-a513-24654697a4f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e8869bf-c19e-4d91-ad94-ebef49785c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6e8869bf-c19e-4d91-ad94-ebef49785c4c">
      <UserInfo>
        <DisplayName>Kyle Malloy</DisplayName>
        <AccountId>26</AccountId>
        <AccountType/>
      </UserInfo>
      <UserInfo>
        <DisplayName>Andrew Fabiszewski</DisplayName>
        <AccountId>31</AccountId>
        <AccountType/>
      </UserInfo>
      <UserInfo>
        <DisplayName>Peter Wroblewski</DisplayName>
        <AccountId>34</AccountId>
        <AccountType/>
      </UserInfo>
      <UserInfo>
        <DisplayName>Kayla (Arruda) Sousa</DisplayName>
        <AccountId>23</AccountId>
        <AccountType/>
      </UserInfo>
      <UserInfo>
        <DisplayName>Teren Wong</DisplayName>
        <AccountId>43</AccountId>
        <AccountType/>
      </UserInfo>
      <UserInfo>
        <DisplayName>Steven Tyler</DisplayName>
        <AccountId>14</AccountId>
        <AccountType/>
      </UserInfo>
      <UserInfo>
        <DisplayName>Christopher Lyman</DisplayName>
        <AccountId>64</AccountId>
        <AccountType/>
      </UserInfo>
      <UserInfo>
        <DisplayName>Bridget Myers</DisplayName>
        <AccountId>71</AccountId>
        <AccountType/>
      </UserInfo>
      <UserInfo>
        <DisplayName>Valerie Chia</DisplayName>
        <AccountId>42</AccountId>
        <AccountType/>
      </UserInfo>
      <UserInfo>
        <DisplayName>Sonam Katira</DisplayName>
        <AccountId>77</AccountId>
        <AccountType/>
      </UserInfo>
    </SharedWithUsers>
    <_activity xmlns="69f3536b-5120-467e-a513-24654697a4f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59912A-D8C0-4D4C-8335-24271F6BB4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9f3536b-5120-467e-a513-24654697a4f8"/>
    <ds:schemaRef ds:uri="6e8869bf-c19e-4d91-ad94-ebef49785c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40DC671-61DF-41CF-A887-409B234D1DD8}">
  <ds:schemaRefs>
    <ds:schemaRef ds:uri="http://purl.org/dc/terms/"/>
    <ds:schemaRef ds:uri="http://purl.org/dc/dcmitype/"/>
    <ds:schemaRef ds:uri="http://www.w3.org/XML/1998/namespace"/>
    <ds:schemaRef ds:uri="http://schemas.openxmlformats.org/package/2006/metadata/core-properties"/>
    <ds:schemaRef ds:uri="69f3536b-5120-467e-a513-24654697a4f8"/>
    <ds:schemaRef ds:uri="http://schemas.microsoft.com/office/infopath/2007/PartnerControls"/>
    <ds:schemaRef ds:uri="http://schemas.microsoft.com/office/2006/documentManagement/types"/>
    <ds:schemaRef ds:uri="6e8869bf-c19e-4d91-ad94-ebef49785c4c"/>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5736FBD7-A7C7-48E7-9FE1-C58F9DB0857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212</vt:i4>
      </vt:variant>
    </vt:vector>
  </HeadingPairs>
  <TitlesOfParts>
    <vt:vector size="236" baseType="lpstr">
      <vt:lpstr>INSTRUCTIONS</vt:lpstr>
      <vt:lpstr>BasicProjectData</vt:lpstr>
      <vt:lpstr>Roadway</vt:lpstr>
      <vt:lpstr>Multimodal</vt:lpstr>
      <vt:lpstr>Pavement</vt:lpstr>
      <vt:lpstr>TrafficControl</vt:lpstr>
      <vt:lpstr>MiscItems</vt:lpstr>
      <vt:lpstr>ProjectSummary</vt:lpstr>
      <vt:lpstr>ProjectEstimate</vt:lpstr>
      <vt:lpstr>AREA</vt:lpstr>
      <vt:lpstr>PVMTPRES</vt:lpstr>
      <vt:lpstr>DESIGN</vt:lpstr>
      <vt:lpstr>CIVIL</vt:lpstr>
      <vt:lpstr>EDGING</vt:lpstr>
      <vt:lpstr>DRAINAGE</vt:lpstr>
      <vt:lpstr>LIGHTING</vt:lpstr>
      <vt:lpstr>TRAFFIC</vt:lpstr>
      <vt:lpstr>SIGNAL</vt:lpstr>
      <vt:lpstr>AMENITIES</vt:lpstr>
      <vt:lpstr>OUTPUT</vt:lpstr>
      <vt:lpstr>HIDDEN</vt:lpstr>
      <vt:lpstr>ITEMS LIST</vt:lpstr>
      <vt:lpstr>PRICES</vt:lpstr>
      <vt:lpstr>OLD</vt:lpstr>
      <vt:lpstr>avgLengthCulverts1</vt:lpstr>
      <vt:lpstr>avgLengthCulverts2</vt:lpstr>
      <vt:lpstr>avgLengthCulverts3</vt:lpstr>
      <vt:lpstr>avgLengthCulverts4</vt:lpstr>
      <vt:lpstr>balanceStoneWallAvgHeight</vt:lpstr>
      <vt:lpstr>balanceStoneWallHappensExisting</vt:lpstr>
      <vt:lpstr>balanceStoneWallTotalExistingLength</vt:lpstr>
      <vt:lpstr>balanceStoneWallTotalNewLength</vt:lpstr>
      <vt:lpstr>Condition</vt:lpstr>
      <vt:lpstr>Construction</vt:lpstr>
      <vt:lpstr>culvertExtensions1</vt:lpstr>
      <vt:lpstr>culvertExtensions2</vt:lpstr>
      <vt:lpstr>culvertExtensions3</vt:lpstr>
      <vt:lpstr>culvertExtensions4</vt:lpstr>
      <vt:lpstr>culvertType1</vt:lpstr>
      <vt:lpstr>culvertType2</vt:lpstr>
      <vt:lpstr>culvertType3</vt:lpstr>
      <vt:lpstr>culvertType4</vt:lpstr>
      <vt:lpstr>curbExtensions1</vt:lpstr>
      <vt:lpstr>curbExtensions2</vt:lpstr>
      <vt:lpstr>curbExtensions3</vt:lpstr>
      <vt:lpstr>curbExtensions4</vt:lpstr>
      <vt:lpstr>curbRamps1</vt:lpstr>
      <vt:lpstr>curbRamps2</vt:lpstr>
      <vt:lpstr>curbRamps3</vt:lpstr>
      <vt:lpstr>curbRamps4</vt:lpstr>
      <vt:lpstr>Design</vt:lpstr>
      <vt:lpstr>Detection</vt:lpstr>
      <vt:lpstr>Districts</vt:lpstr>
      <vt:lpstr>drivewaysRoad1</vt:lpstr>
      <vt:lpstr>drivewaysRoad2</vt:lpstr>
      <vt:lpstr>drivewaysRoad3</vt:lpstr>
      <vt:lpstr>drivewaysRoad4</vt:lpstr>
      <vt:lpstr>exDrainageCon1</vt:lpstr>
      <vt:lpstr>exDrainageCon2</vt:lpstr>
      <vt:lpstr>exDrainageCon3</vt:lpstr>
      <vt:lpstr>exDrainageCon4</vt:lpstr>
      <vt:lpstr>expectedConstructionYear</vt:lpstr>
      <vt:lpstr>exRoadwayWidth1</vt:lpstr>
      <vt:lpstr>exRoadwayWidth2</vt:lpstr>
      <vt:lpstr>exRoadwayWidth3</vt:lpstr>
      <vt:lpstr>exRoadwayWidth4</vt:lpstr>
      <vt:lpstr>headwallType1</vt:lpstr>
      <vt:lpstr>headwallType2</vt:lpstr>
      <vt:lpstr>headwallType3</vt:lpstr>
      <vt:lpstr>headwallType4</vt:lpstr>
      <vt:lpstr>includeDesignOrTTCP</vt:lpstr>
      <vt:lpstr>Intersection</vt:lpstr>
      <vt:lpstr>Intersection_Legs</vt:lpstr>
      <vt:lpstr>ItemsListSections</vt:lpstr>
      <vt:lpstr>leftBikeBufferMaterial1</vt:lpstr>
      <vt:lpstr>leftBikeBufferWidth1</vt:lpstr>
      <vt:lpstr>leftBikeFacilitiesMaterial1</vt:lpstr>
      <vt:lpstr>leftBikeFacilityAvgWidth1</vt:lpstr>
      <vt:lpstr>leftPedBufferMaterial1</vt:lpstr>
      <vt:lpstr>leftPedBufferWidth1</vt:lpstr>
      <vt:lpstr>leftPedFacilitiesAvgWidth1</vt:lpstr>
      <vt:lpstr>leftPedFacilitiesMaterial1</vt:lpstr>
      <vt:lpstr>leftPropBikeAccomodations1</vt:lpstr>
      <vt:lpstr>leftPropPedAccomodations1</vt:lpstr>
      <vt:lpstr>leftPropPedAccomodations2</vt:lpstr>
      <vt:lpstr>leftPropPedAccomodations3</vt:lpstr>
      <vt:lpstr>leftPropPedAccomodations4</vt:lpstr>
      <vt:lpstr>Midblock</vt:lpstr>
      <vt:lpstr>mixedTreatmentPercentFD1</vt:lpstr>
      <vt:lpstr>mixedTreatmentPercentFD2</vt:lpstr>
      <vt:lpstr>mixedTreatmentPercentFD3</vt:lpstr>
      <vt:lpstr>mixedTreatmentPercentFD4</vt:lpstr>
      <vt:lpstr>mmAmmenitiesBenches</vt:lpstr>
      <vt:lpstr>mmAmmenitiesBikeBoxes</vt:lpstr>
      <vt:lpstr>mmAmmenitiesBikeDrainGrates</vt:lpstr>
      <vt:lpstr>mmAmmenitiesBikeRacks</vt:lpstr>
      <vt:lpstr>mmAmmenitiesBusShelters</vt:lpstr>
      <vt:lpstr>mmAmmenitiesWayfindingSigns</vt:lpstr>
      <vt:lpstr>Municipalities</vt:lpstr>
      <vt:lpstr>numberOfProjectRoadways</vt:lpstr>
      <vt:lpstr>Options</vt:lpstr>
      <vt:lpstr>pedIslands1</vt:lpstr>
      <vt:lpstr>pedIslands2</vt:lpstr>
      <vt:lpstr>pedIslands3</vt:lpstr>
      <vt:lpstr>pedIslands4</vt:lpstr>
      <vt:lpstr>pedScaleLightingTotalLength</vt:lpstr>
      <vt:lpstr>Preservation</vt:lpstr>
      <vt:lpstr>AMENITIES!Print_Area</vt:lpstr>
      <vt:lpstr>AREA!Print_Area</vt:lpstr>
      <vt:lpstr>BasicProjectData!Print_Area</vt:lpstr>
      <vt:lpstr>CIVIL!Print_Area</vt:lpstr>
      <vt:lpstr>DESIGN!Print_Area</vt:lpstr>
      <vt:lpstr>DRAINAGE!Print_Area</vt:lpstr>
      <vt:lpstr>EDGING!Print_Area</vt:lpstr>
      <vt:lpstr>INSTRUCTIONS!Print_Area</vt:lpstr>
      <vt:lpstr>LIGHTING!Print_Area</vt:lpstr>
      <vt:lpstr>MiscItems!Print_Area</vt:lpstr>
      <vt:lpstr>Multimodal!Print_Area</vt:lpstr>
      <vt:lpstr>OUTPUT!Print_Area</vt:lpstr>
      <vt:lpstr>Pavement!Print_Area</vt:lpstr>
      <vt:lpstr>ProjectEstimate!Print_Area</vt:lpstr>
      <vt:lpstr>ProjectSummary!Print_Area</vt:lpstr>
      <vt:lpstr>PVMTPRES!Print_Area</vt:lpstr>
      <vt:lpstr>Roadway!Print_Area</vt:lpstr>
      <vt:lpstr>SIGNAL!Print_Area</vt:lpstr>
      <vt:lpstr>TRAFFIC!Print_Area</vt:lpstr>
      <vt:lpstr>TrafficControl!Print_Area</vt:lpstr>
      <vt:lpstr>AREA!Print_Titles</vt:lpstr>
      <vt:lpstr>Project_Type</vt:lpstr>
      <vt:lpstr>projectFundingSource</vt:lpstr>
      <vt:lpstr>projectMassDOTDistrict</vt:lpstr>
      <vt:lpstr>projectMunicipality</vt:lpstr>
      <vt:lpstr>projectName</vt:lpstr>
      <vt:lpstr>projectNumber</vt:lpstr>
      <vt:lpstr>propBikeSignals</vt:lpstr>
      <vt:lpstr>propCurbLeft1</vt:lpstr>
      <vt:lpstr>propCurbLeft2</vt:lpstr>
      <vt:lpstr>propCurbLeft3</vt:lpstr>
      <vt:lpstr>propCurbLeft4</vt:lpstr>
      <vt:lpstr>propCurbRight1</vt:lpstr>
      <vt:lpstr>propCurbRight2</vt:lpstr>
      <vt:lpstr>propCurbRight3</vt:lpstr>
      <vt:lpstr>propCurbRight4</vt:lpstr>
      <vt:lpstr>propDrainageCon1</vt:lpstr>
      <vt:lpstr>propDrainageCon2</vt:lpstr>
      <vt:lpstr>propDrainageCon3</vt:lpstr>
      <vt:lpstr>propDrainageCon4</vt:lpstr>
      <vt:lpstr>propDrivewayMaterial1</vt:lpstr>
      <vt:lpstr>propDrivewayMaterial2</vt:lpstr>
      <vt:lpstr>propDrivewayMaterial3</vt:lpstr>
      <vt:lpstr>propDrivewayMaterial4</vt:lpstr>
      <vt:lpstr>propGreenBikeCrossings</vt:lpstr>
      <vt:lpstr>propGreenBikeDrivewayCrossings</vt:lpstr>
      <vt:lpstr>propMedianLength1</vt:lpstr>
      <vt:lpstr>propMedianLength2</vt:lpstr>
      <vt:lpstr>propMedianLength3</vt:lpstr>
      <vt:lpstr>propMedianLength4</vt:lpstr>
      <vt:lpstr>propMedianMaterial1</vt:lpstr>
      <vt:lpstr>propMedianMaterial2</vt:lpstr>
      <vt:lpstr>propMedianMaterial3</vt:lpstr>
      <vt:lpstr>propMedianMaterial4</vt:lpstr>
      <vt:lpstr>propMedianWidth1</vt:lpstr>
      <vt:lpstr>propMedianWidth2</vt:lpstr>
      <vt:lpstr>propMedianWidth3</vt:lpstr>
      <vt:lpstr>propMedianWidth4</vt:lpstr>
      <vt:lpstr>propPavementTreatment1</vt:lpstr>
      <vt:lpstr>propPavementTreatment2</vt:lpstr>
      <vt:lpstr>propPavementTreatment3</vt:lpstr>
      <vt:lpstr>propPavementTreatment4</vt:lpstr>
      <vt:lpstr>propRoadwayWidth1</vt:lpstr>
      <vt:lpstr>propRoadwayWidth2</vt:lpstr>
      <vt:lpstr>propRoadwayWidth3</vt:lpstr>
      <vt:lpstr>propRoadwayWidth4</vt:lpstr>
      <vt:lpstr>raisedCrossingLength1</vt:lpstr>
      <vt:lpstr>raisedCrossingLength2</vt:lpstr>
      <vt:lpstr>raisedCrossingLength3</vt:lpstr>
      <vt:lpstr>raisedCrossingLength4</vt:lpstr>
      <vt:lpstr>Resurfacing</vt:lpstr>
      <vt:lpstr>roadsideChainLinkFenceHappensExisting</vt:lpstr>
      <vt:lpstr>roadsideChainLinkFenceTotalExistingLength</vt:lpstr>
      <vt:lpstr>roadsideChainLinkFenceTotalNewLength</vt:lpstr>
      <vt:lpstr>roadsideConcreteBarrierHappensExisting</vt:lpstr>
      <vt:lpstr>roadsideConcreteBarrierTotalExistingLength</vt:lpstr>
      <vt:lpstr>roadsideConcreteBarrierTotalNewLength</vt:lpstr>
      <vt:lpstr>roadsideGuardrailHappensExisting</vt:lpstr>
      <vt:lpstr>roadsideGuardrailTotalExistingLength</vt:lpstr>
      <vt:lpstr>roadsideGuardrailTotalNewLength</vt:lpstr>
      <vt:lpstr>roadsideWoodRailFenceHappensExisting</vt:lpstr>
      <vt:lpstr>roadsideWoodRailFenceTotalExistingLength</vt:lpstr>
      <vt:lpstr>roadsideWoodRailFenceTotalNewLength</vt:lpstr>
      <vt:lpstr>roadwayLength1</vt:lpstr>
      <vt:lpstr>roadwayLength2</vt:lpstr>
      <vt:lpstr>roadwayLength3</vt:lpstr>
      <vt:lpstr>roadwayLength4</vt:lpstr>
      <vt:lpstr>roadwayName1</vt:lpstr>
      <vt:lpstr>roadwayName2</vt:lpstr>
      <vt:lpstr>roadwayName3</vt:lpstr>
      <vt:lpstr>roadwayName4</vt:lpstr>
      <vt:lpstr>roadwayProjectLighting</vt:lpstr>
      <vt:lpstr>Section100_Earthwork</vt:lpstr>
      <vt:lpstr>Section200_Drainage</vt:lpstr>
      <vt:lpstr>Section300_Water</vt:lpstr>
      <vt:lpstr>Section400_Pavement</vt:lpstr>
      <vt:lpstr>Section500_Edging</vt:lpstr>
      <vt:lpstr>Section600_Guard_Fence_Wall</vt:lpstr>
      <vt:lpstr>Section700_Incidental</vt:lpstr>
      <vt:lpstr>Section800_TrafficControl</vt:lpstr>
      <vt:lpstr>Section900_Structures</vt:lpstr>
      <vt:lpstr>Sheets</vt:lpstr>
      <vt:lpstr>signageRelocatingOrReplacement</vt:lpstr>
      <vt:lpstr>Signal_Timing</vt:lpstr>
      <vt:lpstr>Signs</vt:lpstr>
      <vt:lpstr>Timing</vt:lpstr>
      <vt:lpstr>Type</vt:lpstr>
      <vt:lpstr>utilityPoleRelocations</vt:lpstr>
      <vt:lpstr>wallBalanceStoneAvgHeight</vt:lpstr>
      <vt:lpstr>wallBalanceStoneHappensExisting</vt:lpstr>
      <vt:lpstr>wallBalanceStoneTotalExistingLength</vt:lpstr>
      <vt:lpstr>wallBalanceStoneTotalNewLength</vt:lpstr>
      <vt:lpstr>wallConcreteAverageHeight</vt:lpstr>
      <vt:lpstr>wallConcreteHappensExisting</vt:lpstr>
      <vt:lpstr>wallConcreteTotalExistingLength</vt:lpstr>
      <vt:lpstr>wallConcreteTotalNewLength</vt:lpstr>
      <vt:lpstr>wallGraniteCurbAverageHeight</vt:lpstr>
      <vt:lpstr>wallGraniteCurbHappensExisting</vt:lpstr>
      <vt:lpstr>wallGraniteCurbTotalExistingLength</vt:lpstr>
      <vt:lpstr>wallGraniteCurbTotalNewLength</vt:lpstr>
      <vt:lpstr>wallModularBlockAverageHeight</vt:lpstr>
      <vt:lpstr>wallModularBlockHappensExisting</vt:lpstr>
      <vt:lpstr>wallModularBlockTotalExistingLength</vt:lpstr>
      <vt:lpstr>wallModularBlockTotalNewLength</vt:lpstr>
      <vt:lpstr>wallStoneMasonryAverageHeight</vt:lpstr>
      <vt:lpstr>wallStoneMasonryHappensExisting</vt:lpstr>
      <vt:lpstr>wallStoneMasonryTotalExistingLength</vt:lpstr>
      <vt:lpstr>wallStoneMasonryTotalNewLength</vt:lpstr>
      <vt:lpstr>Yes_No</vt:lpstr>
    </vt:vector>
  </TitlesOfParts>
  <Company>HSH Associates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Nelson</dc:creator>
  <cp:lastModifiedBy>Andrew Fabiszewski</cp:lastModifiedBy>
  <cp:lastPrinted>2023-12-07T15:19:59Z</cp:lastPrinted>
  <dcterms:created xsi:type="dcterms:W3CDTF">2004-04-13T19:13:27Z</dcterms:created>
  <dcterms:modified xsi:type="dcterms:W3CDTF">2024-06-11T18:31:29Z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0x010100127FE0508F578649918CAFEC101D4334</vt:lpwstr>
  </property>
</Properties>
</file>